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. VaR &amp; Peak Pos By Trader" sheetId="1" state="visible" r:id="rId3"/>
    <sheet name="E. VaR &amp; Off-Peak Pos By Trader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'E. VaR &amp; Off-Peak Pos By Trader'!$C$2:$AB$87</definedName>
    <definedName function="false" hidden="false" localSheetId="0" name="_xlnm.Print_Area" vbProcedure="false">'E. VaR &amp; Peak Pos By Trader'!$D$2:$AC$156</definedName>
    <definedName function="false" hidden="false" name="CurveDate" vbProcedure="false">'[2]'!$D$2</definedName>
    <definedName function="false" hidden="false" name="DailyFileFolder" vbProcedure="false">'[2]'!$B$5</definedName>
    <definedName function="false" hidden="false" name="DailyFilePath" vbProcedure="false">'[2]'!$H$2</definedName>
    <definedName function="false" hidden="false" name="DateToday" vbProcedure="false">'[2]'!$D$1</definedName>
    <definedName function="false" hidden="false" name="erv22sec1" vbProcedure="false">'E. VaR &amp; Peak Pos By Trader'!$B$3:$AC$156</definedName>
    <definedName function="false" hidden="false" name="erv23sec1" vbProcedure="false">'E. VaR &amp; Off-Peak Pos By Trader'!$B$3:$AB$90</definedName>
    <definedName function="false" hidden="false" name="ExcludeRegions" vbProcedure="false">[1]Top!$G$8</definedName>
    <definedName function="false" hidden="false" name="IRFirstMonth" vbProcedure="false">'[2]'!$A$8</definedName>
    <definedName function="false" hidden="false" name="myRange" vbProcedure="false">'[2]'!$C$2:$FV$10</definedName>
    <definedName function="false" hidden="false" name="nr_VOPPRT" vbProcedure="false">'E. VaR &amp; Off-Peak Pos By Trader'!$A$3:$AB$90</definedName>
    <definedName function="false" hidden="false" name="nr_VPPRT" vbProcedure="false">'E. VaR &amp; Peak Pos By Trader'!$A$3:$AC$156</definedName>
    <definedName function="false" hidden="false" name="nr_west_pow_pos" vbProcedure="false">'[2]'!$A$9:$P$9</definedName>
    <definedName function="false" hidden="false" name="OffPeakDelta" vbProcedure="false">'[2]'!$C$15:$FV$22</definedName>
    <definedName function="false" hidden="false" name="PeakDelta" vbProcedure="false">'[2]'!$C$3:$FV$10</definedName>
    <definedName function="false" hidden="false" name="PriceFolder" vbProcedure="false">'[2]'!$B$6</definedName>
    <definedName function="false" hidden="false" name="USERNAME" vbProcedure="false">'[2]'!$B$2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<sst xmlns="http://schemas.openxmlformats.org/spreadsheetml/2006/main" count="507" uniqueCount="271">
  <si>
    <t xml:space="preserve">Portfolio</t>
  </si>
  <si>
    <t xml:space="preserve">Trader </t>
  </si>
  <si>
    <t xml:space="preserve">Change in </t>
  </si>
  <si>
    <t xml:space="preserve">name</t>
  </si>
  <si>
    <t xml:space="preserve">VAR</t>
  </si>
  <si>
    <t xml:space="preserve">Feb</t>
  </si>
  <si>
    <t xml:space="preserve">Mar  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</si>
  <si>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</si>
  <si>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</si>
  <si>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</si>
  <si>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</si>
  <si>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</si>
  <si>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</si>
  <si>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</si>
  <si>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</si>
  <si>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</si>
  <si>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2001 total</t>
  </si>
  <si>
    <t xml:space="preserve">Jan/Feb 02</t>
  </si>
  <si>
    <t xml:space="preserve">Mar/Apr 02</t>
  </si>
  <si>
    <t xml:space="preserve">May 02</t>
  </si>
  <si>
    <t xml:space="preserve">June 02</t>
  </si>
  <si>
    <t xml:space="preserve">July/Aug 02</t>
  </si>
  <si>
    <t xml:space="preserve">Sep 02</t>
  </si>
  <si>
    <t xml:space="preserve">Q4 02</t>
  </si>
  <si>
    <t xml:space="preserve">2004-2015</t>
  </si>
  <si>
    <t xml:space="preserve">Total Peak</t>
  </si>
  <si>
    <t xml:space="preserve">VAR LIMIT</t>
  </si>
  <si>
    <t xml:space="preserve">All Regions</t>
  </si>
  <si>
    <t xml:space="preserve">delta's</t>
  </si>
  <si>
    <t xml:space="preserve">Total east power position</t>
  </si>
  <si>
    <t xml:space="preserve">PWR-EAST</t>
  </si>
  <si>
    <t xml:space="preserve">Total East </t>
  </si>
  <si>
    <t xml:space="preserve">VaR</t>
  </si>
  <si>
    <t xml:space="preserve">East Power Mgmt</t>
  </si>
  <si>
    <t xml:space="preserve">EPMI-LT-MGMT</t>
  </si>
  <si>
    <t xml:space="preserve">K_PRESTO</t>
  </si>
  <si>
    <t xml:space="preserve">Kevin Presto</t>
  </si>
  <si>
    <t xml:space="preserve">Hourly and analyst position</t>
  </si>
  <si>
    <t xml:space="preserve">Long Term Option</t>
  </si>
  <si>
    <t xml:space="preserve">EPMI-LT-OPTION</t>
  </si>
  <si>
    <t xml:space="preserve">H_ARORA</t>
  </si>
  <si>
    <t xml:space="preserve">Harry Arora</t>
  </si>
  <si>
    <t xml:space="preserve">Long Term Options A</t>
  </si>
  <si>
    <t xml:space="preserve">EPMI-LT-OPTIONA</t>
  </si>
  <si>
    <t xml:space="preserve">R_STALFORD</t>
  </si>
  <si>
    <t xml:space="preserve">Rob Stalford</t>
  </si>
  <si>
    <t xml:space="preserve">Yearly Position</t>
  </si>
  <si>
    <t xml:space="preserve">Long Term Options B</t>
  </si>
  <si>
    <t xml:space="preserve">EPMI-LT-OPTIONB</t>
  </si>
  <si>
    <t xml:space="preserve">S_WANG</t>
  </si>
  <si>
    <t xml:space="preserve">Steve Wang</t>
  </si>
  <si>
    <t xml:space="preserve">Long Term Options Y</t>
  </si>
  <si>
    <t xml:space="preserve">EPMI-LT-OPTY</t>
  </si>
  <si>
    <t xml:space="preserve">H_CHEN</t>
  </si>
  <si>
    <t xml:space="preserve">Hai Chen</t>
  </si>
  <si>
    <t xml:space="preserve">Long Term Options Z</t>
  </si>
  <si>
    <t xml:space="preserve">EPMI-LT-OPTZ</t>
  </si>
  <si>
    <t xml:space="preserve">J_GUALY</t>
  </si>
  <si>
    <t xml:space="preserve">Jaime Gualy</t>
  </si>
  <si>
    <t xml:space="preserve">Total option</t>
  </si>
  <si>
    <t xml:space="preserve">LAVORATO-EA-OPT</t>
  </si>
  <si>
    <t xml:space="preserve">Midwest Region</t>
  </si>
  <si>
    <t xml:space="preserve">LT-MIDWEST</t>
  </si>
  <si>
    <t xml:space="preserve">EPMI-MIDWEST</t>
  </si>
  <si>
    <t xml:space="preserve">F_STURM-PWR</t>
  </si>
  <si>
    <t xml:space="preserve">Fletcher Sturm</t>
  </si>
  <si>
    <t xml:space="preserve">MIDWEST-HRate</t>
  </si>
  <si>
    <t xml:space="preserve">EPMI-MIDWEST-HR</t>
  </si>
  <si>
    <t xml:space="preserve">F_STURM-HR</t>
  </si>
  <si>
    <t xml:space="preserve">Fletcher Sturm - HR</t>
  </si>
  <si>
    <t xml:space="preserve">ST-ECAR</t>
  </si>
  <si>
    <t xml:space="preserve">EPMI-ST-ECAR</t>
  </si>
  <si>
    <t xml:space="preserve">R_BALLATO</t>
  </si>
  <si>
    <t xml:space="preserve">Russel Ballato</t>
  </si>
  <si>
    <t xml:space="preserve">ST- MAPP/MAIN</t>
  </si>
  <si>
    <t xml:space="preserve">EPMI-ST-MAPP</t>
  </si>
  <si>
    <t xml:space="preserve">M_LORENZ</t>
  </si>
  <si>
    <t xml:space="preserve">Matt Lorenz</t>
  </si>
  <si>
    <t xml:space="preserve">Total Midwest</t>
  </si>
  <si>
    <t xml:space="preserve">LAVORATO-EA-MW</t>
  </si>
  <si>
    <t xml:space="preserve">Northeast Region</t>
  </si>
  <si>
    <t xml:space="preserve">EPMI-LT-NY</t>
  </si>
  <si>
    <t xml:space="preserve">EPMI-LT-NENG</t>
  </si>
  <si>
    <t xml:space="preserve">LT-NE</t>
  </si>
  <si>
    <t xml:space="preserve">EPMI-LT-NEMGMT</t>
  </si>
  <si>
    <t xml:space="preserve">D_DAVIS</t>
  </si>
  <si>
    <t xml:space="preserve">Dana Davis</t>
  </si>
  <si>
    <t xml:space="preserve">LT-PJM</t>
  </si>
  <si>
    <t xml:space="preserve">EPMI-LT-PJM</t>
  </si>
  <si>
    <t xml:space="preserve">R_BENSON</t>
  </si>
  <si>
    <t xml:space="preserve">Rob Benson</t>
  </si>
  <si>
    <t xml:space="preserve">ST- PJM</t>
  </si>
  <si>
    <t xml:space="preserve">EPMI-ST-PJM</t>
  </si>
  <si>
    <t xml:space="preserve">G_GUPTA</t>
  </si>
  <si>
    <t xml:space="preserve">Gautam Gupta</t>
  </si>
  <si>
    <t xml:space="preserve">ST- PJM- OFF</t>
  </si>
  <si>
    <t xml:space="preserve">EPMI-ST-PJM-OFF</t>
  </si>
  <si>
    <t xml:space="preserve">J_QUENET</t>
  </si>
  <si>
    <t xml:space="preserve">Joe Quenet</t>
  </si>
  <si>
    <t xml:space="preserve">ST- NENG</t>
  </si>
  <si>
    <t xml:space="preserve">EPMI-ST-NENG</t>
  </si>
  <si>
    <t xml:space="preserve">P_BRODERICK</t>
  </si>
  <si>
    <t xml:space="preserve">Paul Broderick</t>
  </si>
  <si>
    <t xml:space="preserve">ST- NY</t>
  </si>
  <si>
    <t xml:space="preserve">EPMI-ST-NY</t>
  </si>
  <si>
    <t xml:space="preserve">B_ROGERS</t>
  </si>
  <si>
    <t xml:space="preserve">Ben Rogers</t>
  </si>
  <si>
    <t xml:space="preserve">NE- PHYS</t>
  </si>
  <si>
    <t xml:space="preserve">EPMI-NE-PHYS</t>
  </si>
  <si>
    <t xml:space="preserve">P_THOMAS</t>
  </si>
  <si>
    <t xml:space="preserve">Paul Thomas</t>
  </si>
  <si>
    <t xml:space="preserve">LT-ONTARIO</t>
  </si>
  <si>
    <t xml:space="preserve">EPMI-LT-ONTARIO</t>
  </si>
  <si>
    <t xml:space="preserve">G_TRIPP</t>
  </si>
  <si>
    <t xml:space="preserve">Garrett Tripp</t>
  </si>
  <si>
    <t xml:space="preserve">Total Northeast</t>
  </si>
  <si>
    <t xml:space="preserve">LAVORATO-EA-NE</t>
  </si>
  <si>
    <t xml:space="preserve">Southeast Region</t>
  </si>
  <si>
    <t xml:space="preserve">LT-SPP</t>
  </si>
  <si>
    <t xml:space="preserve">EPMI-LT-SPP</t>
  </si>
  <si>
    <t xml:space="preserve">M_CARSON</t>
  </si>
  <si>
    <t xml:space="preserve">Mike Carson</t>
  </si>
  <si>
    <t xml:space="preserve">LT-SERC</t>
  </si>
  <si>
    <t xml:space="preserve">EPMI-LT-SERC</t>
  </si>
  <si>
    <t xml:space="preserve">J_SUAREZ</t>
  </si>
  <si>
    <t xml:space="preserve">John Suarez</t>
  </si>
  <si>
    <t xml:space="preserve">SE-HRLY-MGMT</t>
  </si>
  <si>
    <t xml:space="preserve">EPMI-HRLY-SE-MG</t>
  </si>
  <si>
    <t xml:space="preserve">J_HERNANDEZ</t>
  </si>
  <si>
    <t xml:space="preserve">Juan Hernandez</t>
  </si>
  <si>
    <t xml:space="preserve">SE-ANALYST</t>
  </si>
  <si>
    <t xml:space="preserve">EPMI-SE-ANALYST</t>
  </si>
  <si>
    <t xml:space="preserve">L_PODURGIEL</t>
  </si>
  <si>
    <t xml:space="preserve">Laura Podurgiel</t>
  </si>
  <si>
    <t xml:space="preserve">Total Southeast</t>
  </si>
  <si>
    <t xml:space="preserve">LAVORATO-EA-SE</t>
  </si>
  <si>
    <t xml:space="preserve">Ercot Region</t>
  </si>
  <si>
    <t xml:space="preserve">ERCOT-Management</t>
  </si>
  <si>
    <t xml:space="preserve">EPMI-ERCOT-MGMT</t>
  </si>
  <si>
    <t xml:space="preserve">D_GILBERT</t>
  </si>
  <si>
    <t xml:space="preserve">Doug Gilbert-Smith</t>
  </si>
  <si>
    <t xml:space="preserve">LT- Texas</t>
  </si>
  <si>
    <t xml:space="preserve">EPMI-LT-ERCOT</t>
  </si>
  <si>
    <t xml:space="preserve">J_KING</t>
  </si>
  <si>
    <t xml:space="preserve">Jeff King</t>
  </si>
  <si>
    <t xml:space="preserve">ST- Texas</t>
  </si>
  <si>
    <t xml:space="preserve">EPMI-ST-ERCOT</t>
  </si>
  <si>
    <t xml:space="preserve">P_SCHIAVONE</t>
  </si>
  <si>
    <t xml:space="preserve">Paul Schiavone</t>
  </si>
  <si>
    <t xml:space="preserve">Offpeak-Texas</t>
  </si>
  <si>
    <t xml:space="preserve">EPMI-ERCOT-OFF</t>
  </si>
  <si>
    <t xml:space="preserve">E_SAIBA</t>
  </si>
  <si>
    <t xml:space="preserve">Eric Saiba</t>
  </si>
  <si>
    <t xml:space="preserve">Asset-Texas</t>
  </si>
  <si>
    <t xml:space="preserve">EPMI-ERCOT-ASST</t>
  </si>
  <si>
    <t xml:space="preserve">J_FORNEY</t>
  </si>
  <si>
    <t xml:space="preserve">John Forney</t>
  </si>
  <si>
    <t xml:space="preserve">C_DEAN</t>
  </si>
  <si>
    <t xml:space="preserve">Ercot Option</t>
  </si>
  <si>
    <t xml:space="preserve">EPMI-ERCOT-OPTN</t>
  </si>
  <si>
    <t xml:space="preserve">D_GLBRT_EPT_PWR</t>
  </si>
  <si>
    <t xml:space="preserve">D. Gilbert-Smith </t>
  </si>
  <si>
    <t xml:space="preserve">Total Ercot</t>
  </si>
  <si>
    <t xml:space="preserve">LAVORATO-EA-TX</t>
  </si>
  <si>
    <t xml:space="preserve">,2004-2015</t>
  </si>
  <si>
    <t xml:space="preserve">Gas Benchmark Tie-Out</t>
  </si>
  <si>
    <t xml:space="preserve">Peak</t>
  </si>
  <si>
    <t xml:space="preserve">Other positions           (in contracts)</t>
  </si>
  <si>
    <t xml:space="preserve">Gas positions</t>
  </si>
  <si>
    <t xml:space="preserve">Book</t>
  </si>
  <si>
    <t xml:space="preserve">Gas Hedge Position</t>
  </si>
  <si>
    <t xml:space="preserve">Spread Option Position</t>
  </si>
  <si>
    <t xml:space="preserve">HRate Swap Position</t>
  </si>
  <si>
    <t xml:space="preserve">Total Position</t>
  </si>
  <si>
    <t xml:space="preserve">LT- MGT-GAS</t>
  </si>
  <si>
    <t xml:space="preserve">spread option</t>
  </si>
  <si>
    <t xml:space="preserve">PWR-GAS-LT-MGMT</t>
  </si>
  <si>
    <t xml:space="preserve">hedge positions</t>
  </si>
  <si>
    <t xml:space="preserve">K_PRESTO_GAS</t>
  </si>
  <si>
    <t xml:space="preserve">MW-GAS</t>
  </si>
  <si>
    <t xml:space="preserve">PWR-MW-GAS-MTM</t>
  </si>
  <si>
    <t xml:space="preserve">F_STURM_GAS</t>
  </si>
  <si>
    <t xml:space="preserve">MW-HR-GAS</t>
  </si>
  <si>
    <t xml:space="preserve">PWR-NG-MW-HR</t>
  </si>
  <si>
    <t xml:space="preserve">F_STURM_GASHR</t>
  </si>
  <si>
    <t xml:space="preserve">LT-TX-GAS</t>
  </si>
  <si>
    <t xml:space="preserve">Sprd opts/heat rt swap</t>
  </si>
  <si>
    <t xml:space="preserve">PWR-NG-TEXAS</t>
  </si>
  <si>
    <t xml:space="preserve">D_GILBERT_GAS</t>
  </si>
  <si>
    <t xml:space="preserve">LT-NE-GAS</t>
  </si>
  <si>
    <t xml:space="preserve">PWR-NE-GAS-MTM</t>
  </si>
  <si>
    <t xml:space="preserve">gas hedges</t>
  </si>
  <si>
    <t xml:space="preserve">D_DAVIS_GAS</t>
  </si>
  <si>
    <t xml:space="preserve">ERCOT-ASST-GAS</t>
  </si>
  <si>
    <t xml:space="preserve">PWR-NG-ERCT-AST</t>
  </si>
  <si>
    <t xml:space="preserve">J_FORNEY_GAS</t>
  </si>
  <si>
    <t xml:space="preserve">ST-TX-GAS</t>
  </si>
  <si>
    <t xml:space="preserve">PWR-NG-ST-TEXAS</t>
  </si>
  <si>
    <t xml:space="preserve">P_SCHIAVONE_GAS</t>
  </si>
  <si>
    <t xml:space="preserve">OPTION-TX-GAS</t>
  </si>
  <si>
    <t xml:space="preserve">PWR-NG-ERCT-OPT</t>
  </si>
  <si>
    <t xml:space="preserve">Hedge position</t>
  </si>
  <si>
    <t xml:space="preserve">D_GLBRT_EPT_GAS</t>
  </si>
  <si>
    <t xml:space="preserve">LT-PJM-GAS</t>
  </si>
  <si>
    <t xml:space="preserve">PWR-PJM-GAS-MTM</t>
  </si>
  <si>
    <t xml:space="preserve">R_BENSON_GAS</t>
  </si>
  <si>
    <t xml:space="preserve">ST-MAPP-GAS</t>
  </si>
  <si>
    <t xml:space="preserve">PWR-NG-ST-MAPP</t>
  </si>
  <si>
    <t xml:space="preserve">M_LORENZ_GAS</t>
  </si>
  <si>
    <t xml:space="preserve">LT-SPP-GAS</t>
  </si>
  <si>
    <t xml:space="preserve">PWR-NG-LT-SPP</t>
  </si>
  <si>
    <t xml:space="preserve">M_CARSON_GAS</t>
  </si>
  <si>
    <t xml:space="preserve">LT-SERC-GAS</t>
  </si>
  <si>
    <t xml:space="preserve">PWR-NG-LT-SERC</t>
  </si>
  <si>
    <t xml:space="preserve">J_SUAREZ_GAS</t>
  </si>
  <si>
    <t xml:space="preserve">ST-ECAR-GAS</t>
  </si>
  <si>
    <t xml:space="preserve">PWR-NG-ST-ECAR</t>
  </si>
  <si>
    <t xml:space="preserve">R_BALLATO_GAS</t>
  </si>
  <si>
    <t xml:space="preserve">Crude option book</t>
  </si>
  <si>
    <t xml:space="preserve">PWR-CL-LT-OPT</t>
  </si>
  <si>
    <t xml:space="preserve">H_ARORA_CRUDE</t>
  </si>
  <si>
    <t xml:space="preserve">LT-OPTB gas book</t>
  </si>
  <si>
    <t xml:space="preserve">PWR-NG-LT-OPTB</t>
  </si>
  <si>
    <t xml:space="preserve">S_WANG_GAS</t>
  </si>
  <si>
    <t xml:space="preserve">LT-OPT-gas book</t>
  </si>
  <si>
    <t xml:space="preserve">PWR-NG-LT-OPT</t>
  </si>
  <si>
    <t xml:space="preserve">H_ARORA_GAS</t>
  </si>
  <si>
    <t xml:space="preserve">LT-OPTA-gas book</t>
  </si>
  <si>
    <t xml:space="preserve">PWR-NG-LT-OPTA</t>
  </si>
  <si>
    <t xml:space="preserve">R_STALFORD_GAS</t>
  </si>
  <si>
    <t xml:space="preserve">LT-OPTY-gas book</t>
  </si>
  <si>
    <t xml:space="preserve">PWR-NG-LT-OPTY</t>
  </si>
  <si>
    <t xml:space="preserve">H_CHEN_GAS</t>
  </si>
  <si>
    <t xml:space="preserve">LT-OPTZ-gas book</t>
  </si>
  <si>
    <t xml:space="preserve">PWR-NG-LT-OPTZ</t>
  </si>
  <si>
    <t xml:space="preserve">J_GUALY_GAS</t>
  </si>
  <si>
    <t xml:space="preserve">MGMT-Coal book</t>
  </si>
  <si>
    <t xml:space="preserve">PWR-COAL-MGMT</t>
  </si>
  <si>
    <t xml:space="preserve">K_PRESTO_COAL</t>
  </si>
  <si>
    <t xml:space="preserve">ST-NENG-GAS</t>
  </si>
  <si>
    <t xml:space="preserve">PWR-NG-ST-NENG</t>
  </si>
  <si>
    <t xml:space="preserve">P_BRODERICK_GAS</t>
  </si>
  <si>
    <t xml:space="preserve">ST-NY-GAS</t>
  </si>
  <si>
    <t xml:space="preserve">PWR-NG-ST-NY</t>
  </si>
  <si>
    <t xml:space="preserve">G_GUPTA_GAS</t>
  </si>
  <si>
    <t xml:space="preserve">MW-Coal book</t>
  </si>
  <si>
    <t xml:space="preserve">PWR-COAL-MW</t>
  </si>
  <si>
    <t xml:space="preserve">F_STURM_COAL</t>
  </si>
  <si>
    <t xml:space="preserve">Fletch Sturm</t>
  </si>
  <si>
    <t xml:space="preserve">LT-ERCOT-GAS</t>
  </si>
  <si>
    <t xml:space="preserve">PWR-NG-LT-ERCOT</t>
  </si>
  <si>
    <t xml:space="preserve">J_KING_GAS</t>
  </si>
  <si>
    <t xml:space="preserve">ERCOT-OFF-GAS</t>
  </si>
  <si>
    <t xml:space="preserve">PWR-NG-ERCT-OFF</t>
  </si>
  <si>
    <t xml:space="preserve">E_SAIBA_GAS</t>
  </si>
  <si>
    <t xml:space="preserve">Eric Saibi</t>
  </si>
  <si>
    <t xml:space="preserve">Total Contracts</t>
  </si>
  <si>
    <t xml:space="preserve">Total GAS</t>
  </si>
  <si>
    <t xml:space="preserve">Totals</t>
  </si>
  <si>
    <t xml:space="preserve">Coal Books Total</t>
  </si>
  <si>
    <t xml:space="preserve">Crude Books Total</t>
  </si>
  <si>
    <t xml:space="preserve">tie to VAR report</t>
  </si>
  <si>
    <t xml:space="preserve">Check</t>
  </si>
  <si>
    <t xml:space="preserve">Total Off-Peak</t>
  </si>
  <si>
    <t xml:space="preserve">East Position</t>
  </si>
  <si>
    <t xml:space="preserve">Total East Position</t>
  </si>
  <si>
    <t xml:space="preserve">Total option position</t>
  </si>
  <si>
    <t xml:space="preserve">ST-PJM-OFF</t>
  </si>
  <si>
    <t xml:space="preserve">St- Texas</t>
  </si>
  <si>
    <t xml:space="preserve">Services-Texas</t>
  </si>
  <si>
    <t xml:space="preserve">ERCOT OPTION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</si>
</sst>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\(#,##0\)"/>
    <numFmt numFmtId="166" formatCode="[$-409]m/d/yyyy"/>
    <numFmt numFmtId="167" formatCode="0_);\(0\)"/>
    <numFmt numFmtId="168" formatCode="0"/>
    <numFmt numFmtId="169" formatCode="_(* #,##0.00_);_(* \(#,##0.00\);_(* \-??_);_(@_)"/>
    <numFmt numFmtId="170" formatCode="_(* #,##0_);_(* \(#,##0\);_(* \-??_);_(@_)"/>
    <numFmt numFmtId="171" formatCode="[$-409]#,##0.00_);\(#,##0.00\)"/>
    <numFmt numFmtId="172" formatCode="#,##0.0_);\(#,##0.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4"/>
      <color rgb="FFFF0000"/>
      <name val="Arial"/>
      <family val="2"/>
    </font>
    <font>
      <sz val="10"/>
      <color rgb="FF000000"/>
      <name val="Arial"/>
      <family val="0"/>
    </font>
    <font>
      <sz val="12"/>
      <name val="Arial"/>
      <family val="2"/>
    </font>
    <font>
      <sz val="18"/>
      <name val="Times New Roman"/>
      <family val="1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>
        <color rgb="FFC0C0C0"/>
      </left>
      <right/>
      <top style="medium"/>
      <bottom style="medium"/>
      <diagonal/>
    </border>
    <border diagonalUp="false" diagonalDown="false">
      <left style="thin">
        <color rgb="FFC0C0C0"/>
      </left>
      <right/>
      <top/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3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6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8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3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3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5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5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6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6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6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6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oday tot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101160</xdr:colOff>
          <xdr:row>1</xdr:row>
          <xdr:rowOff>56880</xdr:rowOff>
        </xdr:from>
        <xdr:to>
          <xdr:col>35</xdr:col>
          <xdr:colOff>486000</xdr:colOff>
          <xdr:row>3</xdr:row>
          <xdr:rowOff>66960</xdr:rowOff>
        </xdr:to>
        <xdr:sp>
          <xdr:nvSpPr>
            <xdr:cNvPr id="1001" name="Button 1" descr="Publish EVaR 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EVaR  Peak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433080</xdr:colOff>
          <xdr:row>1</xdr:row>
          <xdr:rowOff>9720</xdr:rowOff>
        </xdr:from>
        <xdr:to>
          <xdr:col>35</xdr:col>
          <xdr:colOff>90720</xdr:colOff>
          <xdr:row>3</xdr:row>
          <xdr:rowOff>19080</xdr:rowOff>
        </xdr:to>
        <xdr:sp>
          <xdr:nvSpPr>
            <xdr:cNvPr id="1001" name="Button 1" descr="VaRAndOff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VaRAndOffPeak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ower/va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VAR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A/delta%20monthly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NewVARQuer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A/delta%20yearl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. VaR &amp; Peak Pos By Trader "/>
      <sheetName val="E. VaR &amp; Off-Peak Pos By T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E. VaR &amp; Peak Pos By Trader"/>
      <sheetName val="E. VaR &amp; Off-Peak Pos By Trader"/>
      <sheetName val="Peak Change"/>
      <sheetName val="sprdoptgas positions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0</v>
          </cell>
          <cell r="F3">
            <v>-0.15384223316703</v>
          </cell>
          <cell r="G3">
            <v>-2291.33274628051</v>
          </cell>
          <cell r="H3">
            <v>-2291.48658851367</v>
          </cell>
          <cell r="I3">
            <v>-54780.9295215592</v>
          </cell>
          <cell r="J3">
            <v>-38614.7033007339</v>
          </cell>
          <cell r="K3">
            <v>-26194.9571660771</v>
          </cell>
          <cell r="L3">
            <v>-126171.904963111</v>
          </cell>
          <cell r="M3">
            <v>-431725.028180249</v>
          </cell>
          <cell r="N3">
            <v>-40222.4428623766</v>
          </cell>
          <cell r="O3">
            <v>-82582.7254668561</v>
          </cell>
          <cell r="P3">
            <v>-800292.691460963</v>
          </cell>
          <cell r="Q3">
            <v>-826351.564414916</v>
          </cell>
          <cell r="R3">
            <v>0</v>
          </cell>
        </row>
        <row r="4">
          <cell r="E4">
            <v>0</v>
          </cell>
          <cell r="F4">
            <v>-49517.774942059</v>
          </cell>
          <cell r="G4">
            <v>-65258.3689448671</v>
          </cell>
          <cell r="H4">
            <v>-114776.143886926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E5">
            <v>0</v>
          </cell>
          <cell r="F5">
            <v>-26.9937002256012</v>
          </cell>
          <cell r="G5">
            <v>-28766.9439867211</v>
          </cell>
          <cell r="H5">
            <v>-28793.9376869467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158163.093745104</v>
          </cell>
          <cell r="M6">
            <v>411666.430942385</v>
          </cell>
          <cell r="N6">
            <v>116892.292465122</v>
          </cell>
          <cell r="O6">
            <v>0</v>
          </cell>
          <cell r="P6">
            <v>686721.817152611</v>
          </cell>
          <cell r="Q6">
            <v>0</v>
          </cell>
          <cell r="R6">
            <v>0</v>
          </cell>
        </row>
        <row r="7">
          <cell r="E7">
            <v>0</v>
          </cell>
          <cell r="F7">
            <v>0.927503672025464</v>
          </cell>
          <cell r="G7">
            <v>4143.50224437136</v>
          </cell>
          <cell r="H7">
            <v>4144.42974804339</v>
          </cell>
          <cell r="I7">
            <v>72555.1039775259</v>
          </cell>
          <cell r="J7">
            <v>54948.9333206466</v>
          </cell>
          <cell r="K7">
            <v>35594.9739054924</v>
          </cell>
          <cell r="L7">
            <v>88673.1998644654</v>
          </cell>
          <cell r="M7">
            <v>496266.586762209</v>
          </cell>
          <cell r="N7">
            <v>51698.1707628947</v>
          </cell>
          <cell r="O7">
            <v>103261.891464849</v>
          </cell>
          <cell r="P7">
            <v>902998.860058083</v>
          </cell>
          <cell r="Q7">
            <v>0</v>
          </cell>
          <cell r="R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-776331.013208495</v>
          </cell>
          <cell r="J10">
            <v>-805807.642694557</v>
          </cell>
          <cell r="K10">
            <v>-406361.361540962</v>
          </cell>
          <cell r="L10">
            <v>-413790.163011517</v>
          </cell>
          <cell r="M10">
            <v>-808223.244182343</v>
          </cell>
          <cell r="N10">
            <v>-410855.199475752</v>
          </cell>
          <cell r="O10">
            <v>-1210432.14153858</v>
          </cell>
          <cell r="P10">
            <v>-4831800.76565221</v>
          </cell>
          <cell r="Q10">
            <v>-4660726.45987191</v>
          </cell>
          <cell r="R10">
            <v>-4425514.24776192</v>
          </cell>
          <cell r="S10">
            <v>-8140753.52600915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-134640.513611407</v>
          </cell>
          <cell r="J11">
            <v>-136247.062958143</v>
          </cell>
          <cell r="K11">
            <v>-78304.1198521704</v>
          </cell>
          <cell r="L11">
            <v>-77561.2511747253</v>
          </cell>
          <cell r="M11">
            <v>-166548.67373527</v>
          </cell>
          <cell r="N11">
            <v>-72836.8746871666</v>
          </cell>
          <cell r="O11">
            <v>-196699.195571199</v>
          </cell>
          <cell r="P11">
            <v>-862837.691590081</v>
          </cell>
          <cell r="Q11">
            <v>0</v>
          </cell>
          <cell r="R11">
            <v>0</v>
          </cell>
          <cell r="S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215297.199303562</v>
          </cell>
          <cell r="J12">
            <v>221707.388442341</v>
          </cell>
          <cell r="K12">
            <v>112383.203369608</v>
          </cell>
          <cell r="L12">
            <v>108531.248469878</v>
          </cell>
          <cell r="M12">
            <v>223522.031904189</v>
          </cell>
          <cell r="N12">
            <v>107761.449462497</v>
          </cell>
          <cell r="O12">
            <v>328755.709712227</v>
          </cell>
          <cell r="P12">
            <v>1317958.2306643</v>
          </cell>
          <cell r="Q12">
            <v>103233.930915324</v>
          </cell>
          <cell r="R12">
            <v>0</v>
          </cell>
          <cell r="S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-247895.423591493</v>
          </cell>
          <cell r="J13">
            <v>-253793.885676013</v>
          </cell>
          <cell r="K13">
            <v>-170067.0334597</v>
          </cell>
          <cell r="L13">
            <v>-180066.422084969</v>
          </cell>
          <cell r="M13">
            <v>-429323.503700577</v>
          </cell>
          <cell r="N13">
            <v>-142288.522098305</v>
          </cell>
          <cell r="O13">
            <v>-335820.181924978</v>
          </cell>
          <cell r="P13">
            <v>-1759254.97253603</v>
          </cell>
          <cell r="Q13">
            <v>-776575.880211875</v>
          </cell>
          <cell r="R13">
            <v>0</v>
          </cell>
          <cell r="S1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lta Monthly"/>
    </sheetNames>
    <sheetDataSet>
      <sheetData sheetId="0">
        <row r="1">
          <cell r="L1">
            <v>37043</v>
          </cell>
        </row>
        <row r="1">
          <cell r="N1">
            <v>37073</v>
          </cell>
        </row>
        <row r="1">
          <cell r="P1">
            <v>37104</v>
          </cell>
        </row>
        <row r="1">
          <cell r="R1">
            <v>37135</v>
          </cell>
        </row>
        <row r="1">
          <cell r="T1">
            <v>37165</v>
          </cell>
        </row>
        <row r="1">
          <cell r="V1">
            <v>37196</v>
          </cell>
        </row>
        <row r="1">
          <cell r="X1">
            <v>37226</v>
          </cell>
        </row>
        <row r="1">
          <cell r="Z1">
            <v>37257</v>
          </cell>
        </row>
        <row r="1">
          <cell r="AB1">
            <v>37288</v>
          </cell>
        </row>
        <row r="1">
          <cell r="AD1">
            <v>37316</v>
          </cell>
        </row>
        <row r="1">
          <cell r="AF1">
            <v>37347</v>
          </cell>
        </row>
        <row r="1">
          <cell r="AH1">
            <v>37377</v>
          </cell>
        </row>
        <row r="1">
          <cell r="AJ1">
            <v>37408</v>
          </cell>
        </row>
        <row r="1">
          <cell r="AL1">
            <v>37438</v>
          </cell>
        </row>
        <row r="1">
          <cell r="AN1">
            <v>37469</v>
          </cell>
        </row>
        <row r="1">
          <cell r="AP1">
            <v>37500</v>
          </cell>
        </row>
        <row r="1">
          <cell r="AR1">
            <v>37530</v>
          </cell>
        </row>
        <row r="1">
          <cell r="AT1">
            <v>37561</v>
          </cell>
        </row>
        <row r="1">
          <cell r="AV1">
            <v>37591</v>
          </cell>
        </row>
        <row r="2">
          <cell r="A2" t="str">
            <v>Desk</v>
          </cell>
        </row>
        <row r="2">
          <cell r="L2" t="str">
            <v>Pk Delta</v>
          </cell>
          <cell r="M2" t="str">
            <v>OPk Delta</v>
          </cell>
          <cell r="N2" t="str">
            <v>Pk Delta</v>
          </cell>
          <cell r="O2" t="str">
            <v>OPk Delta</v>
          </cell>
          <cell r="P2" t="str">
            <v>Pk Delta</v>
          </cell>
          <cell r="Q2" t="str">
            <v>OPk Delta</v>
          </cell>
          <cell r="R2" t="str">
            <v>Pk Delta</v>
          </cell>
          <cell r="S2" t="str">
            <v>OPk Delta</v>
          </cell>
          <cell r="T2" t="str">
            <v>Pk Delta</v>
          </cell>
          <cell r="U2" t="str">
            <v>OPk Delta</v>
          </cell>
          <cell r="V2" t="str">
            <v>Pk Delta</v>
          </cell>
          <cell r="W2" t="str">
            <v>OPk Delta</v>
          </cell>
          <cell r="X2" t="str">
            <v>Pk Delta</v>
          </cell>
          <cell r="Y2" t="str">
            <v>OPk Delta</v>
          </cell>
          <cell r="Z2" t="str">
            <v>Pk Delta</v>
          </cell>
          <cell r="AA2" t="str">
            <v>OPk Delta</v>
          </cell>
          <cell r="AB2" t="str">
            <v>Pk Delta</v>
          </cell>
          <cell r="AC2" t="str">
            <v>OPk Delta</v>
          </cell>
          <cell r="AD2" t="str">
            <v>Pk Delta</v>
          </cell>
          <cell r="AE2" t="str">
            <v>OPk Delta</v>
          </cell>
          <cell r="AF2" t="str">
            <v>Pk Delta</v>
          </cell>
          <cell r="AG2" t="str">
            <v>OPk Delta</v>
          </cell>
          <cell r="AH2" t="str">
            <v>Pk Delta</v>
          </cell>
          <cell r="AI2" t="str">
            <v>OPk Delta</v>
          </cell>
          <cell r="AJ2" t="str">
            <v>Pk Delta</v>
          </cell>
          <cell r="AK2" t="str">
            <v>OPk Delta</v>
          </cell>
          <cell r="AL2" t="str">
            <v>Pk Delta</v>
          </cell>
          <cell r="AM2" t="str">
            <v>OPk Delta</v>
          </cell>
          <cell r="AN2" t="str">
            <v>Pk Delta</v>
          </cell>
          <cell r="AO2" t="str">
            <v>OPk Delta</v>
          </cell>
          <cell r="AP2" t="str">
            <v>Pk Delta</v>
          </cell>
          <cell r="AQ2" t="str">
            <v>OPk Delta</v>
          </cell>
          <cell r="AR2" t="str">
            <v>Pk Delta</v>
          </cell>
          <cell r="AS2" t="str">
            <v>OPk Delta</v>
          </cell>
          <cell r="AT2" t="str">
            <v>Pk Delta</v>
          </cell>
          <cell r="AU2" t="str">
            <v>OPk Delta</v>
          </cell>
          <cell r="AV2" t="str">
            <v>Pk Delta</v>
          </cell>
          <cell r="AW2" t="str">
            <v>OPk Delta</v>
          </cell>
        </row>
        <row r="3">
          <cell r="A3" t="str">
            <v>EPMI-ERCOT-ANLY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A4" t="str">
            <v>EPMI-ERCOT-ASST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5589.8622882417</v>
          </cell>
          <cell r="W4">
            <v>-399.275877731552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A5" t="str">
            <v>EPMI-ERCOT-MGMT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-30451.8927876545</v>
          </cell>
          <cell r="W5">
            <v>-11098.9610483153</v>
          </cell>
          <cell r="X5">
            <v>-26545.9891465057</v>
          </cell>
          <cell r="Y5">
            <v>3632.69440154588</v>
          </cell>
          <cell r="Z5">
            <v>-78402.832928311</v>
          </cell>
          <cell r="AA5">
            <v>-32771.3280300633</v>
          </cell>
          <cell r="AB5">
            <v>-72809.1900188829</v>
          </cell>
          <cell r="AC5">
            <v>7051.29429803712</v>
          </cell>
          <cell r="AD5">
            <v>-116194.337578899</v>
          </cell>
          <cell r="AE5">
            <v>12435.1048696729</v>
          </cell>
          <cell r="AF5">
            <v>-129234.031846295</v>
          </cell>
          <cell r="AG5">
            <v>8090.2442397611</v>
          </cell>
          <cell r="AH5">
            <v>-100849.575064478</v>
          </cell>
          <cell r="AI5">
            <v>1027.79327921906</v>
          </cell>
          <cell r="AJ5">
            <v>36559.2548637504</v>
          </cell>
          <cell r="AK5">
            <v>-6460.80657643074</v>
          </cell>
          <cell r="AL5">
            <v>-161011.801391054</v>
          </cell>
          <cell r="AM5">
            <v>7948.56026337485</v>
          </cell>
          <cell r="AN5">
            <v>-171699.787347164</v>
          </cell>
          <cell r="AO5">
            <v>4154.14548909236</v>
          </cell>
          <cell r="AP5">
            <v>-227690.345742601</v>
          </cell>
          <cell r="AQ5">
            <v>-13151.2881360152</v>
          </cell>
          <cell r="AR5">
            <v>-22596.6981641896</v>
          </cell>
          <cell r="AS5">
            <v>-6327.57814365174</v>
          </cell>
          <cell r="AT5">
            <v>-20670.7528344593</v>
          </cell>
          <cell r="AU5">
            <v>-11708.8888089901</v>
          </cell>
          <cell r="AV5">
            <v>-33166.8242983269</v>
          </cell>
          <cell r="AW5">
            <v>-27187.2355804691</v>
          </cell>
        </row>
        <row r="6">
          <cell r="A6" t="str">
            <v>EPMI-ERCOT-OFF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-5589.86228824172</v>
          </cell>
          <cell r="W6">
            <v>58297.3309630694</v>
          </cell>
          <cell r="X6">
            <v>-63765.9157217403</v>
          </cell>
          <cell r="Y6">
            <v>-42244.9191656529</v>
          </cell>
          <cell r="Z6">
            <v>17503.439840292</v>
          </cell>
          <cell r="AA6">
            <v>-58477.4012846118</v>
          </cell>
          <cell r="AB6">
            <v>15886.9785374984</v>
          </cell>
          <cell r="AC6">
            <v>-52427.0291737449</v>
          </cell>
          <cell r="AD6">
            <v>0</v>
          </cell>
          <cell r="AE6">
            <v>-121312.97244472</v>
          </cell>
          <cell r="AF6">
            <v>0</v>
          </cell>
          <cell r="AG6">
            <v>-108917.782610867</v>
          </cell>
          <cell r="AH6">
            <v>0</v>
          </cell>
          <cell r="AI6">
            <v>-154804.328206081</v>
          </cell>
          <cell r="AJ6">
            <v>0</v>
          </cell>
          <cell r="AK6">
            <v>-118225.760860433</v>
          </cell>
          <cell r="AL6">
            <v>0</v>
          </cell>
          <cell r="AM6">
            <v>-231196.449560482</v>
          </cell>
          <cell r="AN6">
            <v>0</v>
          </cell>
          <cell r="AO6">
            <v>-230645.404258</v>
          </cell>
          <cell r="AP6">
            <v>0</v>
          </cell>
          <cell r="AQ6">
            <v>-117387.199850215</v>
          </cell>
          <cell r="AR6">
            <v>0</v>
          </cell>
          <cell r="AS6">
            <v>-147123.137614709</v>
          </cell>
          <cell r="AT6">
            <v>0</v>
          </cell>
          <cell r="AU6">
            <v>-155675.633919199</v>
          </cell>
          <cell r="AV6">
            <v>0</v>
          </cell>
          <cell r="AW6">
            <v>-158318.234766505</v>
          </cell>
        </row>
        <row r="7">
          <cell r="A7" t="str">
            <v>EPMI-ERCOT-OPTN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4.29639338734186</v>
          </cell>
          <cell r="W7">
            <v>-798.551755463104</v>
          </cell>
          <cell r="X7">
            <v>-4045.55430107798</v>
          </cell>
          <cell r="Y7">
            <v>-3555.73583519134</v>
          </cell>
          <cell r="Z7">
            <v>25391.8111648566</v>
          </cell>
          <cell r="AA7">
            <v>3048.93329785402</v>
          </cell>
          <cell r="AB7">
            <v>22956.7700312994</v>
          </cell>
          <cell r="AC7">
            <v>-114.376532123588</v>
          </cell>
          <cell r="AD7">
            <v>-599.41051376705</v>
          </cell>
          <cell r="AE7">
            <v>-298.459433401293</v>
          </cell>
          <cell r="AF7">
            <v>-699.1907956024</v>
          </cell>
          <cell r="AG7">
            <v>-212.277520593783</v>
          </cell>
          <cell r="AH7">
            <v>7784.12992961447</v>
          </cell>
          <cell r="AI7">
            <v>3085.14230877032</v>
          </cell>
          <cell r="AJ7">
            <v>-15207.3171774409</v>
          </cell>
          <cell r="AK7">
            <v>1994.56426516251</v>
          </cell>
          <cell r="AL7">
            <v>-26735.9916926257</v>
          </cell>
          <cell r="AM7">
            <v>-311.03312007427</v>
          </cell>
          <cell r="AN7">
            <v>-17988.5178422427</v>
          </cell>
          <cell r="AO7">
            <v>-27.53764500779</v>
          </cell>
          <cell r="AP7">
            <v>-6371.24363225117</v>
          </cell>
          <cell r="AQ7">
            <v>3309.07486236807</v>
          </cell>
          <cell r="AR7">
            <v>8098.21105307478</v>
          </cell>
          <cell r="AS7">
            <v>2984.50275807559</v>
          </cell>
          <cell r="AT7">
            <v>7272.72828391989</v>
          </cell>
          <cell r="AU7">
            <v>3354.5090997272</v>
          </cell>
          <cell r="AV7">
            <v>7677.53465677276</v>
          </cell>
          <cell r="AW7">
            <v>3373.90264467226</v>
          </cell>
        </row>
        <row r="8">
          <cell r="A8" t="str">
            <v>EPMI-HRLY-ASSOC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2397.48695494703</v>
          </cell>
          <cell r="W8">
            <v>399.581159157838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2797.06811410487</v>
          </cell>
        </row>
        <row r="9">
          <cell r="A9" t="str">
            <v>EPMI-HRLY-ERCOT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EPMI-HRLY-MW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3992.75877731552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3992.75877731552</v>
          </cell>
        </row>
        <row r="11">
          <cell r="A11" t="str">
            <v>EPMI-HRLY-NE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-2397.48695494703</v>
          </cell>
          <cell r="W11">
            <v>-799.162318315676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-3196.6492732627</v>
          </cell>
        </row>
        <row r="12">
          <cell r="A12" t="str">
            <v>EPMI-HRLY-NENG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6390.24573226254</v>
          </cell>
          <cell r="W12">
            <v>-3596.8409952731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2793.40473698944</v>
          </cell>
        </row>
        <row r="13">
          <cell r="A13" t="str">
            <v>EPMI-HRLY-NY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9589.94781978811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9589.94781978811</v>
          </cell>
        </row>
        <row r="14">
          <cell r="A14" t="str">
            <v>EPMI-HRLY-PJM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-1598.32463663136</v>
          </cell>
          <cell r="W14">
            <v>2397.48695494702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799.162318315669</v>
          </cell>
        </row>
        <row r="15">
          <cell r="A15" t="str">
            <v>EPMI-HRLY-SE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EPMI-HRLY-SE-MG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5589.86228824172</v>
          </cell>
          <cell r="W16">
            <v>399.581159157838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 t="str">
            <v>EPMI-LT-ERCOT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105020.639041751</v>
          </cell>
          <cell r="AA17">
            <v>0</v>
          </cell>
          <cell r="AB17">
            <v>95321.8712249903</v>
          </cell>
          <cell r="AC17">
            <v>0</v>
          </cell>
          <cell r="AD17">
            <v>-83254.0006973568</v>
          </cell>
          <cell r="AE17">
            <v>0</v>
          </cell>
          <cell r="AF17">
            <v>-87055.0851022379</v>
          </cell>
          <cell r="AG17">
            <v>0</v>
          </cell>
          <cell r="AH17">
            <v>-424110.876026973</v>
          </cell>
          <cell r="AI17">
            <v>0</v>
          </cell>
          <cell r="AJ17">
            <v>15763.4347813913</v>
          </cell>
          <cell r="AK17">
            <v>0</v>
          </cell>
          <cell r="AL17">
            <v>-17300.4145929612</v>
          </cell>
          <cell r="AM17">
            <v>0</v>
          </cell>
          <cell r="AN17">
            <v>-17259.1799104629</v>
          </cell>
          <cell r="AO17">
            <v>0</v>
          </cell>
          <cell r="AP17">
            <v>-359987.412873992</v>
          </cell>
          <cell r="AQ17">
            <v>0</v>
          </cell>
          <cell r="AR17">
            <v>-161562.278441618</v>
          </cell>
          <cell r="AS17">
            <v>0</v>
          </cell>
          <cell r="AT17">
            <v>-140108.070527279</v>
          </cell>
          <cell r="AU17">
            <v>0</v>
          </cell>
          <cell r="AV17">
            <v>-146677.188092498</v>
          </cell>
          <cell r="AW17">
            <v>0</v>
          </cell>
        </row>
        <row r="18">
          <cell r="A18" t="str">
            <v>EPMI-LT-HED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A19" t="str">
            <v>EPMI-LT-MGMT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-27344.8605780603</v>
          </cell>
          <cell r="W19">
            <v>-49617.4509827898</v>
          </cell>
          <cell r="X19">
            <v>-334424.301850953</v>
          </cell>
          <cell r="Y19">
            <v>-227115.247813259</v>
          </cell>
          <cell r="Z19">
            <v>103085.300336459</v>
          </cell>
          <cell r="AA19">
            <v>2254.80261702295</v>
          </cell>
          <cell r="AB19">
            <v>93396.6833192556</v>
          </cell>
          <cell r="AC19">
            <v>2855.01421695637</v>
          </cell>
          <cell r="AD19">
            <v>-291337.80542457</v>
          </cell>
          <cell r="AE19">
            <v>-196218.838188539</v>
          </cell>
          <cell r="AF19">
            <v>-302511.408741229</v>
          </cell>
          <cell r="AG19">
            <v>-174386.182861381</v>
          </cell>
          <cell r="AH19">
            <v>-234785.674235149</v>
          </cell>
          <cell r="AI19">
            <v>-167794.398059898</v>
          </cell>
          <cell r="AJ19">
            <v>-360545.999366044</v>
          </cell>
          <cell r="AK19">
            <v>-96403.443569846</v>
          </cell>
          <cell r="AL19">
            <v>-507707.926601032</v>
          </cell>
          <cell r="AM19">
            <v>20469.1019379559</v>
          </cell>
          <cell r="AN19">
            <v>-503284.642997677</v>
          </cell>
          <cell r="AO19">
            <v>22284.1365899231</v>
          </cell>
          <cell r="AP19">
            <v>-180631.458095346</v>
          </cell>
          <cell r="AQ19">
            <v>-94638.8488189826</v>
          </cell>
          <cell r="AR19">
            <v>-96255.6230158214</v>
          </cell>
          <cell r="AS19">
            <v>-84558.1263186975</v>
          </cell>
          <cell r="AT19">
            <v>-84570.6258976081</v>
          </cell>
          <cell r="AU19">
            <v>-91201.0720738809</v>
          </cell>
          <cell r="AV19">
            <v>-87293.2426489672</v>
          </cell>
          <cell r="AW19">
            <v>-92933.1296948484</v>
          </cell>
        </row>
        <row r="20">
          <cell r="A20" t="str">
            <v>EPMI-LT-NEMGMT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-106533.764595298</v>
          </cell>
          <cell r="W20">
            <v>-21721.6457054458</v>
          </cell>
          <cell r="X20">
            <v>-228047.267644222</v>
          </cell>
          <cell r="Y20">
            <v>-4166.47289494028</v>
          </cell>
          <cell r="Z20">
            <v>-302720.51634219</v>
          </cell>
          <cell r="AA20">
            <v>93620.1184286262</v>
          </cell>
          <cell r="AB20">
            <v>-273972.8443968</v>
          </cell>
          <cell r="AC20">
            <v>83931.679700604</v>
          </cell>
          <cell r="AD20">
            <v>28317.260646456</v>
          </cell>
          <cell r="AE20">
            <v>-64722.505717267</v>
          </cell>
          <cell r="AF20">
            <v>12197.8141789964</v>
          </cell>
          <cell r="AG20">
            <v>-58131.919599666</v>
          </cell>
          <cell r="AH20">
            <v>-57345.1310868345</v>
          </cell>
          <cell r="AI20">
            <v>-81308.7256221221</v>
          </cell>
          <cell r="AJ20">
            <v>11030.4745724763</v>
          </cell>
          <cell r="AK20">
            <v>-63073.8585690137</v>
          </cell>
          <cell r="AL20">
            <v>-42190.0189424183</v>
          </cell>
          <cell r="AM20">
            <v>-23123.2053112002</v>
          </cell>
          <cell r="AN20">
            <v>-41668.5969518531</v>
          </cell>
          <cell r="AO20">
            <v>-23067.7079105757</v>
          </cell>
          <cell r="AP20">
            <v>-67306.9817691909</v>
          </cell>
          <cell r="AQ20">
            <v>-62631.9098699496</v>
          </cell>
          <cell r="AR20">
            <v>-40172.139766518</v>
          </cell>
          <cell r="AS20">
            <v>-96794.1221918047</v>
          </cell>
          <cell r="AT20">
            <v>-34838.3146128018</v>
          </cell>
          <cell r="AU20">
            <v>-102242.186492031</v>
          </cell>
          <cell r="AV20">
            <v>-36471.185620941</v>
          </cell>
          <cell r="AW20">
            <v>-103999.590419256</v>
          </cell>
        </row>
        <row r="21">
          <cell r="A21" t="str">
            <v>EPMI-LT-NENG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60385.0026676433</v>
          </cell>
          <cell r="W21">
            <v>53513.1673346916</v>
          </cell>
          <cell r="X21">
            <v>122649.264553166</v>
          </cell>
          <cell r="Y21">
            <v>-79330.6650742816</v>
          </cell>
          <cell r="Z21">
            <v>306787.577567258</v>
          </cell>
          <cell r="AA21">
            <v>-47874.518481455</v>
          </cell>
          <cell r="AB21">
            <v>296681.804346706</v>
          </cell>
          <cell r="AC21">
            <v>-16461.4551138597</v>
          </cell>
          <cell r="AD21">
            <v>-16261.4999612588</v>
          </cell>
          <cell r="AE21">
            <v>-17125.5676244087</v>
          </cell>
          <cell r="AF21">
            <v>-385.777877298738</v>
          </cell>
          <cell r="AG21">
            <v>-32.932968367847</v>
          </cell>
          <cell r="AH21">
            <v>42028.1023660662</v>
          </cell>
          <cell r="AI21">
            <v>-16357.606131528</v>
          </cell>
          <cell r="AJ21">
            <v>-10116.0074800835</v>
          </cell>
          <cell r="AK21">
            <v>-47374.9915548654</v>
          </cell>
          <cell r="AL21">
            <v>-62245.0949126673</v>
          </cell>
          <cell r="AM21">
            <v>27209.0039353954</v>
          </cell>
          <cell r="AN21">
            <v>-40797.9447940218</v>
          </cell>
          <cell r="AO21">
            <v>32245.14726749</v>
          </cell>
          <cell r="AP21">
            <v>48340.8268105627</v>
          </cell>
          <cell r="AQ21">
            <v>-18098.6658799121</v>
          </cell>
          <cell r="AR21">
            <v>62388.5911260411</v>
          </cell>
          <cell r="AS21">
            <v>-11130.4879250527</v>
          </cell>
          <cell r="AT21">
            <v>41485.2770459631</v>
          </cell>
          <cell r="AU21">
            <v>-22324.9122011411</v>
          </cell>
          <cell r="AV21">
            <v>17917.0547974464</v>
          </cell>
          <cell r="AW21">
            <v>-48269.298415645</v>
          </cell>
        </row>
        <row r="22">
          <cell r="A22" t="str">
            <v>EPMI-LT-NY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A23" t="str">
            <v>EPMI-LT-ONTARIO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 t="str">
            <v>EPMI-LT-OPTION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-14025.1930774745</v>
          </cell>
          <cell r="W24">
            <v>-8.10251861645006</v>
          </cell>
          <cell r="X24">
            <v>-28737.6877797353</v>
          </cell>
          <cell r="Y24">
            <v>-915.908075520484</v>
          </cell>
          <cell r="Z24">
            <v>-11320.5653084247</v>
          </cell>
          <cell r="AA24">
            <v>0</v>
          </cell>
          <cell r="AB24">
            <v>-12184.3491329343</v>
          </cell>
          <cell r="AC24">
            <v>0</v>
          </cell>
          <cell r="AD24">
            <v>-15028.0672377332</v>
          </cell>
          <cell r="AE24">
            <v>0</v>
          </cell>
          <cell r="AF24">
            <v>-15714.195850585</v>
          </cell>
          <cell r="AG24">
            <v>0</v>
          </cell>
          <cell r="AH24">
            <v>-23680.5494083283</v>
          </cell>
          <cell r="AI24">
            <v>0</v>
          </cell>
          <cell r="AJ24">
            <v>-12556.5066773139</v>
          </cell>
          <cell r="AK24">
            <v>0</v>
          </cell>
          <cell r="AL24">
            <v>-13836.7191244899</v>
          </cell>
          <cell r="AM24">
            <v>0</v>
          </cell>
          <cell r="AN24">
            <v>-14820.1903837302</v>
          </cell>
          <cell r="AO24">
            <v>0</v>
          </cell>
          <cell r="AP24">
            <v>-14126.2699483642</v>
          </cell>
          <cell r="AQ24">
            <v>0</v>
          </cell>
          <cell r="AR24">
            <v>-16201.8826133459</v>
          </cell>
          <cell r="AS24">
            <v>0</v>
          </cell>
          <cell r="AT24">
            <v>-14050.3992253716</v>
          </cell>
          <cell r="AU24">
            <v>0</v>
          </cell>
          <cell r="AV24">
            <v>-14709.167303487</v>
          </cell>
          <cell r="AW24">
            <v>0</v>
          </cell>
        </row>
        <row r="25">
          <cell r="A25" t="str">
            <v>EPMI-LT-OPTIONA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4357.7348706522</v>
          </cell>
          <cell r="Y25">
            <v>0</v>
          </cell>
          <cell r="Z25">
            <v>-42956.3367654001</v>
          </cell>
          <cell r="AA25">
            <v>0</v>
          </cell>
          <cell r="AB25">
            <v>-37954.1729236287</v>
          </cell>
          <cell r="AC25">
            <v>0</v>
          </cell>
          <cell r="AD25">
            <v>-12876.337707702</v>
          </cell>
          <cell r="AE25">
            <v>0</v>
          </cell>
          <cell r="AF25">
            <v>-17529.7376625027</v>
          </cell>
          <cell r="AG25">
            <v>0</v>
          </cell>
          <cell r="AH25">
            <v>11297.1702164552</v>
          </cell>
          <cell r="AI25">
            <v>0</v>
          </cell>
          <cell r="AJ25">
            <v>-1513.74678656904</v>
          </cell>
          <cell r="AK25">
            <v>0</v>
          </cell>
          <cell r="AL25">
            <v>-7048.21598659645</v>
          </cell>
          <cell r="AM25">
            <v>0</v>
          </cell>
          <cell r="AN25">
            <v>-6988.59150498398</v>
          </cell>
          <cell r="AO25">
            <v>0</v>
          </cell>
          <cell r="AP25">
            <v>-5493.75008931011</v>
          </cell>
          <cell r="AQ25">
            <v>0</v>
          </cell>
          <cell r="AR25">
            <v>-6607.45756075042</v>
          </cell>
          <cell r="AS25">
            <v>0</v>
          </cell>
          <cell r="AT25">
            <v>-5486.98148445173</v>
          </cell>
          <cell r="AU25">
            <v>0</v>
          </cell>
          <cell r="AV25">
            <v>-5504.99556215724</v>
          </cell>
          <cell r="AW25">
            <v>0</v>
          </cell>
        </row>
        <row r="26">
          <cell r="A26" t="str">
            <v>EPMI-LT-OPTIONB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13981.0400541519</v>
          </cell>
          <cell r="Y26">
            <v>0</v>
          </cell>
          <cell r="Z26">
            <v>-36581.8093501541</v>
          </cell>
          <cell r="AA26">
            <v>0</v>
          </cell>
          <cell r="AB26">
            <v>-31078.0436270148</v>
          </cell>
          <cell r="AC26">
            <v>0</v>
          </cell>
          <cell r="AD26">
            <v>-2717.22354662836</v>
          </cell>
          <cell r="AE26">
            <v>0</v>
          </cell>
          <cell r="AF26">
            <v>-2622.18426565415</v>
          </cell>
          <cell r="AG26">
            <v>0</v>
          </cell>
          <cell r="AH26">
            <v>31868.4031958653</v>
          </cell>
          <cell r="AI26">
            <v>0</v>
          </cell>
          <cell r="AJ26">
            <v>346.337504392179</v>
          </cell>
          <cell r="AK26">
            <v>0</v>
          </cell>
          <cell r="AL26">
            <v>-46767.7666188191</v>
          </cell>
          <cell r="AM26">
            <v>0</v>
          </cell>
          <cell r="AN26">
            <v>-44187.9307724647</v>
          </cell>
          <cell r="AO26">
            <v>0</v>
          </cell>
          <cell r="AP26">
            <v>15698.0186742363</v>
          </cell>
          <cell r="AQ26">
            <v>0</v>
          </cell>
          <cell r="AR26">
            <v>214.378464302068</v>
          </cell>
          <cell r="AS26">
            <v>0</v>
          </cell>
          <cell r="AT26">
            <v>3007.22888065095</v>
          </cell>
          <cell r="AU26">
            <v>0</v>
          </cell>
          <cell r="AV26">
            <v>2745.96141936578</v>
          </cell>
          <cell r="AW26">
            <v>0</v>
          </cell>
        </row>
        <row r="27">
          <cell r="A27" t="str">
            <v>EPMI-LT-OPTY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-18419.0244217018</v>
          </cell>
          <cell r="Y27">
            <v>-193.113567042009</v>
          </cell>
          <cell r="Z27">
            <v>-3108.12449866295</v>
          </cell>
          <cell r="AA27">
            <v>0</v>
          </cell>
          <cell r="AB27">
            <v>-3732.39043326939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EPMI-LT-OPTZ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2155.34537703947</v>
          </cell>
          <cell r="W28">
            <v>0</v>
          </cell>
          <cell r="X28">
            <v>-891.954551524648</v>
          </cell>
          <cell r="Y28">
            <v>0</v>
          </cell>
          <cell r="Z28">
            <v>9056.89689854993</v>
          </cell>
          <cell r="AA28">
            <v>0</v>
          </cell>
          <cell r="AB28">
            <v>9098.84206844903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 t="str">
            <v>EPMI-LT-PJM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109439.602064499</v>
          </cell>
          <cell r="W29">
            <v>36086.5498185594</v>
          </cell>
          <cell r="X29">
            <v>303904.676704597</v>
          </cell>
          <cell r="Y29">
            <v>131809.074986666</v>
          </cell>
          <cell r="Z29">
            <v>306155.742360717</v>
          </cell>
          <cell r="AA29">
            <v>36591.8364768207</v>
          </cell>
          <cell r="AB29">
            <v>278147.043701546</v>
          </cell>
          <cell r="AC29">
            <v>33535.0273353503</v>
          </cell>
          <cell r="AD29">
            <v>301653.912624676</v>
          </cell>
          <cell r="AE29">
            <v>86248.4008006401</v>
          </cell>
          <cell r="AF29">
            <v>331079.76583211</v>
          </cell>
          <cell r="AG29">
            <v>90839.0206791145</v>
          </cell>
          <cell r="AH29">
            <v>139336.687293156</v>
          </cell>
          <cell r="AI29">
            <v>38734.3614653571</v>
          </cell>
          <cell r="AJ29">
            <v>110587.359074977</v>
          </cell>
          <cell r="AK29">
            <v>39442.3807875389</v>
          </cell>
          <cell r="AL29">
            <v>-232260.042202739</v>
          </cell>
          <cell r="AM29">
            <v>19284.9395082993</v>
          </cell>
          <cell r="AN29">
            <v>-233028.825556414</v>
          </cell>
          <cell r="AO29">
            <v>19237.052810157</v>
          </cell>
          <cell r="AP29">
            <v>-31354.3714205035</v>
          </cell>
          <cell r="AQ29">
            <v>19585.8325279994</v>
          </cell>
          <cell r="AR29">
            <v>771827.261643655</v>
          </cell>
          <cell r="AS29">
            <v>92056.2020494004</v>
          </cell>
          <cell r="AT29">
            <v>669325.019145434</v>
          </cell>
          <cell r="AU29">
            <v>97422.5941793785</v>
          </cell>
          <cell r="AV29">
            <v>700714.520544406</v>
          </cell>
          <cell r="AW29">
            <v>99064.9964544761</v>
          </cell>
        </row>
        <row r="30">
          <cell r="A30" t="str">
            <v>EPMI-LT-SERC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11179.7245764834</v>
          </cell>
          <cell r="W30">
            <v>0</v>
          </cell>
          <cell r="X30">
            <v>-31882.9578608703</v>
          </cell>
          <cell r="Y30">
            <v>0</v>
          </cell>
          <cell r="Z30">
            <v>122524.078882044</v>
          </cell>
          <cell r="AA30">
            <v>0</v>
          </cell>
          <cell r="AB30">
            <v>111208.849762489</v>
          </cell>
          <cell r="AC30">
            <v>0</v>
          </cell>
          <cell r="AD30">
            <v>83254.000697357</v>
          </cell>
          <cell r="AE30">
            <v>0</v>
          </cell>
          <cell r="AF30">
            <v>87055.0851022374</v>
          </cell>
          <cell r="AG30">
            <v>0</v>
          </cell>
          <cell r="AH30">
            <v>-34751.9920462625</v>
          </cell>
          <cell r="AI30">
            <v>0</v>
          </cell>
          <cell r="AJ30">
            <v>31526.8695627823</v>
          </cell>
          <cell r="AK30">
            <v>0</v>
          </cell>
          <cell r="AL30">
            <v>17300.414592961</v>
          </cell>
          <cell r="AM30">
            <v>0</v>
          </cell>
          <cell r="AN30">
            <v>17259.1799104621</v>
          </cell>
          <cell r="AO30">
            <v>0</v>
          </cell>
          <cell r="AP30">
            <v>62606.5065867812</v>
          </cell>
          <cell r="AQ30">
            <v>0</v>
          </cell>
          <cell r="AR30">
            <v>71805.4570851632</v>
          </cell>
          <cell r="AS30">
            <v>0</v>
          </cell>
          <cell r="AT30">
            <v>62270.2535676796</v>
          </cell>
          <cell r="AU30">
            <v>0</v>
          </cell>
          <cell r="AV30">
            <v>65189.8613744432</v>
          </cell>
          <cell r="AW30">
            <v>0</v>
          </cell>
        </row>
        <row r="30">
          <cell r="AZ30" t="str">
            <v> </v>
          </cell>
        </row>
        <row r="31">
          <cell r="A31" t="str">
            <v>EPMI-LT-SPP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66279.7957034374</v>
          </cell>
          <cell r="W31">
            <v>0</v>
          </cell>
          <cell r="X31">
            <v>-215106.92562133</v>
          </cell>
          <cell r="Y31">
            <v>-21122.4595828265</v>
          </cell>
          <cell r="Z31">
            <v>122524.078882043</v>
          </cell>
          <cell r="AA31">
            <v>-58477.4012846118</v>
          </cell>
          <cell r="AB31">
            <v>111208.849762489</v>
          </cell>
          <cell r="AC31">
            <v>-52427.0291737449</v>
          </cell>
          <cell r="AD31">
            <v>-99904.8008368283</v>
          </cell>
          <cell r="AE31">
            <v>-60656.4862223601</v>
          </cell>
          <cell r="AF31">
            <v>-104466.102122685</v>
          </cell>
          <cell r="AG31">
            <v>-54458.8913054337</v>
          </cell>
          <cell r="AH31">
            <v>-191135.956254447</v>
          </cell>
          <cell r="AI31">
            <v>-58051.6230772803</v>
          </cell>
          <cell r="AJ31">
            <v>63053.7391255643</v>
          </cell>
          <cell r="AK31">
            <v>-59112.8804302167</v>
          </cell>
          <cell r="AL31">
            <v>-382257.745387326</v>
          </cell>
          <cell r="AM31">
            <v>-57799.1123901204</v>
          </cell>
          <cell r="AN31">
            <v>-381699.439052135</v>
          </cell>
          <cell r="AO31">
            <v>-57661.3510644999</v>
          </cell>
          <cell r="AP31">
            <v>-250426.026347125</v>
          </cell>
          <cell r="AQ31">
            <v>-58693.5999251073</v>
          </cell>
          <cell r="AR31">
            <v>-17951.3642712901</v>
          </cell>
          <cell r="AS31">
            <v>-55171.1766055158</v>
          </cell>
          <cell r="AT31">
            <v>-15567.5633919206</v>
          </cell>
          <cell r="AU31">
            <v>-58378.3627196997</v>
          </cell>
          <cell r="AV31">
            <v>-16297.46534361</v>
          </cell>
          <cell r="AW31">
            <v>-59369.3380374393</v>
          </cell>
        </row>
        <row r="32">
          <cell r="A32" t="str">
            <v>EPMI-MIDWEST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36398.4249031961</v>
          </cell>
          <cell r="W32">
            <v>10785.6384829987</v>
          </cell>
          <cell r="X32">
            <v>-67192.111018925</v>
          </cell>
          <cell r="Y32">
            <v>54584.2937962629</v>
          </cell>
          <cell r="Z32">
            <v>-536056.932989045</v>
          </cell>
          <cell r="AA32">
            <v>-164732.528571374</v>
          </cell>
          <cell r="AB32">
            <v>-456721.995944808</v>
          </cell>
          <cell r="AC32">
            <v>-147675.686635207</v>
          </cell>
          <cell r="AD32">
            <v>-642690.5034467</v>
          </cell>
          <cell r="AE32">
            <v>-231974.674393218</v>
          </cell>
          <cell r="AF32">
            <v>-621056.766761567</v>
          </cell>
          <cell r="AG32">
            <v>-207347.681042132</v>
          </cell>
          <cell r="AH32">
            <v>-501984.544696061</v>
          </cell>
          <cell r="AI32">
            <v>-47455.4191358773</v>
          </cell>
          <cell r="AJ32">
            <v>-346700.942455234</v>
          </cell>
          <cell r="AK32">
            <v>-48832.8539882515</v>
          </cell>
          <cell r="AL32">
            <v>100948.791012458</v>
          </cell>
          <cell r="AM32">
            <v>-8474.36208858842</v>
          </cell>
          <cell r="AN32">
            <v>90255.1441782951</v>
          </cell>
          <cell r="AO32">
            <v>-8456.08586435821</v>
          </cell>
          <cell r="AP32">
            <v>-312913.257303976</v>
          </cell>
          <cell r="AQ32">
            <v>-87606.5107822329</v>
          </cell>
          <cell r="AR32">
            <v>807116.792555837</v>
          </cell>
          <cell r="AS32">
            <v>-79890.6554723331</v>
          </cell>
          <cell r="AT32">
            <v>699988.465136794</v>
          </cell>
          <cell r="AU32">
            <v>-86155.2530908049</v>
          </cell>
          <cell r="AV32">
            <v>732768.917340518</v>
          </cell>
          <cell r="AW32">
            <v>-87406.9232483182</v>
          </cell>
        </row>
        <row r="33">
          <cell r="A33" t="str">
            <v>EPMI-MIDWEST-HR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238956.859930618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166508.001394714</v>
          </cell>
          <cell r="AE33">
            <v>0</v>
          </cell>
          <cell r="AF33">
            <v>174110.170204475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-86502.072964806</v>
          </cell>
          <cell r="AM33">
            <v>0</v>
          </cell>
          <cell r="AN33">
            <v>-86295.8995523129</v>
          </cell>
          <cell r="AO33">
            <v>0</v>
          </cell>
          <cell r="AP33">
            <v>0</v>
          </cell>
          <cell r="AQ33">
            <v>0</v>
          </cell>
          <cell r="AR33">
            <v>753957.299394214</v>
          </cell>
          <cell r="AS33">
            <v>0</v>
          </cell>
          <cell r="AT33">
            <v>653837.662460636</v>
          </cell>
          <cell r="AU33">
            <v>0</v>
          </cell>
          <cell r="AV33">
            <v>684493.544431654</v>
          </cell>
          <cell r="AW33">
            <v>0</v>
          </cell>
        </row>
        <row r="34">
          <cell r="A34" t="str">
            <v>EPMI-MW-OFF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</row>
        <row r="35">
          <cell r="A35" t="str">
            <v>EPMI-NE TRANS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</row>
        <row r="36">
          <cell r="A36" t="str">
            <v>EPMI-NE-PHYS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7991.62318315674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</row>
        <row r="37">
          <cell r="A37" t="str">
            <v>EPMI-SE-ANALYST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</row>
        <row r="38">
          <cell r="A38" t="str">
            <v>EPMI-SOUTHEAST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</row>
        <row r="39">
          <cell r="A39" t="str">
            <v>EPMI-ST-ECAR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406.474073821836</v>
          </cell>
          <cell r="W39">
            <v>0</v>
          </cell>
          <cell r="X39">
            <v>-31882.9578608701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</row>
        <row r="40">
          <cell r="A40" t="str">
            <v>EPMI-ST-ERCOT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-28747.8631966717</v>
          </cell>
          <cell r="W40">
            <v>0</v>
          </cell>
          <cell r="X40">
            <v>-63765.9157217402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</row>
        <row r="41">
          <cell r="A41" t="str">
            <v>EPMI-ST-HOURLY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</row>
        <row r="41">
          <cell r="AZ41">
            <v>-18002341.4849474</v>
          </cell>
        </row>
        <row r="42">
          <cell r="A42" t="str">
            <v>EPMI-ST-MAPP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-7190.01861343079</v>
          </cell>
          <cell r="W42">
            <v>17167.3363353253</v>
          </cell>
          <cell r="X42">
            <v>0</v>
          </cell>
          <cell r="Y42">
            <v>21122.4595828265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</row>
        <row r="43">
          <cell r="A43" t="str">
            <v>EPMI-ST-NENG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-19057.81522626</v>
          </cell>
          <cell r="W43">
            <v>8594.20037686952</v>
          </cell>
          <cell r="X43">
            <v>-78013.1233800111</v>
          </cell>
          <cell r="Y43">
            <v>-84459.3020041349</v>
          </cell>
          <cell r="Z43">
            <v>-123842.541733765</v>
          </cell>
          <cell r="AA43">
            <v>-19492.4670948707</v>
          </cell>
          <cell r="AB43">
            <v>-111408.590411459</v>
          </cell>
          <cell r="AC43">
            <v>-17475.6763912489</v>
          </cell>
          <cell r="AD43">
            <v>89624.7515966981</v>
          </cell>
          <cell r="AE43">
            <v>-20218.8287407867</v>
          </cell>
          <cell r="AF43">
            <v>93731.5112376408</v>
          </cell>
          <cell r="AG43">
            <v>-18152.9637684779</v>
          </cell>
          <cell r="AH43">
            <v>57847.5764611497</v>
          </cell>
          <cell r="AI43">
            <v>-18263.6074132118</v>
          </cell>
          <cell r="AJ43">
            <v>-332725.555634293</v>
          </cell>
          <cell r="AK43">
            <v>59112.8804302167</v>
          </cell>
          <cell r="AL43">
            <v>-112444.472520791</v>
          </cell>
          <cell r="AM43">
            <v>57799.1123901204</v>
          </cell>
          <cell r="AN43">
            <v>-112885.404385139</v>
          </cell>
          <cell r="AO43">
            <v>57661.3510645001</v>
          </cell>
          <cell r="AP43">
            <v>-9479.33475166693</v>
          </cell>
          <cell r="AQ43">
            <v>58693.5999251075</v>
          </cell>
          <cell r="AR43">
            <v>51899.7932494929</v>
          </cell>
          <cell r="AS43">
            <v>55171.176605516</v>
          </cell>
          <cell r="AT43">
            <v>45010.3098794289</v>
          </cell>
          <cell r="AU43">
            <v>58378.3627196997</v>
          </cell>
          <cell r="AV43">
            <v>47118.7971507501</v>
          </cell>
          <cell r="AW43">
            <v>59369.3380374391</v>
          </cell>
        </row>
        <row r="44">
          <cell r="A44" t="str">
            <v>EPMI-ST-NY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-37560.6289608368</v>
          </cell>
          <cell r="W44">
            <v>33964.3985284162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</row>
        <row r="45">
          <cell r="A45" t="str">
            <v>EPMI-ST-PJM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17587.6766314712</v>
          </cell>
          <cell r="W45">
            <v>63533.4043060963</v>
          </cell>
          <cell r="X45">
            <v>-87741.5114001999</v>
          </cell>
          <cell r="Y45">
            <v>105688.63873206</v>
          </cell>
          <cell r="Z45">
            <v>-490480.90561498</v>
          </cell>
          <cell r="AA45">
            <v>-58521.7075093457</v>
          </cell>
          <cell r="AB45">
            <v>-445170.452594869</v>
          </cell>
          <cell r="AC45">
            <v>-52465.1559564419</v>
          </cell>
          <cell r="AD45">
            <v>-33193.9217682716</v>
          </cell>
          <cell r="AE45">
            <v>-20237.5076661072</v>
          </cell>
          <cell r="AF45">
            <v>-34722.3973511456</v>
          </cell>
          <cell r="AG45">
            <v>-18167.8041358229</v>
          </cell>
          <cell r="AH45">
            <v>0</v>
          </cell>
          <cell r="AI45">
            <v>-19367.1807326785</v>
          </cell>
          <cell r="AJ45">
            <v>0</v>
          </cell>
          <cell r="AK45">
            <v>-19721.1903937694</v>
          </cell>
          <cell r="AL45">
            <v>10511.4533998536</v>
          </cell>
          <cell r="AM45">
            <v>-19284.9395082993</v>
          </cell>
          <cell r="AN45">
            <v>9782.63979656234</v>
          </cell>
          <cell r="AO45">
            <v>-19237.0528101571</v>
          </cell>
          <cell r="AP45">
            <v>0</v>
          </cell>
          <cell r="AQ45">
            <v>-19585.8325279995</v>
          </cell>
          <cell r="AR45">
            <v>0</v>
          </cell>
          <cell r="AS45">
            <v>-18411.2404098801</v>
          </cell>
          <cell r="AT45">
            <v>0</v>
          </cell>
          <cell r="AU45">
            <v>-19484.5188358757</v>
          </cell>
          <cell r="AV45">
            <v>0</v>
          </cell>
          <cell r="AW45">
            <v>-19812.9992908952</v>
          </cell>
        </row>
        <row r="46">
          <cell r="A46" t="str">
            <v>EPMI-ST-PJM-OFF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-10410.4798379438</v>
          </cell>
          <cell r="W46">
            <v>6787.68992143641</v>
          </cell>
          <cell r="X46">
            <v>-15953.0020727638</v>
          </cell>
          <cell r="Y46">
            <v>21122.4595828265</v>
          </cell>
          <cell r="Z46">
            <v>0</v>
          </cell>
          <cell r="AA46">
            <v>14.7687415778</v>
          </cell>
          <cell r="AB46">
            <v>0</v>
          </cell>
          <cell r="AC46">
            <v>12.7089275659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</row>
        <row r="47">
          <cell r="A47" t="str">
            <v>EPMI-ST-SERC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EPMI-ST-SPP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</row>
        <row r="49">
          <cell r="A49" t="str">
            <v>PWR-CL-LT-OPT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</row>
        <row r="50">
          <cell r="A50" t="str">
            <v>PWR-COAL-MGMT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</row>
        <row r="51">
          <cell r="A51" t="str">
            <v>PWR-COAL-MW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23191.4106</v>
          </cell>
          <cell r="AA51">
            <v>0</v>
          </cell>
          <cell r="AB51">
            <v>23148.0807</v>
          </cell>
          <cell r="AC51">
            <v>0</v>
          </cell>
          <cell r="AD51">
            <v>23110.3722</v>
          </cell>
          <cell r="AE51">
            <v>0</v>
          </cell>
          <cell r="AF51">
            <v>-23070.45</v>
          </cell>
          <cell r="AG51">
            <v>0</v>
          </cell>
          <cell r="AH51">
            <v>-23027.781</v>
          </cell>
          <cell r="AI51">
            <v>0</v>
          </cell>
          <cell r="AJ51">
            <v>-22982.8613</v>
          </cell>
          <cell r="AK51">
            <v>0</v>
          </cell>
          <cell r="AL51">
            <v>-30582.9548</v>
          </cell>
          <cell r="AM51">
            <v>0</v>
          </cell>
          <cell r="AN51">
            <v>-30515.102</v>
          </cell>
          <cell r="AO51">
            <v>0</v>
          </cell>
          <cell r="AP51">
            <v>-30444.8364</v>
          </cell>
          <cell r="AQ51">
            <v>0</v>
          </cell>
          <cell r="AR51">
            <v>68339.467</v>
          </cell>
          <cell r="AS51">
            <v>0</v>
          </cell>
          <cell r="AT51">
            <v>68161.6746</v>
          </cell>
          <cell r="AU51">
            <v>0</v>
          </cell>
          <cell r="AV51">
            <v>67983.1218</v>
          </cell>
          <cell r="AW51">
            <v>0</v>
          </cell>
        </row>
        <row r="52">
          <cell r="A52" t="str">
            <v>PWR-COAL-MW-OFF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</row>
        <row r="53">
          <cell r="A53" t="str">
            <v>PWR-GAS-LT-MGMT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-1347500</v>
          </cell>
          <cell r="W53">
            <v>0</v>
          </cell>
          <cell r="X53">
            <v>-2996387.593</v>
          </cell>
          <cell r="Y53">
            <v>0</v>
          </cell>
          <cell r="Z53">
            <v>3394860.4395</v>
          </cell>
          <cell r="AA53">
            <v>0</v>
          </cell>
          <cell r="AB53">
            <v>-6236603.6703</v>
          </cell>
          <cell r="AC53">
            <v>0</v>
          </cell>
          <cell r="AD53">
            <v>-187927.5829</v>
          </cell>
          <cell r="AE53">
            <v>0</v>
          </cell>
          <cell r="AF53">
            <v>-819403.8405</v>
          </cell>
          <cell r="AG53">
            <v>0</v>
          </cell>
          <cell r="AH53">
            <v>-919408.6678</v>
          </cell>
          <cell r="AI53">
            <v>0</v>
          </cell>
          <cell r="AJ53">
            <v>-816292.9198</v>
          </cell>
          <cell r="AK53">
            <v>0</v>
          </cell>
          <cell r="AL53">
            <v>-915792.772</v>
          </cell>
          <cell r="AM53">
            <v>0</v>
          </cell>
          <cell r="AN53">
            <v>-913760.9501</v>
          </cell>
          <cell r="AO53">
            <v>0</v>
          </cell>
          <cell r="AP53">
            <v>-2775175.5034</v>
          </cell>
          <cell r="AQ53">
            <v>0</v>
          </cell>
          <cell r="AR53">
            <v>-2379174.6239</v>
          </cell>
          <cell r="AS53">
            <v>0</v>
          </cell>
          <cell r="AT53">
            <v>1476530.4061</v>
          </cell>
          <cell r="AU53">
            <v>0</v>
          </cell>
          <cell r="AV53">
            <v>1533579.3402</v>
          </cell>
          <cell r="AW53">
            <v>0</v>
          </cell>
        </row>
        <row r="54">
          <cell r="A54" t="str">
            <v>PWR-HO-PRC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</row>
        <row r="55">
          <cell r="A55" t="str">
            <v>PWR-MW-GAS-MTM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-2172500</v>
          </cell>
          <cell r="W55">
            <v>0</v>
          </cell>
          <cell r="X55">
            <v>-11302603.0481</v>
          </cell>
          <cell r="Y55">
            <v>0</v>
          </cell>
          <cell r="Z55">
            <v>112279.3447</v>
          </cell>
          <cell r="AA55">
            <v>0</v>
          </cell>
          <cell r="AB55">
            <v>17604551.3926</v>
          </cell>
          <cell r="AC55">
            <v>0</v>
          </cell>
          <cell r="AD55">
            <v>-3416793.4949</v>
          </cell>
          <cell r="AE55">
            <v>0</v>
          </cell>
          <cell r="AF55">
            <v>-7024549.1694</v>
          </cell>
          <cell r="AG55">
            <v>0</v>
          </cell>
          <cell r="AH55">
            <v>-3645044.17</v>
          </cell>
          <cell r="AI55">
            <v>0</v>
          </cell>
          <cell r="AJ55">
            <v>-1066818.9598</v>
          </cell>
          <cell r="AK55">
            <v>0</v>
          </cell>
          <cell r="AL55">
            <v>-1164341.4318</v>
          </cell>
          <cell r="AM55">
            <v>0</v>
          </cell>
          <cell r="AN55">
            <v>-1161758.1688</v>
          </cell>
          <cell r="AO55">
            <v>0</v>
          </cell>
          <cell r="AP55">
            <v>-1059891.806</v>
          </cell>
          <cell r="AQ55">
            <v>0</v>
          </cell>
          <cell r="AR55">
            <v>-2136129.1039</v>
          </cell>
          <cell r="AS55">
            <v>0</v>
          </cell>
          <cell r="AT55">
            <v>4929201.1439</v>
          </cell>
          <cell r="AU55">
            <v>0</v>
          </cell>
          <cell r="AV55">
            <v>5175550.6659</v>
          </cell>
          <cell r="AW55">
            <v>0</v>
          </cell>
        </row>
        <row r="56">
          <cell r="A56" t="str">
            <v>PWR-NE-GAS-MTM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-4596794.6178</v>
          </cell>
          <cell r="Y56">
            <v>0</v>
          </cell>
          <cell r="Z56">
            <v>-2321136.0289</v>
          </cell>
          <cell r="AA56">
            <v>0</v>
          </cell>
          <cell r="AB56">
            <v>-35842.1897</v>
          </cell>
          <cell r="AC56">
            <v>0</v>
          </cell>
          <cell r="AD56">
            <v>-1234541.1779</v>
          </cell>
          <cell r="AE56">
            <v>0</v>
          </cell>
          <cell r="AF56">
            <v>-59536.6449</v>
          </cell>
          <cell r="AG56">
            <v>0</v>
          </cell>
          <cell r="AH56">
            <v>-1980.8843</v>
          </cell>
          <cell r="AI56">
            <v>0</v>
          </cell>
          <cell r="AJ56">
            <v>-59310.6105</v>
          </cell>
          <cell r="AK56">
            <v>0</v>
          </cell>
          <cell r="AL56">
            <v>-1973.094</v>
          </cell>
          <cell r="AM56">
            <v>0</v>
          </cell>
          <cell r="AN56">
            <v>-1968.7163</v>
          </cell>
          <cell r="AO56">
            <v>0</v>
          </cell>
          <cell r="AP56">
            <v>-58925.4901</v>
          </cell>
          <cell r="AQ56">
            <v>0</v>
          </cell>
          <cell r="AR56">
            <v>-1959.555</v>
          </cell>
          <cell r="AS56">
            <v>0</v>
          </cell>
          <cell r="AT56">
            <v>234534.7937</v>
          </cell>
          <cell r="AU56">
            <v>0</v>
          </cell>
          <cell r="AV56">
            <v>300197.8707</v>
          </cell>
          <cell r="AW56">
            <v>0</v>
          </cell>
        </row>
        <row r="57">
          <cell r="A57" t="str">
            <v>PWR-NG-CENTRAL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</row>
        <row r="58">
          <cell r="A58" t="str">
            <v>PWR-NG-ERCT-AST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-50000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A59" t="str">
            <v>PWR-NG-ERCT-OFF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309783.9851</v>
          </cell>
          <cell r="Y59">
            <v>0</v>
          </cell>
          <cell r="Z59">
            <v>371062.5716</v>
          </cell>
          <cell r="AA59">
            <v>0</v>
          </cell>
          <cell r="AB59">
            <v>334527.1007</v>
          </cell>
          <cell r="AC59">
            <v>0</v>
          </cell>
          <cell r="AD59">
            <v>369765.9571</v>
          </cell>
          <cell r="AE59">
            <v>0</v>
          </cell>
          <cell r="AF59">
            <v>357219.8712</v>
          </cell>
          <cell r="AG59">
            <v>0</v>
          </cell>
          <cell r="AH59">
            <v>368444.4956</v>
          </cell>
          <cell r="AI59">
            <v>0</v>
          </cell>
          <cell r="AJ59">
            <v>355863.6624</v>
          </cell>
          <cell r="AK59">
            <v>0</v>
          </cell>
          <cell r="AL59">
            <v>366995.4581</v>
          </cell>
          <cell r="AM59">
            <v>0</v>
          </cell>
          <cell r="AN59">
            <v>366181.2245</v>
          </cell>
          <cell r="AO59">
            <v>0</v>
          </cell>
          <cell r="AP59">
            <v>353552.9401</v>
          </cell>
          <cell r="AQ59">
            <v>0</v>
          </cell>
          <cell r="AR59">
            <v>364477.1592</v>
          </cell>
          <cell r="AS59">
            <v>0</v>
          </cell>
          <cell r="AT59">
            <v>351802.1904</v>
          </cell>
          <cell r="AU59">
            <v>0</v>
          </cell>
          <cell r="AV59">
            <v>362576.649</v>
          </cell>
          <cell r="AW59">
            <v>0</v>
          </cell>
        </row>
        <row r="60">
          <cell r="A60" t="str">
            <v>PWR-NG-ERCT-OPT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-162386.7664</v>
          </cell>
          <cell r="Y60">
            <v>0</v>
          </cell>
          <cell r="Z60">
            <v>192014.9057</v>
          </cell>
          <cell r="AA60">
            <v>0</v>
          </cell>
          <cell r="AB60">
            <v>-99561.6371</v>
          </cell>
          <cell r="AC60">
            <v>0</v>
          </cell>
          <cell r="AD60">
            <v>-126734.2996</v>
          </cell>
          <cell r="AE60">
            <v>0</v>
          </cell>
          <cell r="AF60">
            <v>-272876.2905</v>
          </cell>
          <cell r="AG60">
            <v>0</v>
          </cell>
          <cell r="AH60">
            <v>-279799.9189</v>
          </cell>
          <cell r="AI60">
            <v>0</v>
          </cell>
          <cell r="AJ60">
            <v>-261955.1959</v>
          </cell>
          <cell r="AK60">
            <v>0</v>
          </cell>
          <cell r="AL60">
            <v>-249103.1002</v>
          </cell>
          <cell r="AM60">
            <v>0</v>
          </cell>
          <cell r="AN60">
            <v>-248550.4282</v>
          </cell>
          <cell r="AO60">
            <v>0</v>
          </cell>
          <cell r="AP60">
            <v>-250433.3328</v>
          </cell>
          <cell r="AQ60">
            <v>0</v>
          </cell>
          <cell r="AR60">
            <v>-257191.5438</v>
          </cell>
          <cell r="AS60">
            <v>0</v>
          </cell>
          <cell r="AT60">
            <v>-29316.8492</v>
          </cell>
          <cell r="AU60">
            <v>0</v>
          </cell>
          <cell r="AV60">
            <v>-29240.0523</v>
          </cell>
          <cell r="AW60">
            <v>0</v>
          </cell>
        </row>
        <row r="61">
          <cell r="A61" t="str">
            <v>PWR-NG-HEDGE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</row>
        <row r="62">
          <cell r="A62" t="str">
            <v>PWR-NG-LT-ERCOT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154609.4046</v>
          </cell>
          <cell r="AA62">
            <v>0</v>
          </cell>
          <cell r="AB62">
            <v>139386.292</v>
          </cell>
          <cell r="AC62">
            <v>0</v>
          </cell>
          <cell r="AD62">
            <v>154069.1486</v>
          </cell>
          <cell r="AE62">
            <v>0</v>
          </cell>
          <cell r="AF62">
            <v>818628.8718</v>
          </cell>
          <cell r="AG62">
            <v>0</v>
          </cell>
          <cell r="AH62">
            <v>844351.9678</v>
          </cell>
          <cell r="AI62">
            <v>0</v>
          </cell>
          <cell r="AJ62">
            <v>815520.8931</v>
          </cell>
          <cell r="AK62">
            <v>0</v>
          </cell>
          <cell r="AL62">
            <v>841031.2593</v>
          </cell>
          <cell r="AM62">
            <v>0</v>
          </cell>
          <cell r="AN62">
            <v>839165.3073</v>
          </cell>
          <cell r="AO62">
            <v>0</v>
          </cell>
          <cell r="AP62">
            <v>810225.4883</v>
          </cell>
          <cell r="AQ62">
            <v>0</v>
          </cell>
          <cell r="AR62">
            <v>835260.1562</v>
          </cell>
          <cell r="AS62">
            <v>0</v>
          </cell>
          <cell r="AT62">
            <v>146584.2461</v>
          </cell>
          <cell r="AU62">
            <v>0</v>
          </cell>
          <cell r="AV62">
            <v>151073.6036</v>
          </cell>
          <cell r="AW62">
            <v>0</v>
          </cell>
        </row>
        <row r="63">
          <cell r="A63" t="str">
            <v>PWR-NG-LT-OPT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43113.7137</v>
          </cell>
          <cell r="AA63">
            <v>0</v>
          </cell>
          <cell r="AB63">
            <v>38868.6619</v>
          </cell>
          <cell r="AC63">
            <v>0</v>
          </cell>
          <cell r="AD63">
            <v>42963.0602</v>
          </cell>
          <cell r="AE63">
            <v>0</v>
          </cell>
          <cell r="AF63">
            <v>41505.332</v>
          </cell>
          <cell r="AG63">
            <v>0</v>
          </cell>
          <cell r="AH63">
            <v>42809.5198</v>
          </cell>
          <cell r="AI63">
            <v>0</v>
          </cell>
          <cell r="AJ63">
            <v>41347.7544</v>
          </cell>
          <cell r="AK63">
            <v>0</v>
          </cell>
          <cell r="AL63">
            <v>42641.1564</v>
          </cell>
          <cell r="AM63">
            <v>0</v>
          </cell>
          <cell r="AN63">
            <v>42546.5507</v>
          </cell>
          <cell r="AO63">
            <v>0</v>
          </cell>
          <cell r="AP63">
            <v>41079.272</v>
          </cell>
          <cell r="AQ63">
            <v>0</v>
          </cell>
          <cell r="AR63">
            <v>42348.5556</v>
          </cell>
          <cell r="AS63">
            <v>0</v>
          </cell>
          <cell r="AT63">
            <v>40875.8525</v>
          </cell>
          <cell r="AU63">
            <v>0</v>
          </cell>
          <cell r="AV63">
            <v>42127.7355</v>
          </cell>
          <cell r="AW63">
            <v>0</v>
          </cell>
        </row>
        <row r="64">
          <cell r="A64" t="str">
            <v>PWR-NG-LT-OPTA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</row>
        <row r="65">
          <cell r="A65" t="str">
            <v>PWR-NG-LT-OPTB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-774459.9625</v>
          </cell>
          <cell r="Y65">
            <v>0</v>
          </cell>
          <cell r="Z65">
            <v>618437.6184</v>
          </cell>
          <cell r="AA65">
            <v>0</v>
          </cell>
          <cell r="AB65">
            <v>0</v>
          </cell>
          <cell r="AC65">
            <v>0</v>
          </cell>
          <cell r="AD65">
            <v>-154069.1486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</row>
        <row r="66">
          <cell r="A66" t="str">
            <v>PWR-NG-LT-OPTY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-309783.9852</v>
          </cell>
          <cell r="Y66">
            <v>0</v>
          </cell>
          <cell r="Z66">
            <v>-199496.006</v>
          </cell>
          <cell r="AA66">
            <v>0</v>
          </cell>
          <cell r="AB66">
            <v>199123.2742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</row>
        <row r="67">
          <cell r="A67" t="str">
            <v>PWR-NG-LT-OPTZ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-77445.9966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</row>
        <row r="68">
          <cell r="A68" t="str">
            <v>PWR-NG-LT-SERC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-1084243.9474</v>
          </cell>
          <cell r="Y68">
            <v>0</v>
          </cell>
          <cell r="Z68">
            <v>-1546094.046</v>
          </cell>
          <cell r="AA68">
            <v>0</v>
          </cell>
          <cell r="AB68">
            <v>-1742328.6491</v>
          </cell>
          <cell r="AC68">
            <v>0</v>
          </cell>
          <cell r="AD68">
            <v>-308138.2972</v>
          </cell>
          <cell r="AE68">
            <v>0</v>
          </cell>
          <cell r="AF68">
            <v>-595366.4522</v>
          </cell>
          <cell r="AG68">
            <v>0</v>
          </cell>
          <cell r="AH68">
            <v>-614074.1584</v>
          </cell>
          <cell r="AI68">
            <v>0</v>
          </cell>
          <cell r="AJ68">
            <v>-593106.104</v>
          </cell>
          <cell r="AK68">
            <v>0</v>
          </cell>
          <cell r="AL68">
            <v>-611659.0976</v>
          </cell>
          <cell r="AM68">
            <v>0</v>
          </cell>
          <cell r="AN68">
            <v>-610302.0416</v>
          </cell>
          <cell r="AO68">
            <v>0</v>
          </cell>
          <cell r="AP68">
            <v>-589254.9005</v>
          </cell>
          <cell r="AQ68">
            <v>0</v>
          </cell>
          <cell r="AR68">
            <v>-607461.9318</v>
          </cell>
          <cell r="AS68">
            <v>0</v>
          </cell>
          <cell r="AT68">
            <v>-586336.984</v>
          </cell>
          <cell r="AU68">
            <v>0</v>
          </cell>
          <cell r="AV68">
            <v>-604294.4146</v>
          </cell>
          <cell r="AW68">
            <v>0</v>
          </cell>
        </row>
        <row r="69">
          <cell r="A69" t="str">
            <v>PWR-NG-LT-SPP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PWR-NG-MW-HR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-2585000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-1540691.4858</v>
          </cell>
          <cell r="AE70">
            <v>0</v>
          </cell>
          <cell r="AF70">
            <v>-1488416.1308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1376232.97</v>
          </cell>
          <cell r="AM70">
            <v>0</v>
          </cell>
          <cell r="AN70">
            <v>1373179.5938</v>
          </cell>
          <cell r="AO70">
            <v>0</v>
          </cell>
          <cell r="AP70">
            <v>0</v>
          </cell>
          <cell r="AQ70">
            <v>0</v>
          </cell>
          <cell r="AR70">
            <v>-5878663.8557</v>
          </cell>
          <cell r="AS70">
            <v>0</v>
          </cell>
          <cell r="AT70">
            <v>-5863369.8408</v>
          </cell>
          <cell r="AU70">
            <v>0</v>
          </cell>
          <cell r="AV70">
            <v>-5848010.4656</v>
          </cell>
          <cell r="AW70">
            <v>0</v>
          </cell>
        </row>
        <row r="71">
          <cell r="A71" t="str">
            <v>PWR-NG-MW-OFF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</row>
        <row r="72">
          <cell r="A72" t="str">
            <v>PWR-NG-ST-ECAR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-75000</v>
          </cell>
          <cell r="W72">
            <v>0</v>
          </cell>
          <cell r="X72">
            <v>154891.9925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PWR-NG-ST-MAPP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PWR-NG-ST-NENG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77445.9958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PWR-NG-ST-NY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77445.9961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PWR-NG-ST-TEXAS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1703811.9175</v>
          </cell>
          <cell r="Y76">
            <v>0</v>
          </cell>
          <cell r="Z76">
            <v>-3196424.7552</v>
          </cell>
          <cell r="AA76">
            <v>0</v>
          </cell>
          <cell r="AB76">
            <v>-1240537.998</v>
          </cell>
          <cell r="AC76">
            <v>0</v>
          </cell>
          <cell r="AD76">
            <v>-369765.9564</v>
          </cell>
          <cell r="AE76">
            <v>0</v>
          </cell>
          <cell r="AF76">
            <v>14884.1612</v>
          </cell>
          <cell r="AG76">
            <v>0</v>
          </cell>
          <cell r="AH76">
            <v>15351.8539</v>
          </cell>
          <cell r="AI76">
            <v>0</v>
          </cell>
          <cell r="AJ76">
            <v>14827.6526</v>
          </cell>
          <cell r="AK76">
            <v>0</v>
          </cell>
          <cell r="AL76">
            <v>15291.4775</v>
          </cell>
          <cell r="AM76">
            <v>0</v>
          </cell>
          <cell r="AN76">
            <v>15257.5511</v>
          </cell>
          <cell r="AO76">
            <v>0</v>
          </cell>
          <cell r="AP76">
            <v>14731.3727</v>
          </cell>
          <cell r="AQ76">
            <v>0</v>
          </cell>
          <cell r="AR76">
            <v>15186.5484</v>
          </cell>
          <cell r="AS76">
            <v>0</v>
          </cell>
          <cell r="AT76">
            <v>14658.4246</v>
          </cell>
          <cell r="AU76">
            <v>0</v>
          </cell>
          <cell r="AV76">
            <v>15107.3603</v>
          </cell>
          <cell r="AW76">
            <v>0</v>
          </cell>
        </row>
        <row r="77">
          <cell r="A77" t="str">
            <v>PWR-NG-TEXAS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-550000</v>
          </cell>
          <cell r="W77">
            <v>0</v>
          </cell>
          <cell r="X77">
            <v>1169184.7182</v>
          </cell>
          <cell r="Y77">
            <v>0</v>
          </cell>
          <cell r="Z77">
            <v>872795.026</v>
          </cell>
          <cell r="AA77">
            <v>0</v>
          </cell>
          <cell r="AB77">
            <v>477895.8582</v>
          </cell>
          <cell r="AC77">
            <v>0</v>
          </cell>
          <cell r="AD77">
            <v>725615.9901</v>
          </cell>
          <cell r="AE77">
            <v>0</v>
          </cell>
          <cell r="AF77">
            <v>99227.742</v>
          </cell>
          <cell r="AG77">
            <v>0</v>
          </cell>
          <cell r="AH77">
            <v>-198088.4382</v>
          </cell>
          <cell r="AI77">
            <v>0</v>
          </cell>
          <cell r="AJ77">
            <v>88965.9156</v>
          </cell>
          <cell r="AK77">
            <v>0</v>
          </cell>
          <cell r="AL77">
            <v>231838.529</v>
          </cell>
          <cell r="AM77">
            <v>0</v>
          </cell>
          <cell r="AN77">
            <v>231324.1608</v>
          </cell>
          <cell r="AO77">
            <v>0</v>
          </cell>
          <cell r="AP77">
            <v>78567.3201</v>
          </cell>
          <cell r="AQ77">
            <v>0</v>
          </cell>
          <cell r="AR77">
            <v>-215551.008</v>
          </cell>
          <cell r="AS77">
            <v>0</v>
          </cell>
          <cell r="AT77">
            <v>-508158.7195</v>
          </cell>
          <cell r="AU77">
            <v>0</v>
          </cell>
          <cell r="AV77">
            <v>-516574.2578</v>
          </cell>
          <cell r="AW77">
            <v>0</v>
          </cell>
        </row>
        <row r="78">
          <cell r="A78" t="str">
            <v>PWR-NG-TX-ACCRL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PWR-NY-GAS-MTM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PWR-PJM-GAS-MTM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221842</v>
          </cell>
          <cell r="W80">
            <v>0</v>
          </cell>
          <cell r="X80">
            <v>-13165819.3626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PORTFOLIO_ID</v>
          </cell>
          <cell r="C1" t="str">
            <v>DOWN95</v>
          </cell>
          <cell r="D1" t="str">
            <v>Prior DOWN95</v>
          </cell>
          <cell r="E1" t="str">
            <v>change</v>
          </cell>
          <cell r="F1" t="str">
            <v>% change</v>
          </cell>
        </row>
        <row r="2">
          <cell r="B2" t="str">
            <v>B_ROGERS</v>
          </cell>
          <cell r="C2">
            <v>-78533.4097898707</v>
          </cell>
          <cell r="D2">
            <v>-83552.0379708303</v>
          </cell>
          <cell r="E2">
            <v>-5018.62818095958</v>
          </cell>
          <cell r="F2">
            <v>0.0639043713291931</v>
          </cell>
        </row>
        <row r="3">
          <cell r="B3" t="str">
            <v>D_DAVIS</v>
          </cell>
          <cell r="C3">
            <v>-1696506.32644123</v>
          </cell>
          <cell r="D3">
            <v>-1986036.90588143</v>
          </cell>
          <cell r="E3">
            <v>-289530.5794402</v>
          </cell>
          <cell r="F3">
            <v>0.170662835102743</v>
          </cell>
        </row>
        <row r="4">
          <cell r="B4" t="str">
            <v>D_DAVIS_GAS</v>
          </cell>
          <cell r="C4">
            <v>-1656383.65887976</v>
          </cell>
          <cell r="D4">
            <v>-2278159.59409004</v>
          </cell>
          <cell r="E4">
            <v>-621775.93521028</v>
          </cell>
          <cell r="F4">
            <v>0.375381592227731</v>
          </cell>
        </row>
        <row r="5">
          <cell r="B5" t="str">
            <v>D_GILBERT</v>
          </cell>
          <cell r="C5">
            <v>-3178062.92179312</v>
          </cell>
          <cell r="D5">
            <v>-3296999.87506907</v>
          </cell>
          <cell r="E5">
            <v>-118936.95327595</v>
          </cell>
          <cell r="F5">
            <v>0.0374243544582949</v>
          </cell>
        </row>
        <row r="6">
          <cell r="B6" t="str">
            <v>D_GILBERT_GAS</v>
          </cell>
          <cell r="C6">
            <v>-1455491.04046605</v>
          </cell>
          <cell r="D6">
            <v>-1581600.61353356</v>
          </cell>
          <cell r="E6">
            <v>-126109.57306751</v>
          </cell>
          <cell r="F6">
            <v>0.0866440050549055</v>
          </cell>
        </row>
        <row r="7">
          <cell r="B7" t="str">
            <v>D_GLBRT_EPT_GAS</v>
          </cell>
          <cell r="C7">
            <v>-142408.362980314</v>
          </cell>
          <cell r="D7">
            <v>-136656.978710323</v>
          </cell>
          <cell r="E7">
            <v>5751.38426999102</v>
          </cell>
          <cell r="F7">
            <v>-0.0403865626261434</v>
          </cell>
        </row>
        <row r="8">
          <cell r="B8" t="str">
            <v>D_GLBRT_EPT_PWR</v>
          </cell>
          <cell r="C8">
            <v>-47051.7236445571</v>
          </cell>
          <cell r="D8">
            <v>-45934.4296193006</v>
          </cell>
          <cell r="E8">
            <v>1117.2940252565</v>
          </cell>
          <cell r="F8">
            <v>-0.0237460806685187</v>
          </cell>
        </row>
        <row r="9">
          <cell r="B9" t="str">
            <v>E_SAIBA</v>
          </cell>
          <cell r="C9">
            <v>-438847.862315768</v>
          </cell>
          <cell r="D9">
            <v>-684909.476098438</v>
          </cell>
          <cell r="E9">
            <v>-246061.61378267</v>
          </cell>
          <cell r="F9">
            <v>0.56069912813115</v>
          </cell>
        </row>
        <row r="10">
          <cell r="B10" t="str">
            <v>E_SAIBA_GAS</v>
          </cell>
          <cell r="C10">
            <v>-322606.353538204</v>
          </cell>
          <cell r="D10">
            <v>-616916.670457285</v>
          </cell>
          <cell r="E10">
            <v>-294310.316919081</v>
          </cell>
          <cell r="F10">
            <v>0.912289276671756</v>
          </cell>
        </row>
        <row r="11">
          <cell r="B11" t="str">
            <v>F_STURM-HR</v>
          </cell>
          <cell r="C11">
            <v>-3540540.79727204</v>
          </cell>
          <cell r="D11">
            <v>-3494918.93319016</v>
          </cell>
          <cell r="E11">
            <v>45621.8640818796</v>
          </cell>
          <cell r="F11">
            <v>-0.0128855637299903</v>
          </cell>
        </row>
        <row r="12">
          <cell r="B12" t="str">
            <v>F_STURM-PWR</v>
          </cell>
          <cell r="C12">
            <v>-9873431.09335824</v>
          </cell>
          <cell r="D12">
            <v>-9384349.18268155</v>
          </cell>
          <cell r="E12">
            <v>489081.91067669</v>
          </cell>
          <cell r="F12">
            <v>-0.0495351520714709</v>
          </cell>
        </row>
        <row r="13">
          <cell r="B13" t="str">
            <v>F_STURM_COAL</v>
          </cell>
          <cell r="C13">
            <v>-591873.463131079</v>
          </cell>
          <cell r="D13">
            <v>-592435.042658892</v>
          </cell>
          <cell r="E13">
            <v>-561.57952781301</v>
          </cell>
          <cell r="F13">
            <v>0.000948816871839784</v>
          </cell>
        </row>
        <row r="14">
          <cell r="B14" t="str">
            <v>F_STURM_GAS</v>
          </cell>
          <cell r="C14">
            <v>-3378087.1778518</v>
          </cell>
          <cell r="D14">
            <v>-2632504.36597494</v>
          </cell>
          <cell r="E14">
            <v>745582.81187686</v>
          </cell>
          <cell r="F14">
            <v>-0.220711536624994</v>
          </cell>
        </row>
        <row r="15">
          <cell r="B15" t="str">
            <v>F_STURM_GASHR</v>
          </cell>
          <cell r="C15">
            <v>-4308626.10675268</v>
          </cell>
          <cell r="D15">
            <v>-4191444.43372538</v>
          </cell>
          <cell r="E15">
            <v>117181.673027301</v>
          </cell>
          <cell r="F15">
            <v>-0.0271969927591647</v>
          </cell>
        </row>
        <row r="16">
          <cell r="B16" t="str">
            <v>G_GUPTA</v>
          </cell>
          <cell r="C16">
            <v>-1000598.35857411</v>
          </cell>
          <cell r="D16">
            <v>-1065547.14835361</v>
          </cell>
          <cell r="E16">
            <v>-64948.7897795</v>
          </cell>
          <cell r="F16">
            <v>0.0649099503541605</v>
          </cell>
        </row>
        <row r="17">
          <cell r="B17" t="str">
            <v>G_GUPTA_GAS</v>
          </cell>
          <cell r="C17">
            <v>-78579.1493169694</v>
          </cell>
          <cell r="D17">
            <v>-81583.7724364139</v>
          </cell>
          <cell r="E17">
            <v>-3004.6231194445</v>
          </cell>
          <cell r="F17">
            <v>0.0382369005717353</v>
          </cell>
        </row>
        <row r="18">
          <cell r="B18" t="str">
            <v>G_TRIPP</v>
          </cell>
          <cell r="C18">
            <v>0</v>
          </cell>
          <cell r="D18">
            <v>0</v>
          </cell>
          <cell r="E18">
            <v>0</v>
          </cell>
          <cell r="F18" t="e">
            <v>#VALUE!</v>
          </cell>
        </row>
        <row r="19">
          <cell r="B19" t="str">
            <v>H_ARORA</v>
          </cell>
          <cell r="C19">
            <v>-296426.609754562</v>
          </cell>
          <cell r="D19">
            <v>-291586.36957879</v>
          </cell>
          <cell r="E19">
            <v>4840.24017577205</v>
          </cell>
          <cell r="F19">
            <v>-0.0163286291327884</v>
          </cell>
        </row>
        <row r="20">
          <cell r="B20" t="str">
            <v>H_ARORA_CRUDE</v>
          </cell>
          <cell r="C20">
            <v>0</v>
          </cell>
          <cell r="D20">
            <v>0</v>
          </cell>
          <cell r="E20">
            <v>0</v>
          </cell>
          <cell r="F20" t="e">
            <v>#VALUE!</v>
          </cell>
        </row>
        <row r="21">
          <cell r="B21" t="str">
            <v>H_ARORA_GAS</v>
          </cell>
          <cell r="C21">
            <v>-125115.989667378</v>
          </cell>
          <cell r="D21">
            <v>-129751.052473491</v>
          </cell>
          <cell r="E21">
            <v>-4635.06280611301</v>
          </cell>
          <cell r="F21">
            <v>0.0370461267055903</v>
          </cell>
        </row>
        <row r="22">
          <cell r="B22" t="str">
            <v>H_CHEN</v>
          </cell>
          <cell r="C22">
            <v>-73751.6654298901</v>
          </cell>
          <cell r="D22">
            <v>-41723.2488950793</v>
          </cell>
          <cell r="E22">
            <v>32028.4165348108</v>
          </cell>
          <cell r="F22">
            <v>-0.434273807216702</v>
          </cell>
        </row>
        <row r="23">
          <cell r="B23" t="str">
            <v>H_CHEN_GAS</v>
          </cell>
          <cell r="C23">
            <v>-59046.2293939578</v>
          </cell>
          <cell r="D23">
            <v>-29051.7062061454</v>
          </cell>
          <cell r="E23">
            <v>29994.5231878124</v>
          </cell>
          <cell r="F23">
            <v>-0.507983718785636</v>
          </cell>
        </row>
        <row r="24">
          <cell r="B24" t="str">
            <v>J_FORNEY</v>
          </cell>
          <cell r="C24">
            <v>-1688.64850068321</v>
          </cell>
          <cell r="D24">
            <v>-1621.83706800028</v>
          </cell>
          <cell r="E24">
            <v>66.8114326829302</v>
          </cell>
          <cell r="F24">
            <v>-0.0395650324243909</v>
          </cell>
        </row>
        <row r="25">
          <cell r="B25" t="str">
            <v>J_FORNEY_GAS</v>
          </cell>
          <cell r="C25">
            <v>-3.74443667150788E-005</v>
          </cell>
          <cell r="D25">
            <v>-1.77648522333735E-005</v>
          </cell>
          <cell r="E25">
            <v>1.96795144817053E-005</v>
          </cell>
          <cell r="F25">
            <v>-0.525566759653072</v>
          </cell>
        </row>
        <row r="26">
          <cell r="B26" t="str">
            <v>J_GUALY</v>
          </cell>
          <cell r="C26">
            <v>-38448.6599158954</v>
          </cell>
          <cell r="D26">
            <v>-30977.7836754319</v>
          </cell>
          <cell r="E26">
            <v>7470.87624046351</v>
          </cell>
          <cell r="F26">
            <v>-0.194307844715672</v>
          </cell>
        </row>
        <row r="27">
          <cell r="B27" t="str">
            <v>J_GUALY_GAS</v>
          </cell>
          <cell r="C27">
            <v>-28993.915313556</v>
          </cell>
          <cell r="D27">
            <v>-1.75793472326498E-005</v>
          </cell>
          <cell r="E27">
            <v>28993.9152959767</v>
          </cell>
          <cell r="F27">
            <v>-0.999999999393688</v>
          </cell>
        </row>
        <row r="28">
          <cell r="B28" t="str">
            <v>J_HERNANDEZ</v>
          </cell>
          <cell r="C28">
            <v>-7520.56621967267</v>
          </cell>
          <cell r="D28">
            <v>-9721.04092759009</v>
          </cell>
          <cell r="E28">
            <v>-2200.47470791742</v>
          </cell>
          <cell r="F28">
            <v>0.292594286605882</v>
          </cell>
        </row>
        <row r="29">
          <cell r="B29" t="str">
            <v>J_HERNANDEZ_GAS</v>
          </cell>
          <cell r="C29">
            <v>0</v>
          </cell>
          <cell r="D29">
            <v>0</v>
          </cell>
          <cell r="E29">
            <v>0</v>
          </cell>
          <cell r="F29" t="e">
            <v>#VALUE!</v>
          </cell>
        </row>
        <row r="30">
          <cell r="B30" t="str">
            <v>J_KING</v>
          </cell>
          <cell r="C30">
            <v>-1811922.89766781</v>
          </cell>
          <cell r="D30">
            <v>-1302259.49998739</v>
          </cell>
          <cell r="E30">
            <v>509663.39768042</v>
          </cell>
          <cell r="F30">
            <v>-0.281283159640195</v>
          </cell>
        </row>
        <row r="31">
          <cell r="B31" t="str">
            <v>J_KING_GAS</v>
          </cell>
          <cell r="C31">
            <v>-1572280.67056185</v>
          </cell>
          <cell r="D31">
            <v>-912203.500876519</v>
          </cell>
          <cell r="E31">
            <v>660077.169685331</v>
          </cell>
          <cell r="F31">
            <v>-0.419821461933673</v>
          </cell>
        </row>
        <row r="32">
          <cell r="B32" t="str">
            <v>J_QUENET</v>
          </cell>
          <cell r="C32">
            <v>-57686.570024563</v>
          </cell>
          <cell r="D32">
            <v>-58855.0179178236</v>
          </cell>
          <cell r="E32">
            <v>-1168.4478932606</v>
          </cell>
          <cell r="F32">
            <v>0.0202551112462238</v>
          </cell>
        </row>
        <row r="33">
          <cell r="B33" t="str">
            <v>J_QUENET_GAS</v>
          </cell>
          <cell r="C33">
            <v>0</v>
          </cell>
          <cell r="D33">
            <v>0</v>
          </cell>
          <cell r="E33">
            <v>0</v>
          </cell>
          <cell r="F33" t="e">
            <v>#VALUE!</v>
          </cell>
        </row>
        <row r="34">
          <cell r="B34" t="str">
            <v>J_SUAREZ</v>
          </cell>
          <cell r="C34">
            <v>-1716885.32980429</v>
          </cell>
          <cell r="D34">
            <v>-1585957.67668511</v>
          </cell>
          <cell r="E34">
            <v>130927.65311918</v>
          </cell>
          <cell r="F34">
            <v>-0.0762588222092297</v>
          </cell>
        </row>
        <row r="35">
          <cell r="B35" t="str">
            <v>J_SUAREZ_GAS</v>
          </cell>
          <cell r="C35">
            <v>-1716885.32980429</v>
          </cell>
          <cell r="D35">
            <v>-1585957.67668511</v>
          </cell>
          <cell r="E35">
            <v>130927.65311918</v>
          </cell>
          <cell r="F35">
            <v>-0.0762588222092297</v>
          </cell>
        </row>
        <row r="36">
          <cell r="B36" t="str">
            <v>K_PRESTO</v>
          </cell>
          <cell r="C36">
            <v>-5922472.1383791</v>
          </cell>
          <cell r="D36">
            <v>-5696386.73255787</v>
          </cell>
          <cell r="E36">
            <v>226085.405821229</v>
          </cell>
          <cell r="F36">
            <v>-0.0381741611507363</v>
          </cell>
        </row>
        <row r="37">
          <cell r="B37" t="str">
            <v>K_PRESTO_COAL</v>
          </cell>
          <cell r="C37">
            <v>-154580.187400933</v>
          </cell>
          <cell r="D37">
            <v>-154771.950764501</v>
          </cell>
          <cell r="E37">
            <v>-191.763363568025</v>
          </cell>
          <cell r="F37">
            <v>0.0012405429621498</v>
          </cell>
        </row>
        <row r="38">
          <cell r="B38" t="str">
            <v>K_PRESTO_GAS</v>
          </cell>
          <cell r="C38">
            <v>-2846731.22153956</v>
          </cell>
          <cell r="D38">
            <v>-2759912.30689651</v>
          </cell>
          <cell r="E38">
            <v>86818.9146430502</v>
          </cell>
          <cell r="F38">
            <v>-0.0304977561584114</v>
          </cell>
        </row>
        <row r="39">
          <cell r="B39" t="str">
            <v>LAVORATO-EA-MGT</v>
          </cell>
          <cell r="C39">
            <v>-5922472.1383791</v>
          </cell>
          <cell r="D39">
            <v>-5696386.73255787</v>
          </cell>
          <cell r="E39">
            <v>226085.405821229</v>
          </cell>
          <cell r="F39">
            <v>-0.0381741611507363</v>
          </cell>
        </row>
        <row r="40">
          <cell r="B40" t="str">
            <v>LAVORATO-EA-MW</v>
          </cell>
          <cell r="C40">
            <v>-10783563.586213</v>
          </cell>
          <cell r="D40">
            <v>-10185695.7648322</v>
          </cell>
          <cell r="E40">
            <v>597867.8213808</v>
          </cell>
          <cell r="F40">
            <v>-0.0554425090185572</v>
          </cell>
        </row>
        <row r="41">
          <cell r="B41" t="str">
            <v>LAVORATO-EA-NE</v>
          </cell>
          <cell r="C41">
            <v>-4052299.07896584</v>
          </cell>
          <cell r="D41">
            <v>-4888968.06110281</v>
          </cell>
          <cell r="E41">
            <v>-836668.98213697</v>
          </cell>
          <cell r="F41">
            <v>0.206467727537645</v>
          </cell>
        </row>
        <row r="42">
          <cell r="B42" t="str">
            <v>LAVORATO-EA-OPT</v>
          </cell>
          <cell r="C42">
            <v>-524861.567014398</v>
          </cell>
          <cell r="D42">
            <v>-496040.505554868</v>
          </cell>
          <cell r="E42">
            <v>28821.0614595301</v>
          </cell>
          <cell r="F42">
            <v>-0.0549117391533823</v>
          </cell>
        </row>
        <row r="43">
          <cell r="B43" t="str">
            <v>LAVORATO-EA-SE</v>
          </cell>
          <cell r="C43">
            <v>-2393195.74499811</v>
          </cell>
          <cell r="D43">
            <v>-2382143.44228304</v>
          </cell>
          <cell r="E43">
            <v>11052.3027150701</v>
          </cell>
          <cell r="F43">
            <v>-0.00461821927360932</v>
          </cell>
        </row>
        <row r="44">
          <cell r="B44" t="str">
            <v>LAVORATO-EA-TX</v>
          </cell>
          <cell r="C44">
            <v>-5231246.13959606</v>
          </cell>
          <cell r="D44">
            <v>-4904318.1674127</v>
          </cell>
          <cell r="E44">
            <v>326927.97218336</v>
          </cell>
          <cell r="F44">
            <v>-0.0624952379336148</v>
          </cell>
        </row>
        <row r="45">
          <cell r="B45" t="str">
            <v>M_CARSON</v>
          </cell>
          <cell r="C45">
            <v>-993392.697123133</v>
          </cell>
          <cell r="D45">
            <v>-1039073.90953307</v>
          </cell>
          <cell r="E45">
            <v>-45681.2124099369</v>
          </cell>
          <cell r="F45">
            <v>0.0459850495601888</v>
          </cell>
        </row>
        <row r="46">
          <cell r="B46" t="str">
            <v>M_CARSON_GAS</v>
          </cell>
          <cell r="C46">
            <v>-0.000114778741801386</v>
          </cell>
          <cell r="D46">
            <v>-0.000215107746306266</v>
          </cell>
          <cell r="E46">
            <v>-0.00010032900450488</v>
          </cell>
          <cell r="F46">
            <v>0.874107896029128</v>
          </cell>
        </row>
        <row r="47">
          <cell r="B47" t="str">
            <v>M_LORENZ</v>
          </cell>
          <cell r="C47">
            <v>-36695.2058111901</v>
          </cell>
          <cell r="D47">
            <v>-34353.9445056005</v>
          </cell>
          <cell r="E47">
            <v>2341.26130558961</v>
          </cell>
          <cell r="F47">
            <v>-0.0638029206767835</v>
          </cell>
        </row>
        <row r="48">
          <cell r="B48" t="str">
            <v>M_LORENZ_GAS</v>
          </cell>
          <cell r="C48">
            <v>0</v>
          </cell>
          <cell r="D48">
            <v>0</v>
          </cell>
          <cell r="E48">
            <v>0</v>
          </cell>
          <cell r="F48" t="e">
            <v>#VALUE!</v>
          </cell>
        </row>
        <row r="49">
          <cell r="B49" t="str">
            <v>PWR-EAST</v>
          </cell>
          <cell r="C49">
            <v>-19833595.52352</v>
          </cell>
          <cell r="D49">
            <v>-20032765.3316628</v>
          </cell>
          <cell r="E49">
            <v>-199169.8081428</v>
          </cell>
          <cell r="F49">
            <v>0.0100420424479571</v>
          </cell>
        </row>
        <row r="50">
          <cell r="B50" t="str">
            <v>P_BRODERICK</v>
          </cell>
          <cell r="C50">
            <v>-1297970.27766544</v>
          </cell>
          <cell r="D50">
            <v>-1802155.50605936</v>
          </cell>
          <cell r="E50">
            <v>-504185.22839392</v>
          </cell>
          <cell r="F50">
            <v>0.388441274095089</v>
          </cell>
        </row>
        <row r="51">
          <cell r="B51" t="str">
            <v>P_BRODERICK_GAS</v>
          </cell>
          <cell r="C51">
            <v>-14333.2588388897</v>
          </cell>
          <cell r="D51">
            <v>-678497.102333075</v>
          </cell>
          <cell r="E51">
            <v>-664163.843494185</v>
          </cell>
          <cell r="F51">
            <v>46.3372531647962</v>
          </cell>
        </row>
        <row r="52">
          <cell r="B52" t="str">
            <v>P_SCHIAVONE</v>
          </cell>
          <cell r="C52">
            <v>-136714.456817407</v>
          </cell>
          <cell r="D52">
            <v>-55322.4131170704</v>
          </cell>
          <cell r="E52">
            <v>81392.0437003366</v>
          </cell>
          <cell r="F52">
            <v>-0.595343357206489</v>
          </cell>
        </row>
        <row r="53">
          <cell r="B53" t="str">
            <v>P_SCHIAVONE_GAS</v>
          </cell>
          <cell r="C53">
            <v>-0.000112333100145236</v>
          </cell>
          <cell r="D53">
            <v>-7.10594089334938E-005</v>
          </cell>
          <cell r="E53">
            <v>4.12736912117422E-005</v>
          </cell>
          <cell r="F53">
            <v>-0.367422346204095</v>
          </cell>
        </row>
        <row r="54">
          <cell r="B54" t="str">
            <v>P_THOMAS</v>
          </cell>
          <cell r="C54">
            <v>-4230.36964127135</v>
          </cell>
          <cell r="D54">
            <v>-5863.29395722629</v>
          </cell>
          <cell r="E54">
            <v>-1632.92431595494</v>
          </cell>
          <cell r="F54">
            <v>0.386000386354938</v>
          </cell>
        </row>
        <row r="55">
          <cell r="B55" t="str">
            <v>P_THOMAS_GAS</v>
          </cell>
          <cell r="C55">
            <v>0</v>
          </cell>
          <cell r="D55">
            <v>0</v>
          </cell>
          <cell r="E55">
            <v>0</v>
          </cell>
          <cell r="F55" t="e">
            <v>#VALUE!</v>
          </cell>
        </row>
        <row r="56">
          <cell r="B56" t="str">
            <v>R_BALLATO</v>
          </cell>
          <cell r="C56">
            <v>-157062.627860748</v>
          </cell>
          <cell r="D56">
            <v>-219277.524878691</v>
          </cell>
          <cell r="E56">
            <v>-62214.897017943</v>
          </cell>
          <cell r="F56">
            <v>0.396115217638551</v>
          </cell>
        </row>
        <row r="57">
          <cell r="B57" t="str">
            <v>R_BALLATO_GAS</v>
          </cell>
          <cell r="C57">
            <v>-10090.7552137123</v>
          </cell>
          <cell r="D57">
            <v>-65679.2850054099</v>
          </cell>
          <cell r="E57">
            <v>-55588.5297916976</v>
          </cell>
          <cell r="F57">
            <v>5.508857227669</v>
          </cell>
        </row>
        <row r="58">
          <cell r="B58" t="str">
            <v>R_BENSON</v>
          </cell>
          <cell r="C58">
            <v>-2426441.70413387</v>
          </cell>
          <cell r="D58">
            <v>-2030566.4812871</v>
          </cell>
          <cell r="E58">
            <v>395875.22284677</v>
          </cell>
          <cell r="F58">
            <v>-0.163150518791499</v>
          </cell>
        </row>
        <row r="59">
          <cell r="B59" t="str">
            <v>R_BENSON_GAS</v>
          </cell>
          <cell r="C59">
            <v>-1712901.14820056</v>
          </cell>
          <cell r="D59">
            <v>-629981.123940816</v>
          </cell>
          <cell r="E59">
            <v>1082920.02425974</v>
          </cell>
          <cell r="F59">
            <v>-0.632213963658892</v>
          </cell>
        </row>
        <row r="60">
          <cell r="B60" t="str">
            <v>R_STALFORD</v>
          </cell>
          <cell r="C60">
            <v>-168733.139721667</v>
          </cell>
          <cell r="D60">
            <v>-180341.418334823</v>
          </cell>
          <cell r="E60">
            <v>-11608.278613156</v>
          </cell>
          <cell r="F60">
            <v>0.0687966728545701</v>
          </cell>
        </row>
        <row r="61">
          <cell r="B61" t="str">
            <v>R_STALFORD_GAS</v>
          </cell>
          <cell r="C61">
            <v>0</v>
          </cell>
          <cell r="D61">
            <v>0</v>
          </cell>
          <cell r="E61">
            <v>0</v>
          </cell>
          <cell r="F61" t="e">
            <v>#VALUE!</v>
          </cell>
        </row>
        <row r="62">
          <cell r="B62" t="str">
            <v>S_WANG</v>
          </cell>
          <cell r="C62">
            <v>-118001.120606203</v>
          </cell>
          <cell r="D62">
            <v>-119555.466494257</v>
          </cell>
          <cell r="E62">
            <v>-1554.34588805401</v>
          </cell>
          <cell r="F62">
            <v>0.0131722976872501</v>
          </cell>
        </row>
        <row r="63">
          <cell r="B63" t="str">
            <v>S_WANG_GAS</v>
          </cell>
          <cell r="C63">
            <v>-68416.2647419043</v>
          </cell>
          <cell r="D63">
            <v>-63539.0121665475</v>
          </cell>
          <cell r="E63">
            <v>4877.25257535679</v>
          </cell>
          <cell r="F63">
            <v>-0.0712879107585878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lta Yearly"/>
    </sheetNames>
    <sheetDataSet>
      <sheetData sheetId="0">
        <row r="1">
          <cell r="B1">
            <v>2002</v>
          </cell>
          <cell r="C1">
            <v>0</v>
          </cell>
          <cell r="D1">
            <v>2003</v>
          </cell>
          <cell r="E1">
            <v>0</v>
          </cell>
          <cell r="F1">
            <v>2004</v>
          </cell>
          <cell r="G1">
            <v>0</v>
          </cell>
          <cell r="H1">
            <v>2005</v>
          </cell>
          <cell r="I1">
            <v>0</v>
          </cell>
          <cell r="J1">
            <v>2006</v>
          </cell>
          <cell r="K1">
            <v>0</v>
          </cell>
          <cell r="L1">
            <v>2007</v>
          </cell>
          <cell r="M1">
            <v>0</v>
          </cell>
          <cell r="N1">
            <v>2008</v>
          </cell>
          <cell r="O1">
            <v>0</v>
          </cell>
          <cell r="P1">
            <v>2009</v>
          </cell>
          <cell r="Q1">
            <v>0</v>
          </cell>
          <cell r="R1">
            <v>2010</v>
          </cell>
          <cell r="S1">
            <v>0</v>
          </cell>
          <cell r="T1">
            <v>2011</v>
          </cell>
          <cell r="U1">
            <v>0</v>
          </cell>
          <cell r="V1">
            <v>2012</v>
          </cell>
          <cell r="W1">
            <v>0</v>
          </cell>
          <cell r="X1">
            <v>2013</v>
          </cell>
          <cell r="Y1">
            <v>0</v>
          </cell>
          <cell r="Z1">
            <v>2014</v>
          </cell>
          <cell r="AA1">
            <v>0</v>
          </cell>
          <cell r="AB1">
            <v>2015</v>
          </cell>
          <cell r="AC1">
            <v>0</v>
          </cell>
          <cell r="AD1">
            <v>0</v>
          </cell>
        </row>
        <row r="2">
          <cell r="A2" t="str">
            <v>Desk</v>
          </cell>
          <cell r="B2" t="str">
            <v>Pk Delta</v>
          </cell>
          <cell r="C2" t="str">
            <v>OPk Delta</v>
          </cell>
          <cell r="D2" t="str">
            <v>Pk Delta</v>
          </cell>
          <cell r="E2" t="str">
            <v>OPk Delta</v>
          </cell>
          <cell r="F2" t="str">
            <v>Pk Delta</v>
          </cell>
          <cell r="G2" t="str">
            <v>OPk Delta</v>
          </cell>
          <cell r="H2" t="str">
            <v>Pk Delta</v>
          </cell>
          <cell r="I2" t="str">
            <v>OPk Delta</v>
          </cell>
          <cell r="J2" t="str">
            <v>Pk Delta</v>
          </cell>
          <cell r="K2" t="str">
            <v>OPk Delta</v>
          </cell>
          <cell r="L2" t="str">
            <v>Pk Delta</v>
          </cell>
          <cell r="M2" t="str">
            <v>OPk Delta</v>
          </cell>
          <cell r="N2" t="str">
            <v>Pk Delta</v>
          </cell>
          <cell r="O2" t="str">
            <v>OPk Delta</v>
          </cell>
          <cell r="P2" t="str">
            <v>Pk Delta</v>
          </cell>
          <cell r="Q2" t="str">
            <v>OPk Delta</v>
          </cell>
          <cell r="R2" t="str">
            <v>Pk Delta</v>
          </cell>
          <cell r="S2" t="str">
            <v>OPk Delta</v>
          </cell>
          <cell r="T2" t="str">
            <v>Pk Delta</v>
          </cell>
          <cell r="U2" t="str">
            <v>OPk Delta</v>
          </cell>
          <cell r="V2" t="str">
            <v>Pk Delta</v>
          </cell>
          <cell r="W2" t="str">
            <v>OPk Delta</v>
          </cell>
          <cell r="X2" t="str">
            <v>Pk Delta</v>
          </cell>
          <cell r="Y2" t="str">
            <v>OPk Delta</v>
          </cell>
          <cell r="Z2" t="str">
            <v>Pk Delta</v>
          </cell>
          <cell r="AA2" t="str">
            <v>OPk Delta</v>
          </cell>
          <cell r="AB2" t="str">
            <v>Pk Delta</v>
          </cell>
          <cell r="AC2" t="str">
            <v>OPk Delta</v>
          </cell>
          <cell r="AD2" t="str">
            <v>Total</v>
          </cell>
        </row>
        <row r="3">
          <cell r="A3" t="str">
            <v>EPMI-ERCOT-ANLY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  <row r="4">
          <cell r="A4" t="str">
            <v>EPMI-ERCOT-ASST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5">
          <cell r="A5" t="str">
            <v>EPMI-ERCOT-MGMT</v>
          </cell>
          <cell r="B5">
            <v>0</v>
          </cell>
          <cell r="C5">
            <v>0</v>
          </cell>
          <cell r="D5">
            <v>259803.353728095</v>
          </cell>
          <cell r="E5">
            <v>-1159738.75278958</v>
          </cell>
          <cell r="F5">
            <v>-133961.416516106</v>
          </cell>
          <cell r="G5">
            <v>-539424.417931767</v>
          </cell>
          <cell r="H5">
            <v>830470.050012464</v>
          </cell>
          <cell r="I5">
            <v>785524.893927312</v>
          </cell>
          <cell r="J5">
            <v>-160138.018486853</v>
          </cell>
          <cell r="K5">
            <v>482313.902529515</v>
          </cell>
          <cell r="L5">
            <v>-74289.6689768796</v>
          </cell>
          <cell r="M5">
            <v>-77509.3973233212</v>
          </cell>
          <cell r="N5">
            <v>-70057.8878423472</v>
          </cell>
          <cell r="O5">
            <v>-72997.2812692465</v>
          </cell>
          <cell r="P5">
            <v>-57226.0866496491</v>
          </cell>
          <cell r="Q5">
            <v>-60246.8711110354</v>
          </cell>
          <cell r="R5">
            <v>-71431.6175060333</v>
          </cell>
          <cell r="S5">
            <v>-78913.5071115165</v>
          </cell>
          <cell r="T5">
            <v>-6800.61012834673</v>
          </cell>
          <cell r="U5">
            <v>-5510.3715378121</v>
          </cell>
          <cell r="V5">
            <v>-6389.13865572005</v>
          </cell>
          <cell r="W5">
            <v>-5203.16054654952</v>
          </cell>
          <cell r="X5">
            <v>-6016.85433149075</v>
          </cell>
          <cell r="Y5">
            <v>-4868.19292750858</v>
          </cell>
          <cell r="Z5">
            <v>-5652.66985687796</v>
          </cell>
          <cell r="AA5">
            <v>-4574.07118630488</v>
          </cell>
          <cell r="AB5">
            <v>0</v>
          </cell>
          <cell r="AC5">
            <v>0</v>
          </cell>
          <cell r="AD5">
            <v>-242837.792487557</v>
          </cell>
        </row>
        <row r="6">
          <cell r="A6" t="str">
            <v>EPMI-ERCOT-OFF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</row>
        <row r="7">
          <cell r="A7" t="str">
            <v>EPMI-ERCOT-OPTN</v>
          </cell>
          <cell r="B7">
            <v>0</v>
          </cell>
          <cell r="C7">
            <v>0</v>
          </cell>
          <cell r="D7">
            <v>-45600.1474675009</v>
          </cell>
          <cell r="E7">
            <v>-20086.9238654786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-65687.0713329796</v>
          </cell>
        </row>
        <row r="8">
          <cell r="A8" t="str">
            <v>EPMI-HRLY-ASSOC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 t="str">
            <v>EPMI-HRLY-ERCOT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</row>
        <row r="10">
          <cell r="A10" t="str">
            <v>EPMI-HRLY-MW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 t="str">
            <v>EPMI-HRLY-NE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 t="str">
            <v>EPMI-HRLY-NENG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EPMI-HRLY-NY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EPMI-HRLY-PJM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A15" t="str">
            <v>EPMI-HRLY-SE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 t="str">
            <v> </v>
          </cell>
        </row>
        <row r="16">
          <cell r="A16" t="str">
            <v>EPMI-HRLY-SE-MG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</row>
        <row r="17">
          <cell r="A17" t="str">
            <v>EPMI-LT-ERCOT</v>
          </cell>
          <cell r="B17">
            <v>0</v>
          </cell>
          <cell r="C17">
            <v>0</v>
          </cell>
          <cell r="D17">
            <v>421558.976738866</v>
          </cell>
          <cell r="E17">
            <v>-443878.710463991</v>
          </cell>
          <cell r="F17">
            <v>-556347.902707797</v>
          </cell>
          <cell r="G17">
            <v>0</v>
          </cell>
          <cell r="H17">
            <v>-173831.490983858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-752499.127416779</v>
          </cell>
        </row>
        <row r="18">
          <cell r="A18" t="str">
            <v>EPMI-LT-HED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 t="str">
            <v>EPMI-LT-MGMT</v>
          </cell>
          <cell r="B19">
            <v>0</v>
          </cell>
          <cell r="C19">
            <v>0</v>
          </cell>
          <cell r="D19">
            <v>-1013397.20279686</v>
          </cell>
          <cell r="E19">
            <v>-665912.225374525</v>
          </cell>
          <cell r="F19">
            <v>-61639.58958678</v>
          </cell>
          <cell r="G19">
            <v>-642564.617792004</v>
          </cell>
          <cell r="H19">
            <v>-74164.8217027561</v>
          </cell>
          <cell r="I19">
            <v>185682.064658257</v>
          </cell>
          <cell r="J19">
            <v>-76178.0146089912</v>
          </cell>
          <cell r="K19">
            <v>175416.974769342</v>
          </cell>
          <cell r="L19">
            <v>-75736.7484637331</v>
          </cell>
          <cell r="M19">
            <v>-12114.5402391019</v>
          </cell>
          <cell r="N19">
            <v>-69338.2928035353</v>
          </cell>
          <cell r="O19">
            <v>-11423.9165637567</v>
          </cell>
          <cell r="P19">
            <v>-4142.52676151793</v>
          </cell>
          <cell r="Q19">
            <v>-5989.63402970368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-2351503.09129567</v>
          </cell>
        </row>
        <row r="20">
          <cell r="A20" t="str">
            <v>EPMI-LT-NEMGMT</v>
          </cell>
          <cell r="B20">
            <v>0</v>
          </cell>
          <cell r="C20">
            <v>0</v>
          </cell>
          <cell r="D20">
            <v>735196.010361045</v>
          </cell>
          <cell r="E20">
            <v>440484.805663579</v>
          </cell>
          <cell r="F20">
            <v>190511.091923359</v>
          </cell>
          <cell r="G20">
            <v>-4221.29705345113</v>
          </cell>
          <cell r="H20">
            <v>58576.4211924512</v>
          </cell>
          <cell r="I20">
            <v>155478.455615773</v>
          </cell>
          <cell r="J20">
            <v>326774.080374458</v>
          </cell>
          <cell r="K20">
            <v>-3692.99770000939</v>
          </cell>
          <cell r="L20">
            <v>-154385.430651148</v>
          </cell>
          <cell r="M20">
            <v>-114549.392911526</v>
          </cell>
          <cell r="N20">
            <v>0</v>
          </cell>
          <cell r="O20">
            <v>-3257.0873781408</v>
          </cell>
          <cell r="P20">
            <v>40962.7364577813</v>
          </cell>
          <cell r="Q20">
            <v>-3047.15861704376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1664830.23727713</v>
          </cell>
        </row>
        <row r="21">
          <cell r="A21" t="str">
            <v>EPMI-LT-NENG</v>
          </cell>
          <cell r="B21">
            <v>0</v>
          </cell>
          <cell r="C21">
            <v>0</v>
          </cell>
          <cell r="D21">
            <v>-651956.228718927</v>
          </cell>
          <cell r="E21">
            <v>-199230.203263783</v>
          </cell>
          <cell r="F21">
            <v>114789.46711413</v>
          </cell>
          <cell r="G21">
            <v>-530660.003095726</v>
          </cell>
          <cell r="H21">
            <v>-506145.48832689</v>
          </cell>
          <cell r="I21">
            <v>-737735.510945962</v>
          </cell>
          <cell r="J21">
            <v>-194360.367533681</v>
          </cell>
          <cell r="K21">
            <v>7273.43126997526</v>
          </cell>
          <cell r="L21">
            <v>15687.165823693</v>
          </cell>
          <cell r="M21">
            <v>62816.2666938676</v>
          </cell>
          <cell r="N21">
            <v>133915.33199238</v>
          </cell>
          <cell r="O21">
            <v>179885.300793638</v>
          </cell>
          <cell r="P21">
            <v>-27647.9330638396</v>
          </cell>
          <cell r="Q21">
            <v>-347.042146259794</v>
          </cell>
          <cell r="R21">
            <v>64524.9725684487</v>
          </cell>
          <cell r="S21">
            <v>-72619.901006682</v>
          </cell>
          <cell r="T21">
            <v>358.052878891082</v>
          </cell>
          <cell r="U21">
            <v>410.621605741386</v>
          </cell>
          <cell r="V21">
            <v>336.450066234594</v>
          </cell>
          <cell r="W21">
            <v>387.824434836699</v>
          </cell>
          <cell r="X21">
            <v>318.022077054622</v>
          </cell>
          <cell r="Y21">
            <v>360.880504490795</v>
          </cell>
          <cell r="Z21">
            <v>298.216321597858</v>
          </cell>
          <cell r="AA21">
            <v>339.675330321764</v>
          </cell>
          <cell r="AB21">
            <v>216.385604804935</v>
          </cell>
          <cell r="AC21">
            <v>259.022777831529</v>
          </cell>
          <cell r="AD21">
            <v>-2338525.59024381</v>
          </cell>
        </row>
        <row r="22">
          <cell r="A22" t="str">
            <v>EPMI-LT-NY</v>
          </cell>
          <cell r="B22">
            <v>0</v>
          </cell>
          <cell r="C22">
            <v>0</v>
          </cell>
          <cell r="D22">
            <v>16246.0327509524</v>
          </cell>
          <cell r="E22">
            <v>-444578.417897489</v>
          </cell>
          <cell r="F22">
            <v>0</v>
          </cell>
          <cell r="G22">
            <v>-211158.149940322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-639490.535086859</v>
          </cell>
        </row>
        <row r="23">
          <cell r="A23" t="str">
            <v>EPMI-LT-ONTARIO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A24" t="str">
            <v>EPMI-LT-OPTION</v>
          </cell>
          <cell r="B24">
            <v>0</v>
          </cell>
          <cell r="C24">
            <v>0</v>
          </cell>
          <cell r="D24">
            <v>-36289.9276187414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-36289.9276187414</v>
          </cell>
        </row>
        <row r="25">
          <cell r="A25" t="str">
            <v>EPMI-LT-OPTIONA</v>
          </cell>
          <cell r="B25">
            <v>0</v>
          </cell>
          <cell r="C25">
            <v>0</v>
          </cell>
          <cell r="D25">
            <v>8777.89830241191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8777.89830241191</v>
          </cell>
        </row>
        <row r="26">
          <cell r="A26" t="str">
            <v>EPMI-LT-OPTIONB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A27" t="str">
            <v>EPMI-LT-OPTY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A28" t="str">
            <v>EPMI-LT-OPTZ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A29" t="str">
            <v>EPMI-LT-PJM</v>
          </cell>
          <cell r="B29">
            <v>0</v>
          </cell>
          <cell r="C29">
            <v>0</v>
          </cell>
          <cell r="D29">
            <v>-701962.07003242</v>
          </cell>
          <cell r="E29">
            <v>-95349.5920981135</v>
          </cell>
          <cell r="F29">
            <v>790096.124714389</v>
          </cell>
          <cell r="G29">
            <v>-777061.991780384</v>
          </cell>
          <cell r="H29">
            <v>230720.459764249</v>
          </cell>
          <cell r="I29">
            <v>-1333132.83355855</v>
          </cell>
          <cell r="J29">
            <v>47216.2461862905</v>
          </cell>
          <cell r="K29">
            <v>-1447741.06489104</v>
          </cell>
          <cell r="L29">
            <v>-262715.199654556</v>
          </cell>
          <cell r="M29">
            <v>-474368.877334144</v>
          </cell>
          <cell r="N29">
            <v>43584.1238429191</v>
          </cell>
          <cell r="O29">
            <v>-29988.5580969693</v>
          </cell>
          <cell r="P29">
            <v>-68271.2274296356</v>
          </cell>
          <cell r="Q29">
            <v>-28046.0292991584</v>
          </cell>
          <cell r="R29">
            <v>-128281.901057749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-4235302.39072488</v>
          </cell>
        </row>
        <row r="30">
          <cell r="A30" t="str">
            <v>EPMI-LT-SERC</v>
          </cell>
          <cell r="B30">
            <v>0</v>
          </cell>
          <cell r="C30">
            <v>0</v>
          </cell>
          <cell r="D30">
            <v>403379.10193395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403379.10193395</v>
          </cell>
        </row>
        <row r="31">
          <cell r="A31" t="str">
            <v>EPMI-LT-SPP</v>
          </cell>
          <cell r="B31">
            <v>0</v>
          </cell>
          <cell r="C31">
            <v>0</v>
          </cell>
          <cell r="D31">
            <v>79951.1933534324</v>
          </cell>
          <cell r="E31">
            <v>-443878.710463992</v>
          </cell>
          <cell r="F31">
            <v>185449.3009026</v>
          </cell>
          <cell r="G31">
            <v>842955.094811795</v>
          </cell>
          <cell r="H31">
            <v>869157.454919288</v>
          </cell>
          <cell r="I31">
            <v>199342.001776703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1732976.33529983</v>
          </cell>
        </row>
        <row r="32">
          <cell r="A32" t="str">
            <v>EPMI-MIDWEST</v>
          </cell>
          <cell r="B32">
            <v>0</v>
          </cell>
          <cell r="C32">
            <v>0</v>
          </cell>
          <cell r="D32">
            <v>-1719938.29840195</v>
          </cell>
          <cell r="E32">
            <v>-1990987.5546057</v>
          </cell>
          <cell r="F32">
            <v>1054831.19227812</v>
          </cell>
          <cell r="G32">
            <v>96939.8359033565</v>
          </cell>
          <cell r="H32">
            <v>373627.976952015</v>
          </cell>
          <cell r="I32">
            <v>689723.326147392</v>
          </cell>
          <cell r="J32">
            <v>-349175.883515899</v>
          </cell>
          <cell r="K32">
            <v>17361.6185227978</v>
          </cell>
          <cell r="L32">
            <v>-176205.46608341</v>
          </cell>
          <cell r="M32">
            <v>-160291.773029435</v>
          </cell>
          <cell r="N32">
            <v>6291.01653708962</v>
          </cell>
          <cell r="O32">
            <v>-461931.034693852</v>
          </cell>
          <cell r="P32">
            <v>-549852.541474814</v>
          </cell>
          <cell r="Q32">
            <v>-155465.939581011</v>
          </cell>
          <cell r="R32">
            <v>-128281.901057749</v>
          </cell>
          <cell r="S32">
            <v>-146110.809702594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-3599466.23580564</v>
          </cell>
        </row>
        <row r="33">
          <cell r="A33" t="str">
            <v>EPMI-MIDWEST-HR</v>
          </cell>
          <cell r="B33">
            <v>0</v>
          </cell>
          <cell r="C33">
            <v>0</v>
          </cell>
          <cell r="D33">
            <v>1548149.95640384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1548149.95640384</v>
          </cell>
        </row>
        <row r="34">
          <cell r="A34" t="str">
            <v>EPMI-MW-OFF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A35" t="str">
            <v>EPMI-NE TRANS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A36" t="str">
            <v>EPMI-NE-PHYS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A37" t="str">
            <v>EPMI-SE-ANALYST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A38" t="str">
            <v>EPMI-SOUTHEAST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-1.26852066295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-1.26852066295</v>
          </cell>
        </row>
        <row r="39">
          <cell r="A39" t="str">
            <v>EPMI-ST-ECAR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A40" t="str">
            <v>EPMI-ST-ERCOT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 t="str">
            <v>EPMI-ST-HOURLY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A42" t="str">
            <v>EPMI-ST-MAPP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A43" t="str">
            <v>EPMI-ST-NENG</v>
          </cell>
          <cell r="B43">
            <v>0</v>
          </cell>
          <cell r="C43">
            <v>0</v>
          </cell>
          <cell r="D43">
            <v>-89489.4013241568</v>
          </cell>
          <cell r="E43">
            <v>-1331636.13139198</v>
          </cell>
          <cell r="F43">
            <v>72461.6073467872</v>
          </cell>
          <cell r="G43">
            <v>0</v>
          </cell>
          <cell r="H43">
            <v>29225.2613412911</v>
          </cell>
          <cell r="I43">
            <v>0</v>
          </cell>
          <cell r="J43">
            <v>27505.9368811747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-1291932.72714688</v>
          </cell>
        </row>
        <row r="44">
          <cell r="A44" t="str">
            <v>EPMI-ST-NY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A45" t="str">
            <v>EPMI-ST-PJM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EPMI-ST-PJM-OFF</v>
          </cell>
          <cell r="B46">
            <v>0</v>
          </cell>
          <cell r="C46">
            <v>0</v>
          </cell>
          <cell r="D46">
            <v>0</v>
          </cell>
          <cell r="E46">
            <v>-349.8537167491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-349.8537167491</v>
          </cell>
        </row>
        <row r="47">
          <cell r="A47" t="str">
            <v>EPMI-ST-SERC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A48" t="str">
            <v>EPMI-ST-SPP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A49" t="str">
            <v>PWR-CL-LT-OPT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A50" t="str">
            <v>PWR-COAL-MGMT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PWR-COAL-MW</v>
          </cell>
          <cell r="B51">
            <v>0</v>
          </cell>
          <cell r="C51">
            <v>0</v>
          </cell>
          <cell r="D51">
            <v>1774847.318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1774847.318</v>
          </cell>
        </row>
        <row r="52">
          <cell r="A52" t="str">
            <v>PWR-COAL-MW-OFF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PWR-GAS-LT-MGMT</v>
          </cell>
          <cell r="B53">
            <v>0</v>
          </cell>
          <cell r="C53">
            <v>0</v>
          </cell>
          <cell r="D53">
            <v>-9240454.1845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-9240454.1845</v>
          </cell>
        </row>
        <row r="54">
          <cell r="A54" t="str">
            <v>PWR-HO-PRC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 t="str">
            <v>PWR-MW-GAS-MTM</v>
          </cell>
          <cell r="B55">
            <v>0</v>
          </cell>
          <cell r="C55">
            <v>0</v>
          </cell>
          <cell r="D55">
            <v>-1316447.5483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-1316447.5483</v>
          </cell>
        </row>
        <row r="56">
          <cell r="A56" t="str">
            <v>PWR-NE-GAS-MTM</v>
          </cell>
          <cell r="B56">
            <v>0</v>
          </cell>
          <cell r="C56">
            <v>0</v>
          </cell>
          <cell r="D56">
            <v>-2089552.253</v>
          </cell>
          <cell r="E56">
            <v>0</v>
          </cell>
          <cell r="F56">
            <v>1662937.065</v>
          </cell>
          <cell r="G56">
            <v>0</v>
          </cell>
          <cell r="H56">
            <v>-1567293.6633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-1993908.8513</v>
          </cell>
        </row>
        <row r="57">
          <cell r="A57" t="str">
            <v>PWR-NG-CENTRAL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</row>
        <row r="58">
          <cell r="A58" t="str">
            <v>PWR-NG-ERCT-AST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PWR-NG-ERCT-OFF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A60" t="str">
            <v>PWR-NG-ERCT-OPT</v>
          </cell>
          <cell r="B60">
            <v>0</v>
          </cell>
          <cell r="C60">
            <v>0</v>
          </cell>
          <cell r="D60">
            <v>966789.937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966789.937</v>
          </cell>
        </row>
        <row r="61">
          <cell r="A61" t="str">
            <v>PWR-NG-HEDGE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PWR-NG-LT-ERCOT</v>
          </cell>
          <cell r="B62">
            <v>0</v>
          </cell>
          <cell r="C62">
            <v>0</v>
          </cell>
          <cell r="D62">
            <v>6965174.1753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6965174.1753</v>
          </cell>
        </row>
        <row r="63">
          <cell r="A63" t="str">
            <v>PWR-NG-LT-OPT</v>
          </cell>
          <cell r="B63">
            <v>0</v>
          </cell>
          <cell r="C63">
            <v>0</v>
          </cell>
          <cell r="D63">
            <v>245338.5707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245338.5707</v>
          </cell>
        </row>
        <row r="64">
          <cell r="A64" t="str">
            <v>PWR-NG-LT-OPTA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A65" t="str">
            <v>PWR-NG-LT-OPTB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A66" t="str">
            <v>PWR-NG-LT-OPTY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 t="str">
            <v>PWR-NG-LT-OPTZ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 t="str">
            <v>PWR-NG-LT-SERC</v>
          </cell>
          <cell r="B68">
            <v>0</v>
          </cell>
          <cell r="C68">
            <v>0</v>
          </cell>
          <cell r="D68">
            <v>870646.772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870646.772</v>
          </cell>
        </row>
        <row r="69">
          <cell r="A69" t="str">
            <v>PWR-NG-LT-SPP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A70" t="str">
            <v>PWR-NG-MW-HR</v>
          </cell>
          <cell r="B70">
            <v>0</v>
          </cell>
          <cell r="C70">
            <v>0</v>
          </cell>
          <cell r="D70">
            <v>-14975124.4779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-14975124.4779</v>
          </cell>
        </row>
        <row r="71">
          <cell r="A71" t="str">
            <v>PWR-NG-MW-OFF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A72" t="str">
            <v>PWR-NG-ST-ECAR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A73" t="str">
            <v>PWR-NG-ST-MAPP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A74" t="str">
            <v>PWR-NG-ST-NENG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A75" t="str">
            <v>PWR-NG-ST-NY</v>
          </cell>
          <cell r="B75">
            <v>0</v>
          </cell>
          <cell r="C75">
            <v>0</v>
          </cell>
          <cell r="D75">
            <v>-174129.3546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-174129.3546</v>
          </cell>
        </row>
        <row r="76">
          <cell r="A76" t="str">
            <v>PWR-NG-ST-TEXAS</v>
          </cell>
          <cell r="B76">
            <v>0</v>
          </cell>
          <cell r="C76">
            <v>0</v>
          </cell>
          <cell r="D76">
            <v>696517.4175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696517.4175</v>
          </cell>
        </row>
        <row r="77">
          <cell r="A77" t="str">
            <v>PWR-NG-TEXAS</v>
          </cell>
          <cell r="B77">
            <v>0</v>
          </cell>
          <cell r="C77">
            <v>0</v>
          </cell>
          <cell r="D77">
            <v>3660859.9342</v>
          </cell>
          <cell r="E77">
            <v>0</v>
          </cell>
          <cell r="F77">
            <v>4988811.195</v>
          </cell>
          <cell r="G77">
            <v>0</v>
          </cell>
          <cell r="H77">
            <v>4701880.9899</v>
          </cell>
          <cell r="I77">
            <v>0</v>
          </cell>
          <cell r="J77">
            <v>2952350.7016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16303902.8207</v>
          </cell>
        </row>
        <row r="78">
          <cell r="A78" t="str">
            <v>PWR-NG-TX-ACCRL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PWR-NY-GAS-MTM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A80" t="str">
            <v>PWR-PJM-GAS-MTM</v>
          </cell>
          <cell r="B80">
            <v>0</v>
          </cell>
          <cell r="C80">
            <v>0</v>
          </cell>
          <cell r="D80">
            <v>-13930348.3513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-13930348.3513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34.41"/>
    <col collapsed="false" customWidth="true" hidden="true" outlineLevel="0" max="2" min="2" style="1" width="31.7"/>
    <col collapsed="false" customWidth="true" hidden="true" outlineLevel="0" max="3" min="3" style="1" width="29.28"/>
    <col collapsed="false" customWidth="true" hidden="false" outlineLevel="0" max="4" min="4" style="2" width="34.85"/>
    <col collapsed="false" customWidth="true" hidden="false" outlineLevel="0" max="5" min="5" style="1" width="20.99"/>
    <col collapsed="false" customWidth="true" hidden="false" outlineLevel="0" max="6" min="6" style="1" width="19.85"/>
    <col collapsed="false" customWidth="true" hidden="true" outlineLevel="0" max="7" min="7" style="3" width="7.85"/>
    <col collapsed="false" customWidth="true" hidden="true" outlineLevel="0" max="8" min="8" style="3" width="11.85"/>
    <col collapsed="false" customWidth="true" hidden="true" outlineLevel="0" max="9" min="9" style="3" width="13.56"/>
    <col collapsed="false" customWidth="true" hidden="true" outlineLevel="0" max="10" min="10" style="3" width="29.28"/>
    <col collapsed="false" customWidth="true" hidden="true" outlineLevel="0" max="11" min="11" style="3" width="8.7"/>
    <col collapsed="false" customWidth="true" hidden="true" outlineLevel="0" max="13" min="12" style="3" width="18.41"/>
    <col collapsed="false" customWidth="true" hidden="true" outlineLevel="0" max="15" min="14" style="3" width="17.85"/>
    <col collapsed="false" customWidth="true" hidden="false" outlineLevel="0" max="17" min="16" style="3" width="17.85"/>
    <col collapsed="false" customWidth="true" hidden="false" outlineLevel="0" max="22" min="18" style="3" width="19.28"/>
    <col collapsed="false" customWidth="true" hidden="false" outlineLevel="0" max="23" min="23" style="4" width="19.28"/>
    <col collapsed="false" customWidth="true" hidden="false" outlineLevel="0" max="24" min="24" style="3" width="19.28"/>
    <col collapsed="false" customWidth="true" hidden="false" outlineLevel="0" max="26" min="25" style="4" width="19.28"/>
    <col collapsed="false" customWidth="true" hidden="false" outlineLevel="0" max="27" min="27" style="3" width="19.28"/>
    <col collapsed="false" customWidth="true" hidden="false" outlineLevel="0" max="29" min="28" style="3" width="21.28"/>
    <col collapsed="false" customWidth="true" hidden="false" outlineLevel="0" max="30" min="30" style="5" width="21.28"/>
    <col collapsed="false" customWidth="true" hidden="false" outlineLevel="0" max="31" min="31" style="1" width="21.28"/>
    <col collapsed="false" customWidth="true" hidden="false" outlineLevel="0" max="32" min="32" style="1" width="29.56"/>
    <col collapsed="false" customWidth="true" hidden="false" outlineLevel="0" max="33" min="33" style="1" width="26.42"/>
    <col collapsed="false" customWidth="true" hidden="false" outlineLevel="0" max="35" min="34" style="1" width="29.71"/>
    <col collapsed="false" customWidth="true" hidden="false" outlineLevel="0" max="36" min="36" style="1" width="35.13"/>
    <col collapsed="false" customWidth="true" hidden="false" outlineLevel="0" max="37" min="37" style="1" width="20.7"/>
    <col collapsed="false" customWidth="true" hidden="false" outlineLevel="0" max="38" min="38" style="1" width="32.28"/>
    <col collapsed="false" customWidth="false" hidden="false" outlineLevel="0" max="257" min="39" style="1" width="9.14"/>
  </cols>
  <sheetData>
    <row r="2" customFormat="false" ht="18.75" hidden="false" customHeight="false" outlineLevel="0" collapsed="false">
      <c r="A2" s="6" t="n">
        <f aca="true">IF(HOUR(NOW())&gt;15,NOW(),NOW()-IF(WEEKDAY(NOW())=2,2,0)-1)</f>
        <v>45926.9947811675</v>
      </c>
      <c r="D2" s="6" t="n">
        <f aca="true">IF(HOUR(NOW())&gt;15,NOW(),NOW()-IF(WEEKDAY(NOW())=2,2,0)-1)</f>
        <v>45926.9947811676</v>
      </c>
      <c r="J2" s="7"/>
    </row>
    <row r="3" customFormat="false" ht="18" hidden="false" customHeight="false" outlineLevel="0" collapsed="false">
      <c r="A3" s="8" t="s">
        <v>0</v>
      </c>
      <c r="B3" s="9"/>
      <c r="C3" s="9"/>
      <c r="D3" s="10" t="s">
        <v>1</v>
      </c>
      <c r="E3" s="9"/>
      <c r="F3" s="11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4"/>
      <c r="T3" s="12"/>
      <c r="U3" s="12"/>
      <c r="V3" s="12"/>
      <c r="W3" s="12"/>
      <c r="X3" s="12"/>
      <c r="Y3" s="12"/>
      <c r="Z3" s="13"/>
      <c r="AA3" s="15"/>
      <c r="AB3" s="13"/>
      <c r="AC3" s="16"/>
    </row>
    <row r="4" customFormat="false" ht="18.75" hidden="false" customHeight="false" outlineLevel="0" collapsed="false">
      <c r="A4" s="17" t="s">
        <v>3</v>
      </c>
      <c r="B4" s="18"/>
      <c r="C4" s="18"/>
      <c r="D4" s="19" t="s">
        <v>3</v>
      </c>
      <c r="E4" s="18" t="s">
        <v>4</v>
      </c>
      <c r="F4" s="20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2" t="s">
        <v>16</v>
      </c>
      <c r="S4" s="23" t="s">
        <v>17</v>
      </c>
      <c r="T4" s="21" t="s">
        <v>18</v>
      </c>
      <c r="U4" s="21" t="s">
        <v>19</v>
      </c>
      <c r="V4" s="21" t="s">
        <v>20</v>
      </c>
      <c r="W4" s="21" t="s">
        <v>21</v>
      </c>
      <c r="X4" s="21" t="s">
        <v>22</v>
      </c>
      <c r="Y4" s="21" t="s">
        <v>23</v>
      </c>
      <c r="Z4" s="24" t="n">
        <v>2002</v>
      </c>
      <c r="AA4" s="25" t="n">
        <v>2003</v>
      </c>
      <c r="AB4" s="22" t="s">
        <v>24</v>
      </c>
      <c r="AC4" s="26" t="s">
        <v>25</v>
      </c>
    </row>
    <row r="5" customFormat="false" ht="11.25" hidden="false" customHeight="true" outlineLevel="0" collapsed="false">
      <c r="AB5" s="4"/>
      <c r="AC5" s="4"/>
    </row>
    <row r="6" customFormat="false" ht="18.75" hidden="false" customHeight="false" outlineLevel="0" collapsed="false">
      <c r="A6" s="27"/>
      <c r="B6" s="28"/>
      <c r="C6" s="28"/>
      <c r="D6" s="29" t="s">
        <v>26</v>
      </c>
      <c r="E6" s="30" t="n">
        <v>25000000</v>
      </c>
      <c r="F6" s="31"/>
      <c r="G6" s="32"/>
      <c r="H6" s="32"/>
      <c r="I6" s="32"/>
      <c r="J6" s="33" t="s">
        <v>27</v>
      </c>
      <c r="K6" s="32"/>
      <c r="L6" s="32"/>
      <c r="M6" s="32"/>
      <c r="N6" s="32"/>
      <c r="O6" s="32"/>
      <c r="P6" s="32"/>
      <c r="Q6" s="32"/>
      <c r="R6" s="34"/>
      <c r="S6" s="35"/>
      <c r="T6" s="32"/>
      <c r="U6" s="32"/>
      <c r="V6" s="32"/>
      <c r="W6" s="32"/>
      <c r="X6" s="32"/>
      <c r="Y6" s="34"/>
      <c r="Z6" s="36"/>
      <c r="AA6" s="34"/>
      <c r="AB6" s="36"/>
      <c r="AC6" s="34"/>
      <c r="AD6" s="37"/>
      <c r="AE6" s="38"/>
      <c r="AF6" s="38"/>
      <c r="AG6" s="38"/>
      <c r="AH6" s="38"/>
      <c r="AI6" s="38"/>
      <c r="AJ6" s="39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8.75" hidden="false" customHeight="false" outlineLevel="0" collapsed="false">
      <c r="A7" s="40"/>
      <c r="B7" s="41"/>
      <c r="C7" s="41"/>
      <c r="D7" s="42"/>
      <c r="E7" s="4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44"/>
      <c r="T7" s="44"/>
      <c r="U7" s="44"/>
      <c r="V7" s="44"/>
      <c r="W7" s="44"/>
      <c r="X7" s="44"/>
      <c r="Y7" s="44"/>
      <c r="Z7" s="44"/>
      <c r="AA7" s="46"/>
      <c r="AB7" s="47"/>
      <c r="AC7" s="46"/>
      <c r="AD7" s="37"/>
      <c r="AE7" s="38"/>
      <c r="AF7" s="38"/>
      <c r="AG7" s="38"/>
      <c r="AH7" s="38"/>
      <c r="AI7" s="48" t="s">
        <v>28</v>
      </c>
      <c r="AJ7" s="49" t="str">
        <f aca="false">'[3]Delta Monthly'!$AZ$30</f>
        <v> </v>
      </c>
      <c r="AK7" s="50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25.5" hidden="false" customHeight="true" outlineLevel="0" collapsed="false">
      <c r="A8" s="51" t="s">
        <v>29</v>
      </c>
      <c r="B8" s="52"/>
      <c r="C8" s="53" t="s">
        <v>30</v>
      </c>
      <c r="D8" s="54" t="s">
        <v>31</v>
      </c>
      <c r="E8" s="55" t="n">
        <f aca="false">(VLOOKUP(C8,[4]Sheet1!$B$1:$G$65,2,0))*-1</f>
        <v>19833595.52352</v>
      </c>
      <c r="F8" s="56" t="n">
        <f aca="false">(VLOOKUP(C8,[4]Sheet1!$B$1:$G$65,4,0))</f>
        <v>-199169.8081428</v>
      </c>
      <c r="G8" s="57" t="e">
        <f aca="false">SUM(G10,G36,G59,G71,G87)</f>
        <v>#REF!</v>
      </c>
      <c r="H8" s="57" t="e">
        <f aca="false">SUM(H10,H14,H36,H59,H71,H87)</f>
        <v>#REF!</v>
      </c>
      <c r="I8" s="57" t="e">
        <f aca="false">SUM(I10,I14,I36,I59,I71,I87)</f>
        <v>#REF!</v>
      </c>
      <c r="J8" s="57" t="e">
        <f aca="false">SUM(J10,J14,J16,J18,J24,J36,J59,J71,J87)</f>
        <v>#REF!</v>
      </c>
      <c r="K8" s="57" t="e">
        <f aca="false">SUM(K10,K24,K36,K59,K71,K87)</f>
        <v>#REF!</v>
      </c>
      <c r="L8" s="57" t="e">
        <f aca="false">SUM(L10,L24,L36,L59,L71,L87)</f>
        <v>#REF!</v>
      </c>
      <c r="M8" s="57" t="e">
        <f aca="false">SUM(M10,M24,M36,M59,M71,M87)</f>
        <v>#REF!</v>
      </c>
      <c r="N8" s="57" t="e">
        <f aca="false">SUM(N10,N24,N36,N59,N71,N87)</f>
        <v>#REF!</v>
      </c>
      <c r="O8" s="57" t="n">
        <f aca="false">SUM(O10,O24,O36,O59,O71,O87)</f>
        <v>0</v>
      </c>
      <c r="P8" s="57" t="n">
        <f aca="false">SUM(P10,P24,P36,P59,P71,P87)</f>
        <v>267060.547736209</v>
      </c>
      <c r="Q8" s="57" t="n">
        <f aca="false">SUM(Q10,Q24,Q36,Q59,Q71,Q87)</f>
        <v>-851523.484171605</v>
      </c>
      <c r="R8" s="58" t="n">
        <f aca="false">SUM(R10,R24,R36,R59,R71,R87)</f>
        <v>-584462.936435396</v>
      </c>
      <c r="S8" s="57" t="n">
        <f aca="false">SUM(S10,S24,S36,S59,S71,S87)</f>
        <v>-918545.337285904</v>
      </c>
      <c r="T8" s="57" t="n">
        <f aca="false">SUM(T10,T24,T36,T59,T71,T87)</f>
        <v>-1262522.51358116</v>
      </c>
      <c r="U8" s="57" t="n">
        <f aca="false">SUM(U10,U24,U36,U59,U71,U87)</f>
        <v>-1278482.22935623</v>
      </c>
      <c r="V8" s="57" t="n">
        <f aca="false">SUM(V10,V24,V36,V59,V71,V87)</f>
        <v>-810498.606091644</v>
      </c>
      <c r="W8" s="57" t="n">
        <f aca="false">SUM(W10,W24,W36,W59,W71,W87)</f>
        <v>-3124855.61109833</v>
      </c>
      <c r="X8" s="57" t="n">
        <f aca="false">SUM(X10,X24,X36,X59,X71,X87)</f>
        <v>-1339135.09990275</v>
      </c>
      <c r="Y8" s="57" t="n">
        <f aca="false">SUM(Y10,Y24,Y36,Y59,Y71,Y87)</f>
        <v>5951370.70001023</v>
      </c>
      <c r="Z8" s="58" t="n">
        <f aca="false">SUM(Z10,Z24,Z36,Z59,Z71,Z87)</f>
        <v>-2782668.69730578</v>
      </c>
      <c r="AA8" s="59" t="n">
        <f aca="false">SUM(AA10,AA24,AA36,AA59,AA71,AA87)</f>
        <v>-785570.75278796</v>
      </c>
      <c r="AB8" s="58" t="n">
        <f aca="false">SUM(AB10,AB24,AB36,AB59,AB71,AB87)</f>
        <v>1279238.44965532</v>
      </c>
      <c r="AC8" s="59" t="n">
        <f aca="false">SUM(AC10,AC24,AC36,AC59,AC71,AC87)</f>
        <v>-2873463.93687382</v>
      </c>
      <c r="AD8" s="37"/>
      <c r="AE8" s="38"/>
      <c r="AF8" s="38"/>
      <c r="AG8" s="38"/>
      <c r="AH8" s="38"/>
      <c r="AI8" s="60" t="s">
        <v>32</v>
      </c>
      <c r="AJ8" s="39" t="n">
        <f aca="false">AC8+'E. VaR &amp; Off-Peak Pos By Trader'!AB8</f>
        <v>-18019115.90892</v>
      </c>
      <c r="AK8" s="61"/>
      <c r="AL8" s="39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8.75" hidden="false" customHeight="false" outlineLevel="0" collapsed="false">
      <c r="A9" s="62"/>
      <c r="B9" s="62"/>
      <c r="C9" s="62"/>
      <c r="D9" s="43"/>
      <c r="E9" s="44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63"/>
      <c r="S9" s="43"/>
      <c r="T9" s="43"/>
      <c r="U9" s="43"/>
      <c r="V9" s="43"/>
      <c r="W9" s="43"/>
      <c r="X9" s="43"/>
      <c r="Y9" s="43"/>
      <c r="Z9" s="43"/>
      <c r="AA9" s="64"/>
      <c r="AB9" s="65"/>
      <c r="AC9" s="64"/>
      <c r="AD9" s="37"/>
      <c r="AE9" s="38"/>
      <c r="AF9" s="38"/>
      <c r="AG9" s="38"/>
      <c r="AH9" s="38"/>
      <c r="AI9" s="60"/>
      <c r="AJ9" s="66" t="n">
        <f aca="false">AJ8-'[3]Delta Monthly'!$AZ$41</f>
        <v>-16774.4239725918</v>
      </c>
      <c r="AK9" s="67"/>
      <c r="AL9" s="6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8.75" hidden="false" customHeight="false" outlineLevel="0" collapsed="false">
      <c r="A10" s="69" t="s">
        <v>33</v>
      </c>
      <c r="B10" s="70" t="s">
        <v>34</v>
      </c>
      <c r="C10" s="71" t="s">
        <v>35</v>
      </c>
      <c r="D10" s="72" t="s">
        <v>36</v>
      </c>
      <c r="E10" s="73" t="n">
        <f aca="false">(VLOOKUP(C10,[4]Sheet1!$B$1:$G$65,2,0))*-1</f>
        <v>5922472.1383791</v>
      </c>
      <c r="F10" s="74" t="n">
        <f aca="false">(VLOOKUP(C10,[4]Sheet1!$B$1:$G$65,4,0))</f>
        <v>226085.405821229</v>
      </c>
      <c r="G10" s="75" t="n">
        <f aca="false">VLOOKUP($B10,'[3]Delta Monthly'!$A$1:$AW$55,4,1)</f>
        <v>0</v>
      </c>
      <c r="H10" s="75" t="n">
        <f aca="false">VLOOKUP($B10,'[3]Delta Monthly'!$A$1:$AW$55,6,FALSE())</f>
        <v>0</v>
      </c>
      <c r="I10" s="75" t="n">
        <f aca="false">VLOOKUP($B10,'[3]Delta Monthly'!$A$1:$AW$55,8,FALSE())</f>
        <v>0</v>
      </c>
      <c r="J10" s="75" t="n">
        <f aca="false">VLOOKUP($B10,'[3]Delta Monthly'!$A$1:$AW$55,10,FALSE())</f>
        <v>0</v>
      </c>
      <c r="K10" s="75" t="n">
        <f aca="false">VLOOKUP($B10,'[3]Delta Monthly'!$A$1:$AW$55,12,FALSE())</f>
        <v>0</v>
      </c>
      <c r="L10" s="75" t="n">
        <f aca="false">VLOOKUP($B10,'[3]Delta Monthly'!$A$1:$AW$55,14,FALSE())</f>
        <v>0</v>
      </c>
      <c r="M10" s="75" t="n">
        <f aca="false">+VLOOKUP($B10,'[3]Delta Monthly'!$A$1:$AW$55,16,FALSE())</f>
        <v>0</v>
      </c>
      <c r="N10" s="75" t="n">
        <f aca="false">VLOOKUP($B10,'[3]Delta Monthly'!$A$1:$AW$55,18,FALSE())</f>
        <v>0</v>
      </c>
      <c r="O10" s="75" t="n">
        <f aca="false">VLOOKUP($B10,'[3]Delta Monthly'!$A$1:$AW$72,20,FALSE())</f>
        <v>0</v>
      </c>
      <c r="P10" s="75" t="n">
        <f aca="false">VLOOKUP($B10,'[3]Delta Monthly'!$A$1:$AW$72,22,FALSE())</f>
        <v>-27344.8605780603</v>
      </c>
      <c r="Q10" s="75" t="n">
        <f aca="false">VLOOKUP($B10,'[3]Delta Monthly'!$A$1:$AW$72,24,FALSE())</f>
        <v>-334424.301850953</v>
      </c>
      <c r="R10" s="72" t="n">
        <f aca="false">SUM(G10:Q10)</f>
        <v>-361769.162429013</v>
      </c>
      <c r="S10" s="75" t="n">
        <f aca="false">VLOOKUP($B10,'[3]Delta Monthly'!$A$1:$AW$72,26,FALSE())+VLOOKUP($B10,'[3]Delta Monthly'!$A$1:$AW$72,28,FALSE())</f>
        <v>196481.983655715</v>
      </c>
      <c r="T10" s="75" t="n">
        <f aca="false">VLOOKUP($B10,'[3]Delta Monthly'!$A$1:$AW$72,30,FALSE())+VLOOKUP($B10,'[3]Delta Monthly'!$A$1:$AW$72,32,FALSE())</f>
        <v>-593849.214165798</v>
      </c>
      <c r="U10" s="75" t="n">
        <f aca="false">VLOOKUP($B10,'[3]Delta Monthly'!$A$1:$AW$72,34,FALSE())</f>
        <v>-234785.674235149</v>
      </c>
      <c r="V10" s="75" t="n">
        <f aca="false">VLOOKUP($B10,'[3]Delta Monthly'!$A$1:$AW$72,36,FALSE())</f>
        <v>-360545.999366044</v>
      </c>
      <c r="W10" s="75" t="n">
        <f aca="false">VLOOKUP($B10,'[3]Delta Monthly'!$A$1:$AW$72,38,FALSE())+VLOOKUP($B10,'[3]Delta Monthly'!$A$1:$AW$72,40,FALSE())</f>
        <v>-1010992.56959871</v>
      </c>
      <c r="X10" s="75" t="n">
        <f aca="false">VLOOKUP($B10,'[3]Delta Monthly'!$A$1:$AW$72,42,FALSE())</f>
        <v>-180631.458095346</v>
      </c>
      <c r="Y10" s="75" t="n">
        <f aca="false">VLOOKUP($B10,'[3]Delta Monthly'!$A$1:$AW$72,44,FALSE())+VLOOKUP($B10,'[3]Delta Monthly'!$A$1:$AW$72,46,FALSE())+VLOOKUP($B10,'[3]Delta Monthly'!$A$1:$AW$72,48,FALSE())</f>
        <v>-268119.491562397</v>
      </c>
      <c r="Z10" s="72" t="n">
        <f aca="false">SUM(S10:Y10)</f>
        <v>-2452442.42336773</v>
      </c>
      <c r="AA10" s="76" t="n">
        <f aca="false">VLOOKUP($B10,'[5]Delta Yearly'!$A$1:$AD$72,4,FALSE())</f>
        <v>-1013397.20279686</v>
      </c>
      <c r="AB10" s="72" t="n">
        <f aca="false">VLOOKUP($B10,'[5]Delta Yearly'!$A$1:$AC$72,6,FALSE())+VLOOKUP($B10,'[5]Delta Yearly'!$A$1:$AC$72,8,FALSE())+VLOOKUP($B10,'[5]Delta Yearly'!$A$1:$AC$72,10,FALSE())+VLOOKUP($B10,'[5]Delta Yearly'!$A$1:$AC$72,12,FALSE())+VLOOKUP($B10,'[5]Delta Yearly'!$A$1:$AC$72,14,FALSE())+VLOOKUP($B10,'[5]Delta Yearly'!$A$1:$AC$72,16,FALSE())+VLOOKUP($B10,'[5]Delta Yearly'!$A$1:$AC$72,18,FALSE())+VLOOKUP($B10,'[5]Delta Yearly'!$A$1:$AC$72,20,FALSE())+VLOOKUP($B10,'[5]Delta Yearly'!$A$1:$AC$72,22,FALSE())+VLOOKUP($B10,'[5]Delta Yearly'!$A$1:$AC$72,24,FALSE())+VLOOKUP($B10,'[5]Delta Yearly'!$A$1:$AC$72,26,FALSE())+VLOOKUP($B10,'[5]Delta Yearly'!$A$1:$AC$72,28,FALSE())</f>
        <v>-361199.993927314</v>
      </c>
      <c r="AC10" s="76" t="n">
        <f aca="false">SUM(AB10,AA10,Z10,R10)</f>
        <v>-4188808.78252092</v>
      </c>
      <c r="AD10" s="77"/>
      <c r="AE10" s="38"/>
      <c r="AF10" s="38"/>
      <c r="AG10" s="38"/>
      <c r="AH10" s="38"/>
      <c r="AI10" s="60"/>
      <c r="AJ10" s="78"/>
      <c r="AK10" s="79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8.75" hidden="false" customHeight="false" outlineLevel="0" collapsed="false">
      <c r="A11" s="80"/>
      <c r="B11" s="62"/>
      <c r="C11" s="81"/>
      <c r="D11" s="43"/>
      <c r="E11" s="82"/>
      <c r="F11" s="8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3"/>
      <c r="S11" s="44"/>
      <c r="T11" s="44"/>
      <c r="U11" s="44"/>
      <c r="V11" s="44"/>
      <c r="W11" s="44"/>
      <c r="X11" s="44"/>
      <c r="Y11" s="44"/>
      <c r="Z11" s="43"/>
      <c r="AA11" s="43"/>
      <c r="AB11" s="43"/>
      <c r="AC11" s="43"/>
      <c r="AD11" s="77"/>
      <c r="AE11" s="78"/>
      <c r="AF11" s="78"/>
      <c r="AG11" s="78"/>
      <c r="AH11" s="78"/>
      <c r="AI11" s="60"/>
      <c r="AJ11" s="78"/>
      <c r="AK11" s="79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customFormat="false" ht="18.75" hidden="false" customHeight="false" outlineLevel="0" collapsed="false">
      <c r="A12" s="83"/>
      <c r="B12" s="84"/>
      <c r="C12" s="84"/>
      <c r="D12" s="29" t="s">
        <v>26</v>
      </c>
      <c r="E12" s="85" t="n">
        <v>2000000</v>
      </c>
      <c r="F12" s="5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5"/>
      <c r="S12" s="55"/>
      <c r="T12" s="55"/>
      <c r="U12" s="55"/>
      <c r="V12" s="55"/>
      <c r="W12" s="55"/>
      <c r="X12" s="55"/>
      <c r="Y12" s="55"/>
      <c r="Z12" s="87"/>
      <c r="AA12" s="85"/>
      <c r="AB12" s="55"/>
      <c r="AC12" s="87"/>
      <c r="AD12" s="37"/>
      <c r="AE12" s="38"/>
      <c r="AF12" s="38"/>
      <c r="AG12" s="38"/>
      <c r="AH12" s="38"/>
      <c r="AI12" s="60"/>
      <c r="AJ12" s="78"/>
      <c r="AK12" s="79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9" hidden="false" customHeight="true" outlineLevel="0" collapsed="false">
      <c r="A13" s="88"/>
      <c r="B13" s="41"/>
      <c r="C13" s="89"/>
      <c r="D13" s="90"/>
      <c r="E13" s="91"/>
      <c r="F13" s="9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90"/>
      <c r="S13" s="93"/>
      <c r="T13" s="94"/>
      <c r="U13" s="94"/>
      <c r="V13" s="94"/>
      <c r="W13" s="94"/>
      <c r="X13" s="94"/>
      <c r="Y13" s="46"/>
      <c r="Z13" s="42"/>
      <c r="AA13" s="90"/>
      <c r="AB13" s="95"/>
      <c r="AC13" s="90"/>
      <c r="AD13" s="77"/>
      <c r="AE13" s="38"/>
      <c r="AF13" s="38"/>
      <c r="AG13" s="38"/>
      <c r="AH13" s="38"/>
      <c r="AI13" s="60"/>
      <c r="AJ13" s="78" t="s">
        <v>37</v>
      </c>
      <c r="AK13" s="79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24" hidden="false" customHeight="true" outlineLevel="0" collapsed="false">
      <c r="A14" s="96" t="s">
        <v>38</v>
      </c>
      <c r="B14" s="62" t="s">
        <v>39</v>
      </c>
      <c r="C14" s="97" t="s">
        <v>40</v>
      </c>
      <c r="D14" s="65" t="s">
        <v>41</v>
      </c>
      <c r="E14" s="91" t="n">
        <f aca="false">(VLOOKUP(C14,[4]Sheet1!$B$1:$G$65,2,0))*-1</f>
        <v>296426.609754562</v>
      </c>
      <c r="F14" s="92" t="n">
        <f aca="false">(VLOOKUP(C14,[4]Sheet1!$B$1:$G$65,4,0))</f>
        <v>4840.24017577205</v>
      </c>
      <c r="G14" s="44" t="n">
        <v>0</v>
      </c>
      <c r="H14" s="44" t="n">
        <f aca="false">VLOOKUP($B14,'[3]Delta Monthly'!$A$1:$AW$55,6,FALSE())</f>
        <v>0</v>
      </c>
      <c r="I14" s="44" t="n">
        <f aca="false">VLOOKUP($B14,'[3]Delta Monthly'!$A$1:$AW$55,8,FALSE())</f>
        <v>0</v>
      </c>
      <c r="J14" s="44" t="n">
        <f aca="false">VLOOKUP($B14,'[3]Delta Monthly'!$A$1:$AW$55,10,FALSE())</f>
        <v>0</v>
      </c>
      <c r="K14" s="44" t="n">
        <f aca="false">VLOOKUP($B14,'[3]Delta Monthly'!$A$1:$AW$55,12,FALSE())</f>
        <v>0</v>
      </c>
      <c r="L14" s="44" t="n">
        <f aca="false">VLOOKUP($B14,'[3]Delta Monthly'!$A$1:$AW$55,14,FALSE())</f>
        <v>0</v>
      </c>
      <c r="M14" s="44" t="n">
        <f aca="false">+VLOOKUP($B14,'[3]Delta Monthly'!$A$1:$AW$55,16,FALSE())</f>
        <v>0</v>
      </c>
      <c r="N14" s="44" t="n">
        <f aca="false">VLOOKUP($B14,'[3]Delta Monthly'!$A$1:$AW$55,18,FALSE())</f>
        <v>0</v>
      </c>
      <c r="O14" s="44" t="n">
        <f aca="false">VLOOKUP($B14,'[3]Delta Monthly'!$A$1:$AW$72,20,FALSE())</f>
        <v>0</v>
      </c>
      <c r="P14" s="44" t="n">
        <f aca="false">VLOOKUP($B14,'[3]Delta Monthly'!$A$1:$AW$72,22,FALSE())</f>
        <v>-14025.1930774745</v>
      </c>
      <c r="Q14" s="44" t="n">
        <f aca="false">VLOOKUP($B14,'[3]Delta Monthly'!$A$1:$AW$72,24,FALSE())</f>
        <v>-28737.6877797353</v>
      </c>
      <c r="R14" s="65" t="n">
        <f aca="false">SUM(G14:Q14)</f>
        <v>-42762.8808572097</v>
      </c>
      <c r="S14" s="98" t="n">
        <f aca="false">VLOOKUP($B14,'[3]Delta Monthly'!$A$1:$AW$72,26,FALSE())+VLOOKUP($B14,'[3]Delta Monthly'!$A$1:$AW$72,28,FALSE())</f>
        <v>-23504.914441359</v>
      </c>
      <c r="T14" s="44" t="n">
        <f aca="false">VLOOKUP($B14,'[3]Delta Monthly'!$A$1:$AW$72,30,FALSE())+VLOOKUP($B14,'[3]Delta Monthly'!$A$1:$AW$72,32,FALSE())</f>
        <v>-30742.2630883182</v>
      </c>
      <c r="U14" s="44" t="n">
        <f aca="false">VLOOKUP($B14,'[3]Delta Monthly'!$A$1:$AW$72,34,FALSE())</f>
        <v>-23680.5494083283</v>
      </c>
      <c r="V14" s="44" t="n">
        <f aca="false">VLOOKUP($B14,'[3]Delta Monthly'!$A$1:$AW$72,36,FALSE())</f>
        <v>-12556.5066773139</v>
      </c>
      <c r="W14" s="44" t="n">
        <f aca="false">VLOOKUP($B14,'[3]Delta Monthly'!$A$1:$AW$72,38,FALSE())+VLOOKUP($B14,'[3]Delta Monthly'!$A$1:$AW$72,40,FALSE())</f>
        <v>-28656.9095082201</v>
      </c>
      <c r="X14" s="44" t="n">
        <f aca="false">VLOOKUP($B14,'[3]Delta Monthly'!$A$1:$AW$72,42,FALSE())</f>
        <v>-14126.2699483642</v>
      </c>
      <c r="Y14" s="99" t="n">
        <f aca="false">VLOOKUP($B14,'[3]Delta Monthly'!$A$1:$AW$72,44,FALSE())+VLOOKUP($B14,'[3]Delta Monthly'!$A$1:$AW$72,46,FALSE())+VLOOKUP($B14,'[3]Delta Monthly'!$A$1:$AW$72,48,FALSE())</f>
        <v>-44961.4491422045</v>
      </c>
      <c r="Z14" s="43" t="n">
        <f aca="false">SUM(S14:Y14)</f>
        <v>-178228.862214108</v>
      </c>
      <c r="AA14" s="65" t="n">
        <f aca="false">VLOOKUP($B14,'[5]Delta Yearly'!$A$1:$AD$72,4,FALSE())</f>
        <v>-36289.9276187414</v>
      </c>
      <c r="AB14" s="64" t="n">
        <f aca="false">VLOOKUP($B14,'[5]Delta Yearly'!$A$1:$AC$72,6,FALSE())+VLOOKUP($B14,'[5]Delta Yearly'!$A$1:$AC$72,8,FALSE())+VLOOKUP($B14,'[5]Delta Yearly'!$A$1:$AC$72,10,FALSE())+VLOOKUP($B14,'[5]Delta Yearly'!$A$1:$AC$72,12,FALSE())+VLOOKUP($B14,'[5]Delta Yearly'!$A$1:$AC$72,14,FALSE())+VLOOKUP($B14,'[5]Delta Yearly'!$A$1:$AC$72,16,FALSE())+VLOOKUP($B14,'[5]Delta Yearly'!$A$1:$AC$72,18,FALSE())+VLOOKUP($B14,'[5]Delta Yearly'!$A$1:$AC$72,20,FALSE())+VLOOKUP($B14,'[5]Delta Yearly'!$A$1:$AC$72,22,FALSE())+VLOOKUP($B14,'[5]Delta Yearly'!$A$1:$AC$72,24,FALSE())+VLOOKUP($B14,'[5]Delta Yearly'!$A$1:$AC$72,26,FALSE())+VLOOKUP($B14,'[5]Delta Yearly'!$A$1:$AC$72,28,FALSE())</f>
        <v>0</v>
      </c>
      <c r="AC14" s="65" t="n">
        <f aca="false">SUM(AB14,AA14,Z14,R14)</f>
        <v>-257281.670690059</v>
      </c>
      <c r="AD14" s="77"/>
      <c r="AE14" s="38"/>
      <c r="AF14" s="38"/>
      <c r="AG14" s="38"/>
      <c r="AH14" s="38"/>
      <c r="AI14" s="60"/>
      <c r="AJ14" s="39" t="n">
        <f aca="false">SUM('[3]Delta Monthly'!$AX$8:$AX$15)</f>
        <v>16775.6924932509</v>
      </c>
      <c r="AK14" s="100" t="n">
        <f aca="false">AJ14+AJ9</f>
        <v>1.268520659145</v>
      </c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9" hidden="false" customHeight="true" outlineLevel="0" collapsed="false">
      <c r="A15" s="96"/>
      <c r="B15" s="62"/>
      <c r="C15" s="81"/>
      <c r="D15" s="65"/>
      <c r="E15" s="91"/>
      <c r="F15" s="92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65"/>
      <c r="S15" s="98"/>
      <c r="T15" s="44"/>
      <c r="U15" s="44"/>
      <c r="V15" s="44"/>
      <c r="W15" s="44"/>
      <c r="X15" s="44"/>
      <c r="Y15" s="99"/>
      <c r="Z15" s="43"/>
      <c r="AA15" s="65"/>
      <c r="AB15" s="64"/>
      <c r="AC15" s="65"/>
      <c r="AD15" s="77"/>
      <c r="AE15" s="38"/>
      <c r="AF15" s="38"/>
      <c r="AG15" s="38"/>
      <c r="AH15" s="38"/>
      <c r="AI15" s="60"/>
      <c r="AJ15" s="78"/>
      <c r="AK15" s="79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22.5" hidden="false" customHeight="true" outlineLevel="0" collapsed="false">
      <c r="A16" s="96" t="s">
        <v>42</v>
      </c>
      <c r="B16" s="62" t="s">
        <v>43</v>
      </c>
      <c r="C16" s="101" t="s">
        <v>44</v>
      </c>
      <c r="D16" s="65" t="s">
        <v>45</v>
      </c>
      <c r="E16" s="91" t="n">
        <f aca="false">(VLOOKUP(C16,[4]Sheet1!$B$1:$G$65,2,0))*-1</f>
        <v>168733.139721667</v>
      </c>
      <c r="F16" s="92" t="n">
        <f aca="false">(VLOOKUP(C16,[4]Sheet1!$B$1:$G$65,4,0))</f>
        <v>-11608.278613156</v>
      </c>
      <c r="G16" s="44" t="n">
        <v>0</v>
      </c>
      <c r="H16" s="44" t="n">
        <f aca="false">VLOOKUP($B16,'[3]Delta Monthly'!$A$1:$AW$55,6,FALSE())</f>
        <v>0</v>
      </c>
      <c r="I16" s="44" t="n">
        <f aca="false">VLOOKUP($B16,'[3]Delta Monthly'!$A$1:$AW$55,8,FALSE())</f>
        <v>0</v>
      </c>
      <c r="J16" s="44" t="n">
        <f aca="false">VLOOKUP($B16,'[3]Delta Monthly'!$A$1:$AW$55,10,FALSE())</f>
        <v>0</v>
      </c>
      <c r="K16" s="44" t="n">
        <f aca="false">VLOOKUP($B16,'[3]Delta Monthly'!$A$1:$AW$55,12,FALSE())</f>
        <v>0</v>
      </c>
      <c r="L16" s="44" t="n">
        <f aca="false">VLOOKUP($B16,'[3]Delta Monthly'!$A$1:$AW$55,14,FALSE())</f>
        <v>0</v>
      </c>
      <c r="M16" s="44" t="n">
        <f aca="false">VLOOKUP($B16,'[3]Delta Monthly'!$A$1:$AW$55,16,FALSE())</f>
        <v>0</v>
      </c>
      <c r="N16" s="44" t="n">
        <f aca="false">VLOOKUP($B16,'[3]Delta Monthly'!$A$1:$AW$55,18,FALSE())</f>
        <v>0</v>
      </c>
      <c r="O16" s="44" t="n">
        <f aca="false">VLOOKUP($B16,'[3]Delta Monthly'!$A$1:$AW$72,20,FALSE())</f>
        <v>0</v>
      </c>
      <c r="P16" s="44" t="n">
        <f aca="false">VLOOKUP($B16,'[3]Delta Monthly'!$A$1:$AW$72,22,FALSE())</f>
        <v>0</v>
      </c>
      <c r="Q16" s="44" t="n">
        <f aca="false">VLOOKUP($B16,'[3]Delta Monthly'!$A$1:$AW$72,24,FALSE())</f>
        <v>4357.7348706522</v>
      </c>
      <c r="R16" s="65" t="n">
        <f aca="false">SUM(G16:Q16)</f>
        <v>4357.7348706522</v>
      </c>
      <c r="S16" s="98" t="n">
        <f aca="false">VLOOKUP($B16,'[3]Delta Monthly'!$A$1:$AW$72,26,FALSE())+VLOOKUP($B16,'[3]Delta Monthly'!$A$1:$AW$72,28,FALSE())</f>
        <v>-80910.5096890288</v>
      </c>
      <c r="T16" s="44" t="n">
        <f aca="false">VLOOKUP($B16,'[3]Delta Monthly'!$A$1:$AW$72,30,FALSE())+VLOOKUP($B16,'[3]Delta Monthly'!$A$1:$AW$72,32,FALSE())</f>
        <v>-30406.0753702047</v>
      </c>
      <c r="U16" s="44" t="n">
        <f aca="false">VLOOKUP($B16,'[3]Delta Monthly'!$A$1:$AW$72,34,FALSE())</f>
        <v>11297.1702164552</v>
      </c>
      <c r="V16" s="44" t="n">
        <f aca="false">VLOOKUP($B16,'[3]Delta Monthly'!$A$1:$AW$72,36,FALSE())</f>
        <v>-1513.74678656904</v>
      </c>
      <c r="W16" s="44" t="n">
        <f aca="false">VLOOKUP($B16,'[3]Delta Monthly'!$A$1:$AW$72,38,FALSE())+VLOOKUP($B16,'[3]Delta Monthly'!$A$1:$AW$72,40,FALSE())</f>
        <v>-14036.8074915804</v>
      </c>
      <c r="X16" s="44" t="n">
        <f aca="false">VLOOKUP($B16,'[3]Delta Monthly'!$A$1:$AW$72,42,FALSE())</f>
        <v>-5493.75008931011</v>
      </c>
      <c r="Y16" s="99" t="n">
        <f aca="false">VLOOKUP($B16,'[3]Delta Monthly'!$A$1:$AW$72,44,FALSE())+VLOOKUP($B16,'[3]Delta Monthly'!$A$1:$AW$72,46,FALSE())+VLOOKUP($B16,'[3]Delta Monthly'!$A$1:$AW$72,48,FALSE())</f>
        <v>-17599.4346073594</v>
      </c>
      <c r="Z16" s="43" t="n">
        <f aca="false">SUM(S16:Y16)</f>
        <v>-138663.153817597</v>
      </c>
      <c r="AA16" s="65" t="n">
        <f aca="false">VLOOKUP($B16,'[5]Delta Yearly'!$A$1:$AD$72,4,FALSE())</f>
        <v>8777.89830241191</v>
      </c>
      <c r="AB16" s="64" t="n">
        <f aca="false">VLOOKUP($B16,'[5]Delta Yearly'!$A$1:$AC$72,6,FALSE())+VLOOKUP($B16,'[5]Delta Yearly'!$A$1:$AC$72,8,FALSE())+VLOOKUP($B16,'[5]Delta Yearly'!$A$1:$AC$72,10,FALSE())+VLOOKUP($B16,'[5]Delta Yearly'!$A$1:$AC$72,12,FALSE())+VLOOKUP($B16,'[5]Delta Yearly'!$A$1:$AC$72,14,FALSE())+VLOOKUP($B16,'[5]Delta Yearly'!$A$1:$AC$72,16,FALSE())+VLOOKUP($B16,'[5]Delta Yearly'!$A$1:$AC$72,18,FALSE())+VLOOKUP($B16,'[5]Delta Yearly'!$A$1:$AC$72,20,FALSE())+VLOOKUP($B16,'[5]Delta Yearly'!$A$1:$AC$72,22,FALSE())+VLOOKUP($B16,'[5]Delta Yearly'!$A$1:$AC$72,24,FALSE())+VLOOKUP($B16,'[5]Delta Yearly'!$A$1:$AC$72,26,FALSE())+VLOOKUP($B16,'[5]Delta Yearly'!$A$1:$AC$72,28,FALSE())</f>
        <v>0</v>
      </c>
      <c r="AC16" s="65" t="n">
        <f aca="false">SUM(AB16,AA16,Z16,R16)</f>
        <v>-125527.520644533</v>
      </c>
      <c r="AD16" s="77"/>
      <c r="AE16" s="38"/>
      <c r="AF16" s="38"/>
      <c r="AG16" s="38"/>
      <c r="AH16" s="38"/>
      <c r="AI16" s="60"/>
      <c r="AJ16" s="78" t="s">
        <v>46</v>
      </c>
      <c r="AK16" s="79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9" hidden="false" customHeight="true" outlineLevel="0" collapsed="false">
      <c r="A17" s="96"/>
      <c r="B17" s="62"/>
      <c r="C17" s="101"/>
      <c r="D17" s="65"/>
      <c r="E17" s="91"/>
      <c r="F17" s="9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65"/>
      <c r="S17" s="98"/>
      <c r="T17" s="44"/>
      <c r="U17" s="44"/>
      <c r="V17" s="44"/>
      <c r="W17" s="44"/>
      <c r="X17" s="44"/>
      <c r="Y17" s="99"/>
      <c r="Z17" s="43"/>
      <c r="AA17" s="65"/>
      <c r="AB17" s="64"/>
      <c r="AC17" s="65"/>
      <c r="AD17" s="77"/>
      <c r="AE17" s="38"/>
      <c r="AF17" s="38"/>
      <c r="AG17" s="38"/>
      <c r="AH17" s="38"/>
      <c r="AI17" s="60"/>
      <c r="AJ17" s="78"/>
      <c r="AK17" s="79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20.25" hidden="false" customHeight="true" outlineLevel="0" collapsed="false">
      <c r="A18" s="96" t="s">
        <v>47</v>
      </c>
      <c r="B18" s="62" t="s">
        <v>48</v>
      </c>
      <c r="C18" s="81" t="s">
        <v>49</v>
      </c>
      <c r="D18" s="65" t="s">
        <v>50</v>
      </c>
      <c r="E18" s="91" t="n">
        <f aca="false">(VLOOKUP(C18,[4]Sheet1!$B$1:$G$65,2,0))*-1</f>
        <v>118001.120606203</v>
      </c>
      <c r="F18" s="92" t="n">
        <f aca="false">(VLOOKUP(C18,[4]Sheet1!$B$1:$G$65,4,0))</f>
        <v>-1554.34588805401</v>
      </c>
      <c r="G18" s="44" t="n">
        <v>0</v>
      </c>
      <c r="H18" s="44" t="n">
        <f aca="false">VLOOKUP($B18,'[3]Delta Monthly'!$A$1:$AW$55,6,FALSE())</f>
        <v>0</v>
      </c>
      <c r="I18" s="44" t="n">
        <f aca="false">VLOOKUP($B18,'[3]Delta Monthly'!$A$1:$AW$55,8,FALSE())</f>
        <v>0</v>
      </c>
      <c r="J18" s="44" t="n">
        <f aca="false">VLOOKUP($B18,'[3]Delta Monthly'!$A$1:$AW$55,10,FALSE())</f>
        <v>0</v>
      </c>
      <c r="K18" s="44" t="n">
        <f aca="false">VLOOKUP($B18,'[3]Delta Monthly'!$A$1:$AW$55,12,FALSE())</f>
        <v>0</v>
      </c>
      <c r="L18" s="44" t="n">
        <f aca="false">VLOOKUP($B18,'[3]Delta Monthly'!$A$1:$AW$55,14,FALSE())</f>
        <v>0</v>
      </c>
      <c r="M18" s="44" t="n">
        <f aca="false">+VLOOKUP($B18,'[3]Delta Monthly'!$A$1:$AW$55,16,FALSE())</f>
        <v>0</v>
      </c>
      <c r="N18" s="44" t="n">
        <f aca="false">VLOOKUP($B18,'[3]Delta Monthly'!$A$1:$AW$55,18,FALSE())</f>
        <v>0</v>
      </c>
      <c r="O18" s="44" t="n">
        <f aca="false">VLOOKUP($B18,'[3]Delta Monthly'!$A$1:$AW$72,20,FALSE())</f>
        <v>0</v>
      </c>
      <c r="P18" s="44" t="n">
        <f aca="false">VLOOKUP($B18,'[3]Delta Monthly'!$A$1:$AW$72,22,FALSE())</f>
        <v>0</v>
      </c>
      <c r="Q18" s="44" t="n">
        <f aca="false">VLOOKUP($B18,'[3]Delta Monthly'!$A$1:$AW$72,24,FALSE())</f>
        <v>13981.0400541519</v>
      </c>
      <c r="R18" s="65" t="n">
        <f aca="false">SUM(G18:Q18)</f>
        <v>13981.0400541519</v>
      </c>
      <c r="S18" s="98" t="n">
        <f aca="false">VLOOKUP($B18,'[3]Delta Monthly'!$A$1:$AW$72,26,FALSE())+VLOOKUP($B18,'[3]Delta Monthly'!$A$1:$AW$72,28,FALSE())</f>
        <v>-67659.8529771689</v>
      </c>
      <c r="T18" s="44" t="n">
        <f aca="false">VLOOKUP($B18,'[3]Delta Monthly'!$A$1:$AW$72,30,FALSE())+VLOOKUP($B18,'[3]Delta Monthly'!$A$1:$AW$72,32,FALSE())</f>
        <v>-5339.40781228251</v>
      </c>
      <c r="U18" s="44" t="n">
        <f aca="false">VLOOKUP($B18,'[3]Delta Monthly'!$A$1:$AW$72,34,FALSE())</f>
        <v>31868.4031958653</v>
      </c>
      <c r="V18" s="44" t="n">
        <f aca="false">VLOOKUP($B18,'[3]Delta Monthly'!$A$1:$AW$72,36,FALSE())</f>
        <v>346.337504392179</v>
      </c>
      <c r="W18" s="44" t="n">
        <f aca="false">VLOOKUP($B18,'[3]Delta Monthly'!$A$1:$AW$72,38,FALSE())+VLOOKUP($B18,'[3]Delta Monthly'!$A$1:$AW$72,40,FALSE())</f>
        <v>-90955.6973912838</v>
      </c>
      <c r="X18" s="44" t="n">
        <f aca="false">VLOOKUP($B18,'[3]Delta Monthly'!$A$1:$AW$72,42,FALSE())</f>
        <v>15698.0186742363</v>
      </c>
      <c r="Y18" s="99" t="n">
        <f aca="false">VLOOKUP($B18,'[3]Delta Monthly'!$A$1:$AW$72,44,FALSE())+VLOOKUP($B18,'[3]Delta Monthly'!$A$1:$AW$72,46,FALSE())+VLOOKUP($B18,'[3]Delta Monthly'!$A$1:$AW$72,48,FALSE())</f>
        <v>5967.5687643188</v>
      </c>
      <c r="Z18" s="43" t="n">
        <f aca="false">SUM(S18:Y18)</f>
        <v>-110074.630041923</v>
      </c>
      <c r="AA18" s="65" t="n">
        <f aca="false">VLOOKUP($B18,'[5]Delta Yearly'!$A$1:$AD$72,4,FALSE())</f>
        <v>0</v>
      </c>
      <c r="AB18" s="64" t="n">
        <f aca="false">VLOOKUP($B18,'[5]Delta Yearly'!$A$1:$AC$72,6,FALSE())+VLOOKUP($B18,'[5]Delta Yearly'!$A$1:$AC$72,8,FALSE())+VLOOKUP($B18,'[5]Delta Yearly'!$A$1:$AC$72,10,FALSE())+VLOOKUP($B18,'[5]Delta Yearly'!$A$1:$AC$72,12,FALSE())+VLOOKUP($B18,'[5]Delta Yearly'!$A$1:$AC$72,14,FALSE())+VLOOKUP($B18,'[5]Delta Yearly'!$A$1:$AC$72,16,FALSE())+VLOOKUP($B18,'[5]Delta Yearly'!$A$1:$AC$72,18,FALSE())+VLOOKUP($B18,'[5]Delta Yearly'!$A$1:$AC$72,20,FALSE())+VLOOKUP($B18,'[5]Delta Yearly'!$A$1:$AC$72,22,FALSE())+VLOOKUP($B18,'[5]Delta Yearly'!$A$1:$AC$72,24,FALSE())+VLOOKUP($B18,'[5]Delta Yearly'!$A$1:$AC$72,26,FALSE())+VLOOKUP($B18,'[5]Delta Yearly'!$A$1:$AC$72,28,FALSE())</f>
        <v>0</v>
      </c>
      <c r="AC18" s="65" t="n">
        <f aca="false">SUM(AB18,AA18,Z18,R18)</f>
        <v>-96093.5899877706</v>
      </c>
      <c r="AD18" s="77"/>
      <c r="AE18" s="78"/>
      <c r="AF18" s="78"/>
      <c r="AG18" s="78"/>
      <c r="AH18" s="78"/>
      <c r="AI18" s="60"/>
      <c r="AJ18" s="78" t="str">
        <f aca="false">'[5]Delta Yearly'!$AE$15</f>
        <v> </v>
      </c>
      <c r="AK18" s="79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9.75" hidden="false" customHeight="true" outlineLevel="0" collapsed="false">
      <c r="A19" s="96"/>
      <c r="B19" s="62"/>
      <c r="C19" s="81"/>
      <c r="D19" s="65"/>
      <c r="E19" s="91"/>
      <c r="F19" s="92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65"/>
      <c r="S19" s="98"/>
      <c r="T19" s="44"/>
      <c r="U19" s="44"/>
      <c r="V19" s="44"/>
      <c r="W19" s="44"/>
      <c r="X19" s="44"/>
      <c r="Y19" s="99"/>
      <c r="Z19" s="43"/>
      <c r="AA19" s="65"/>
      <c r="AB19" s="64"/>
      <c r="AC19" s="65"/>
      <c r="AD19" s="77"/>
      <c r="AE19" s="78"/>
      <c r="AF19" s="78"/>
      <c r="AG19" s="78"/>
      <c r="AH19" s="78"/>
      <c r="AI19" s="60"/>
      <c r="AJ19" s="78"/>
      <c r="AK19" s="79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20.25" hidden="false" customHeight="true" outlineLevel="0" collapsed="false">
      <c r="A20" s="96" t="s">
        <v>51</v>
      </c>
      <c r="B20" s="62" t="s">
        <v>52</v>
      </c>
      <c r="C20" s="81" t="s">
        <v>53</v>
      </c>
      <c r="D20" s="65" t="s">
        <v>54</v>
      </c>
      <c r="E20" s="91" t="n">
        <f aca="false">(VLOOKUP(C20,[4]Sheet1!$B$1:$G$65,2,0))*-1</f>
        <v>73751.6654298901</v>
      </c>
      <c r="F20" s="92" t="n">
        <f aca="false">(VLOOKUP(C20,[4]Sheet1!$B$1:$G$65,4,0))</f>
        <v>32028.4165348108</v>
      </c>
      <c r="G20" s="44" t="n">
        <v>0</v>
      </c>
      <c r="H20" s="44" t="n">
        <f aca="false">VLOOKUP($B20,'[3]Delta Monthly'!$A$1:$AW$55,6,FALSE())</f>
        <v>0</v>
      </c>
      <c r="I20" s="44" t="n">
        <f aca="false">VLOOKUP($B20,'[3]Delta Monthly'!$A$1:$AW$55,8,FALSE())</f>
        <v>0</v>
      </c>
      <c r="J20" s="44" t="n">
        <f aca="false">VLOOKUP($B20,'[3]Delta Monthly'!$A$1:$AW$55,10,FALSE())</f>
        <v>0</v>
      </c>
      <c r="K20" s="44" t="n">
        <f aca="false">VLOOKUP($B20,'[3]Delta Monthly'!$A$1:$AW$55,12,FALSE())</f>
        <v>0</v>
      </c>
      <c r="L20" s="44" t="n">
        <f aca="false">VLOOKUP($B20,'[3]Delta Monthly'!$A$1:$AW$55,14,FALSE())</f>
        <v>0</v>
      </c>
      <c r="M20" s="44" t="n">
        <f aca="false">+VLOOKUP($B20,'[3]Delta Monthly'!$A$1:$AW$55,16,FALSE())</f>
        <v>0</v>
      </c>
      <c r="N20" s="44" t="n">
        <f aca="false">VLOOKUP($B20,'[3]Delta Monthly'!$A$1:$AW$55,18,FALSE())</f>
        <v>0</v>
      </c>
      <c r="O20" s="44" t="n">
        <f aca="false">VLOOKUP($B20,'[3]Delta Monthly'!$A$1:$AW$72,20,FALSE())</f>
        <v>0</v>
      </c>
      <c r="P20" s="44" t="n">
        <f aca="false">VLOOKUP($B20,'[3]Delta Monthly'!$A$1:$AW$72,22,FALSE())</f>
        <v>0</v>
      </c>
      <c r="Q20" s="44" t="n">
        <f aca="false">VLOOKUP($B20,'[3]Delta Monthly'!$A$1:$AW$72,24,FALSE())</f>
        <v>-18419.0244217018</v>
      </c>
      <c r="R20" s="65" t="n">
        <f aca="false">SUM(G20:Q20)</f>
        <v>-18419.0244217018</v>
      </c>
      <c r="S20" s="98" t="n">
        <f aca="false">VLOOKUP($B20,'[3]Delta Monthly'!$A$1:$AW$72,26,FALSE())+VLOOKUP($B20,'[3]Delta Monthly'!$A$1:$AW$72,28,FALSE())</f>
        <v>-6840.51493193234</v>
      </c>
      <c r="T20" s="44" t="n">
        <f aca="false">VLOOKUP($B20,'[3]Delta Monthly'!$A$1:$AW$72,30,FALSE())+VLOOKUP($B20,'[3]Delta Monthly'!$A$1:$AW$72,32,FALSE())</f>
        <v>0</v>
      </c>
      <c r="U20" s="44" t="n">
        <f aca="false">VLOOKUP($B20,'[3]Delta Monthly'!$A$1:$AW$72,34,FALSE())</f>
        <v>0</v>
      </c>
      <c r="V20" s="44" t="n">
        <f aca="false">VLOOKUP($B20,'[3]Delta Monthly'!$A$1:$AW$72,36,FALSE())</f>
        <v>0</v>
      </c>
      <c r="W20" s="44" t="n">
        <f aca="false">VLOOKUP($B20,'[3]Delta Monthly'!$A$1:$AW$72,38,FALSE())+VLOOKUP($B20,'[3]Delta Monthly'!$A$1:$AW$72,40,FALSE())</f>
        <v>0</v>
      </c>
      <c r="X20" s="44" t="n">
        <f aca="false">VLOOKUP($B20,'[3]Delta Monthly'!$A$1:$AW$72,42,FALSE())</f>
        <v>0</v>
      </c>
      <c r="Y20" s="99" t="n">
        <f aca="false">VLOOKUP($B20,'[3]Delta Monthly'!$A$1:$AW$72,44,FALSE())+VLOOKUP($B20,'[3]Delta Monthly'!$A$1:$AW$72,46,FALSE())+VLOOKUP($B20,'[3]Delta Monthly'!$A$1:$AW$72,48,FALSE())</f>
        <v>0</v>
      </c>
      <c r="Z20" s="43" t="n">
        <f aca="false">SUM(S20:Y20)</f>
        <v>-6840.51493193234</v>
      </c>
      <c r="AA20" s="65" t="n">
        <f aca="false">VLOOKUP($B20,'[5]Delta Yearly'!$A$1:$AD$72,4,FALSE())</f>
        <v>0</v>
      </c>
      <c r="AB20" s="64" t="n">
        <f aca="false">VLOOKUP($B20,'[5]Delta Yearly'!$A$1:$AC$72,6,FALSE())+VLOOKUP($B20,'[5]Delta Yearly'!$A$1:$AC$72,8,FALSE())+VLOOKUP($B20,'[5]Delta Yearly'!$A$1:$AC$72,10,FALSE())+VLOOKUP($B20,'[5]Delta Yearly'!$A$1:$AC$72,12,FALSE())+VLOOKUP($B20,'[5]Delta Yearly'!$A$1:$AC$72,14,FALSE())+VLOOKUP($B20,'[5]Delta Yearly'!$A$1:$AC$72,16,FALSE())+VLOOKUP($B20,'[5]Delta Yearly'!$A$1:$AC$72,18,FALSE())+VLOOKUP($B20,'[5]Delta Yearly'!$A$1:$AC$72,20,FALSE())+VLOOKUP($B20,'[5]Delta Yearly'!$A$1:$AC$72,22,FALSE())+VLOOKUP($B20,'[5]Delta Yearly'!$A$1:$AC$72,24,FALSE())+VLOOKUP($B20,'[5]Delta Yearly'!$A$1:$AC$72,26,FALSE())+VLOOKUP($B20,'[5]Delta Yearly'!$A$1:$AC$72,28,FALSE())</f>
        <v>0</v>
      </c>
      <c r="AC20" s="65" t="n">
        <f aca="false">SUM(AB20,AA20,Z20,R20)</f>
        <v>-25259.5393536342</v>
      </c>
      <c r="AD20" s="77"/>
      <c r="AE20" s="78"/>
      <c r="AF20" s="78"/>
      <c r="AG20" s="78"/>
      <c r="AH20" s="78"/>
      <c r="AI20" s="60"/>
      <c r="AJ20" s="78" t="str">
        <f aca="false">'[5]Delta Yearly'!$AE$15</f>
        <v> </v>
      </c>
      <c r="AK20" s="79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9" hidden="false" customHeight="true" outlineLevel="0" collapsed="false">
      <c r="A21" s="96"/>
      <c r="B21" s="62"/>
      <c r="C21" s="81"/>
      <c r="D21" s="65"/>
      <c r="E21" s="91"/>
      <c r="F21" s="92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65"/>
      <c r="S21" s="98"/>
      <c r="T21" s="44"/>
      <c r="U21" s="44"/>
      <c r="V21" s="44"/>
      <c r="W21" s="44"/>
      <c r="X21" s="44"/>
      <c r="Y21" s="99"/>
      <c r="Z21" s="43"/>
      <c r="AA21" s="65"/>
      <c r="AB21" s="64"/>
      <c r="AC21" s="65"/>
      <c r="AD21" s="77"/>
      <c r="AE21" s="78"/>
      <c r="AF21" s="78"/>
      <c r="AG21" s="78"/>
      <c r="AH21" s="78"/>
      <c r="AI21" s="102"/>
      <c r="AJ21" s="103"/>
      <c r="AK21" s="104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20.25" hidden="false" customHeight="true" outlineLevel="0" collapsed="false">
      <c r="A22" s="96" t="s">
        <v>55</v>
      </c>
      <c r="B22" s="62" t="s">
        <v>56</v>
      </c>
      <c r="C22" s="81" t="s">
        <v>57</v>
      </c>
      <c r="D22" s="65" t="s">
        <v>58</v>
      </c>
      <c r="E22" s="91" t="n">
        <f aca="false">(VLOOKUP(C22,[4]Sheet1!$B$1:$G$65,2,0))*-1</f>
        <v>38448.6599158954</v>
      </c>
      <c r="F22" s="92" t="n">
        <f aca="false">(VLOOKUP(C22,[4]Sheet1!$B$1:$G$65,4,0))</f>
        <v>7470.87624046351</v>
      </c>
      <c r="G22" s="98" t="n">
        <v>0</v>
      </c>
      <c r="H22" s="44" t="n">
        <v>0</v>
      </c>
      <c r="I22" s="44" t="n">
        <v>0</v>
      </c>
      <c r="J22" s="44" t="n">
        <v>0</v>
      </c>
      <c r="K22" s="44" t="n">
        <v>0</v>
      </c>
      <c r="L22" s="44" t="n">
        <v>0</v>
      </c>
      <c r="M22" s="44" t="n">
        <f aca="false">+VLOOKUP($B22,'[3]Delta Monthly'!$A$1:$AW$55,16,FALSE())</f>
        <v>0</v>
      </c>
      <c r="N22" s="44" t="n">
        <f aca="false">VLOOKUP($B22,'[3]Delta Monthly'!$A$1:$AW$55,18,FALSE())</f>
        <v>0</v>
      </c>
      <c r="O22" s="44" t="n">
        <f aca="false">VLOOKUP($B22,'[3]Delta Monthly'!$A$1:$AW$72,20,FALSE())</f>
        <v>0</v>
      </c>
      <c r="P22" s="44" t="n">
        <f aca="false">VLOOKUP($B22,'[3]Delta Monthly'!$A$1:$AW$72,22,FALSE())</f>
        <v>2155.34537703947</v>
      </c>
      <c r="Q22" s="44" t="n">
        <f aca="false">VLOOKUP($B22,'[3]Delta Monthly'!$A$1:$AW$72,24,FALSE())</f>
        <v>-891.954551524648</v>
      </c>
      <c r="R22" s="65" t="n">
        <f aca="false">SUM(G22:Q22)</f>
        <v>1263.39082551482</v>
      </c>
      <c r="S22" s="98" t="n">
        <f aca="false">VLOOKUP($B22,'[3]Delta Monthly'!$A$1:$AW$72,26,FALSE())+VLOOKUP($B22,'[3]Delta Monthly'!$A$1:$AW$72,28,FALSE())</f>
        <v>18155.738966999</v>
      </c>
      <c r="T22" s="44" t="n">
        <f aca="false">VLOOKUP($B22,'[3]Delta Monthly'!$A$1:$AW$72,30,FALSE())+VLOOKUP($B22,'[3]Delta Monthly'!$A$1:$AW$72,32,FALSE())</f>
        <v>0</v>
      </c>
      <c r="U22" s="44" t="n">
        <f aca="false">VLOOKUP($B22,'[3]Delta Monthly'!$A$1:$AW$72,34,FALSE())</f>
        <v>0</v>
      </c>
      <c r="V22" s="44" t="n">
        <f aca="false">VLOOKUP($B22,'[3]Delta Monthly'!$A$1:$AW$72,36,FALSE())</f>
        <v>0</v>
      </c>
      <c r="W22" s="44" t="n">
        <f aca="false">VLOOKUP($B22,'[3]Delta Monthly'!$A$1:$AW$72,38,FALSE())+VLOOKUP($B22,'[3]Delta Monthly'!$A$1:$AW$72,40,FALSE())</f>
        <v>0</v>
      </c>
      <c r="X22" s="44" t="n">
        <f aca="false">VLOOKUP($B22,'[3]Delta Monthly'!$A$1:$AW$72,42,FALSE())</f>
        <v>0</v>
      </c>
      <c r="Y22" s="99" t="n">
        <f aca="false">VLOOKUP($B22,'[3]Delta Monthly'!$A$1:$AW$72,44,FALSE())+VLOOKUP($B22,'[3]Delta Monthly'!$A$1:$AW$72,46,FALSE())+VLOOKUP($B22,'[3]Delta Monthly'!$A$1:$AW$72,48,FALSE())</f>
        <v>0</v>
      </c>
      <c r="Z22" s="43" t="n">
        <f aca="false">SUM(S22:Y22)</f>
        <v>18155.738966999</v>
      </c>
      <c r="AA22" s="65" t="n">
        <f aca="false">VLOOKUP($B22,'[5]Delta Yearly'!$A$1:$AD$72,4,FALSE())</f>
        <v>0</v>
      </c>
      <c r="AB22" s="64" t="n">
        <f aca="false">VLOOKUP($B22,'[5]Delta Yearly'!$A$1:$AC$72,6,FALSE())+VLOOKUP($B22,'[5]Delta Yearly'!$A$1:$AC$72,8,FALSE())+VLOOKUP($B22,'[5]Delta Yearly'!$A$1:$AC$72,10,FALSE())+VLOOKUP($B22,'[5]Delta Yearly'!$A$1:$AC$72,12,FALSE())+VLOOKUP($B22,'[5]Delta Yearly'!$A$1:$AC$72,14,FALSE())+VLOOKUP($B22,'[5]Delta Yearly'!$A$1:$AC$72,16,FALSE())+VLOOKUP($B22,'[5]Delta Yearly'!$A$1:$AC$72,18,FALSE())+VLOOKUP($B22,'[5]Delta Yearly'!$A$1:$AC$72,20,FALSE())+VLOOKUP($B22,'[5]Delta Yearly'!$A$1:$AC$72,22,FALSE())+VLOOKUP($B22,'[5]Delta Yearly'!$A$1:$AC$72,24,FALSE())+VLOOKUP($B22,'[5]Delta Yearly'!$A$1:$AC$72,26,FALSE())+VLOOKUP($B22,'[5]Delta Yearly'!$A$1:$AC$72,28,FALSE())</f>
        <v>0</v>
      </c>
      <c r="AC22" s="65" t="n">
        <f aca="false">SUM(AB22,AA22,Z22,R22)</f>
        <v>19419.1297925138</v>
      </c>
      <c r="AD22" s="77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9" hidden="false" customHeight="true" outlineLevel="0" collapsed="false">
      <c r="A23" s="105"/>
      <c r="B23" s="106"/>
      <c r="C23" s="107"/>
      <c r="D23" s="108"/>
      <c r="E23" s="91"/>
      <c r="F23" s="92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108"/>
      <c r="S23" s="109"/>
      <c r="T23" s="45"/>
      <c r="U23" s="45"/>
      <c r="V23" s="45"/>
      <c r="W23" s="45"/>
      <c r="X23" s="45"/>
      <c r="Y23" s="110"/>
      <c r="Z23" s="63"/>
      <c r="AA23" s="108"/>
      <c r="AB23" s="64"/>
      <c r="AC23" s="65"/>
      <c r="AD23" s="7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true" outlineLevel="0" collapsed="false">
      <c r="A24" s="111" t="s">
        <v>59</v>
      </c>
      <c r="B24" s="112"/>
      <c r="C24" s="112" t="s">
        <v>60</v>
      </c>
      <c r="D24" s="113"/>
      <c r="E24" s="114" t="n">
        <f aca="false">(VLOOKUP(C24,[4]Sheet1!$B$1:$G$65,2,0))*-1</f>
        <v>524861.567014398</v>
      </c>
      <c r="F24" s="115" t="n">
        <f aca="false">(VLOOKUP(C24,[4]Sheet1!$B$1:$G$65,4,0))</f>
        <v>28821.0614595301</v>
      </c>
      <c r="G24" s="116"/>
      <c r="H24" s="116"/>
      <c r="I24" s="116"/>
      <c r="J24" s="116"/>
      <c r="K24" s="116" t="n">
        <f aca="false">SUM(K14:K18)</f>
        <v>0</v>
      </c>
      <c r="L24" s="116" t="n">
        <f aca="false">SUM(L14:L18)</f>
        <v>0</v>
      </c>
      <c r="M24" s="116" t="n">
        <f aca="false">SUM(M14:M22)</f>
        <v>0</v>
      </c>
      <c r="N24" s="116" t="n">
        <f aca="false">SUM(N14:N22)</f>
        <v>0</v>
      </c>
      <c r="O24" s="116" t="n">
        <f aca="false">SUM(O14:O22)</f>
        <v>0</v>
      </c>
      <c r="P24" s="116" t="n">
        <f aca="false">SUM(P14:P22)</f>
        <v>-11869.847700435</v>
      </c>
      <c r="Q24" s="114" t="n">
        <f aca="false">SUM(Q14:Q22)</f>
        <v>-29709.8918281576</v>
      </c>
      <c r="R24" s="115" t="n">
        <f aca="false">SUM(R14:R22)</f>
        <v>-41579.7395285926</v>
      </c>
      <c r="S24" s="117" t="n">
        <f aca="false">SUM(S14:S22)</f>
        <v>-160760.05307249</v>
      </c>
      <c r="T24" s="116" t="n">
        <f aca="false">SUM(T14:T22)</f>
        <v>-66487.7462708054</v>
      </c>
      <c r="U24" s="116" t="n">
        <f aca="false">SUM(U14:U22)</f>
        <v>19485.0240039922</v>
      </c>
      <c r="V24" s="116" t="n">
        <f aca="false">SUM(V14:V22)</f>
        <v>-13723.9159594907</v>
      </c>
      <c r="W24" s="116" t="n">
        <f aca="false">SUM(W14:W22)</f>
        <v>-133649.414391084</v>
      </c>
      <c r="X24" s="116" t="n">
        <f aca="false">SUM(X14:X22)</f>
        <v>-3922.00136343798</v>
      </c>
      <c r="Y24" s="116" t="n">
        <f aca="false">SUM(Y14:Y22)</f>
        <v>-56593.3149852451</v>
      </c>
      <c r="Z24" s="113" t="n">
        <f aca="false">SUM(Z14:Z22)</f>
        <v>-415651.422038561</v>
      </c>
      <c r="AA24" s="118" t="n">
        <f aca="false">SUM(AA14:AA22)</f>
        <v>-27512.0293163295</v>
      </c>
      <c r="AB24" s="113" t="n">
        <f aca="false">SUM(AB14:AB22)</f>
        <v>0</v>
      </c>
      <c r="AC24" s="113" t="n">
        <f aca="false">SUM(AC14:AC22)</f>
        <v>-484743.190883483</v>
      </c>
      <c r="AD24" s="77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8.75" hidden="false" customHeight="false" outlineLevel="0" collapsed="false">
      <c r="A25" s="80"/>
      <c r="B25" s="62"/>
      <c r="C25" s="62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77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8.75" hidden="false" customHeight="false" outlineLevel="0" collapsed="false">
      <c r="A26" s="119"/>
      <c r="B26" s="120"/>
      <c r="C26" s="120"/>
      <c r="D26" s="87" t="s">
        <v>26</v>
      </c>
      <c r="E26" s="121" t="n">
        <v>12000000</v>
      </c>
      <c r="F26" s="122"/>
      <c r="G26" s="55"/>
      <c r="H26" s="55"/>
      <c r="I26" s="55"/>
      <c r="J26" s="55" t="s">
        <v>61</v>
      </c>
      <c r="K26" s="55"/>
      <c r="L26" s="55"/>
      <c r="M26" s="55"/>
      <c r="N26" s="55"/>
      <c r="O26" s="55"/>
      <c r="P26" s="55"/>
      <c r="Q26" s="55"/>
      <c r="R26" s="55"/>
      <c r="S26" s="56"/>
      <c r="T26" s="55"/>
      <c r="U26" s="55"/>
      <c r="V26" s="55"/>
      <c r="W26" s="55"/>
      <c r="X26" s="55"/>
      <c r="Y26" s="55"/>
      <c r="Z26" s="87"/>
      <c r="AA26" s="85"/>
      <c r="AB26" s="87"/>
      <c r="AC26" s="85"/>
      <c r="AD26" s="37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9" hidden="false" customHeight="true" outlineLevel="0" collapsed="false">
      <c r="A27" s="123"/>
      <c r="B27" s="62"/>
      <c r="C27" s="62"/>
      <c r="D27" s="65"/>
      <c r="E27" s="46"/>
      <c r="F27" s="95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124"/>
      <c r="S27" s="125"/>
      <c r="T27" s="42"/>
      <c r="U27" s="42"/>
      <c r="V27" s="42"/>
      <c r="W27" s="42"/>
      <c r="X27" s="42"/>
      <c r="Y27" s="42"/>
      <c r="Z27" s="90"/>
      <c r="AA27" s="95"/>
      <c r="AB27" s="43"/>
      <c r="AC27" s="90"/>
      <c r="AD27" s="37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8" hidden="false" customHeight="false" outlineLevel="0" collapsed="false">
      <c r="A28" s="96" t="s">
        <v>62</v>
      </c>
      <c r="B28" s="62" t="s">
        <v>63</v>
      </c>
      <c r="C28" s="126" t="s">
        <v>64</v>
      </c>
      <c r="D28" s="65" t="s">
        <v>65</v>
      </c>
      <c r="E28" s="91" t="n">
        <f aca="false">(VLOOKUP(C28,[4]Sheet1!$B$1:$G$65,2,0))*-1</f>
        <v>9873431.09335824</v>
      </c>
      <c r="F28" s="91" t="n">
        <f aca="false">(VLOOKUP(C28,[4]Sheet1!$B$1:$G$65,4,0))</f>
        <v>489081.91067669</v>
      </c>
      <c r="G28" s="44" t="n">
        <f aca="false">VLOOKUP($B28,'[3]Delta Monthly'!$A$1:$AW$55,4,1)</f>
        <v>0</v>
      </c>
      <c r="H28" s="44" t="n">
        <f aca="false">VLOOKUP($B28,'[3]Delta Monthly'!$A$1:$AW$55,6,FALSE())</f>
        <v>0</v>
      </c>
      <c r="I28" s="44" t="n">
        <f aca="false">VLOOKUP($B28,'[3]Delta Monthly'!$A$1:$AW$55,8,FALSE())</f>
        <v>0</v>
      </c>
      <c r="J28" s="44" t="n">
        <f aca="false">VLOOKUP($B28,'[3]Delta Monthly'!$A$1:$AW$55,10,FALSE())</f>
        <v>0</v>
      </c>
      <c r="K28" s="44" t="n">
        <f aca="false">VLOOKUP($B28,'[3]Delta Monthly'!$A$1:$AW$55,12,FALSE())</f>
        <v>0</v>
      </c>
      <c r="L28" s="44" t="n">
        <f aca="false">VLOOKUP($B28,'[3]Delta Monthly'!$A$1:$AW$55,14,FALSE())</f>
        <v>0</v>
      </c>
      <c r="M28" s="44" t="n">
        <f aca="false">+VLOOKUP($B28,'[3]Delta Monthly'!$A$1:$AW$55,16,FALSE())</f>
        <v>0</v>
      </c>
      <c r="N28" s="44" t="n">
        <f aca="false">VLOOKUP($B28,'[3]Delta Monthly'!$A$1:$AW$55,18,FALSE())</f>
        <v>0</v>
      </c>
      <c r="O28" s="44" t="n">
        <f aca="false">VLOOKUP($B28,'[3]Delta Monthly'!$A$1:$AW$72,20,FALSE())</f>
        <v>0</v>
      </c>
      <c r="P28" s="44" t="n">
        <f aca="false">VLOOKUP($B28,'[3]Delta Monthly'!$A$1:$AW$72,22,FALSE())</f>
        <v>36398.4249031961</v>
      </c>
      <c r="Q28" s="44" t="n">
        <f aca="false">VLOOKUP($B28,'[3]Delta Monthly'!$A$1:$AW$72,24,FALSE())</f>
        <v>-67192.111018925</v>
      </c>
      <c r="R28" s="124" t="n">
        <f aca="false">SUM(G28:Q28)</f>
        <v>-30793.6861157289</v>
      </c>
      <c r="S28" s="98" t="n">
        <f aca="false">VLOOKUP($B28,'[3]Delta Monthly'!$A$1:$AW$72,26,FALSE())+VLOOKUP($B28,'[3]Delta Monthly'!$A$1:$AW$72,28,FALSE())</f>
        <v>-992778.928933853</v>
      </c>
      <c r="T28" s="44" t="n">
        <f aca="false">VLOOKUP($B28,'[3]Delta Monthly'!$A$1:$AW$72,30,FALSE())+VLOOKUP($B28,'[3]Delta Monthly'!$A$1:$AW$72,32,FALSE())</f>
        <v>-1263747.27020827</v>
      </c>
      <c r="U28" s="44" t="n">
        <f aca="false">VLOOKUP($B28,'[3]Delta Monthly'!$A$1:$AW$72,34,FALSE())</f>
        <v>-501984.544696061</v>
      </c>
      <c r="V28" s="44" t="n">
        <f aca="false">VLOOKUP($B28,'[3]Delta Monthly'!$A$1:$AW$72,36,FALSE())</f>
        <v>-346700.942455234</v>
      </c>
      <c r="W28" s="44" t="n">
        <f aca="false">VLOOKUP($B28,'[3]Delta Monthly'!$A$1:$AW$72,38,FALSE())+VLOOKUP($B28,'[3]Delta Monthly'!$A$1:$AW$72,40,FALSE())</f>
        <v>191203.935190753</v>
      </c>
      <c r="X28" s="44" t="n">
        <f aca="false">VLOOKUP($B28,'[3]Delta Monthly'!$A$1:$AW$72,42,FALSE())</f>
        <v>-312913.257303976</v>
      </c>
      <c r="Y28" s="44" t="n">
        <f aca="false">VLOOKUP($B28,'[3]Delta Monthly'!$A$1:$AW$72,44,FALSE())+VLOOKUP($B28,'[3]Delta Monthly'!$A$1:$AW$72,46,FALSE())+VLOOKUP($B28,'[3]Delta Monthly'!$A$1:$AW$72,48,FALSE())</f>
        <v>2239874.17503315</v>
      </c>
      <c r="Z28" s="65" t="n">
        <f aca="false">SUM(S28:Y28)</f>
        <v>-987046.833373488</v>
      </c>
      <c r="AA28" s="64" t="n">
        <f aca="false">VLOOKUP($B28,'[5]Delta Yearly'!$A$1:$AD$72,4,FALSE())</f>
        <v>-1719938.29840195</v>
      </c>
      <c r="AB28" s="43" t="n">
        <f aca="false">VLOOKUP($B28,'[5]Delta Yearly'!$A$1:$AC$72,6,FALSE())+VLOOKUP($B28,'[5]Delta Yearly'!$A$1:$AC$72,8,FALSE())+VLOOKUP($B28,'[5]Delta Yearly'!$A$1:$AC$72,10,FALSE())+VLOOKUP($B28,'[5]Delta Yearly'!$A$1:$AC$72,12,FALSE())+VLOOKUP($B28,'[5]Delta Yearly'!$A$1:$AC$72,14,FALSE())+VLOOKUP($B28,'[5]Delta Yearly'!$A$1:$AC$72,16,FALSE())+VLOOKUP($B28,'[5]Delta Yearly'!$A$1:$AC$72,18,FALSE())+VLOOKUP($B28,'[5]Delta Yearly'!$A$1:$AC$72,20,FALSE())+VLOOKUP($B28,'[5]Delta Yearly'!$A$1:$AC$72,22,FALSE())+VLOOKUP($B28,'[5]Delta Yearly'!$A$1:$AC$72,24,FALSE())+VLOOKUP($B28,'[5]Delta Yearly'!$A$1:$AC$72,26,FALSE())+VLOOKUP($B28,'[5]Delta Yearly'!$A$1:$AC$72,28,FALSE())</f>
        <v>231234.393635352</v>
      </c>
      <c r="AC28" s="65" t="n">
        <f aca="false">SUM(AB28,AA28,Z28,R28)</f>
        <v>-2506544.42425581</v>
      </c>
      <c r="AD28" s="127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9" hidden="false" customHeight="true" outlineLevel="0" collapsed="false">
      <c r="A29" s="96"/>
      <c r="B29" s="62"/>
      <c r="C29" s="126"/>
      <c r="D29" s="65"/>
      <c r="E29" s="91"/>
      <c r="F29" s="91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124"/>
      <c r="S29" s="98"/>
      <c r="T29" s="44"/>
      <c r="U29" s="44"/>
      <c r="V29" s="44"/>
      <c r="W29" s="44"/>
      <c r="X29" s="44"/>
      <c r="Y29" s="44"/>
      <c r="Z29" s="65"/>
      <c r="AA29" s="64"/>
      <c r="AB29" s="43"/>
      <c r="AC29" s="65"/>
      <c r="AD29" s="127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8" hidden="false" customHeight="false" outlineLevel="0" collapsed="false">
      <c r="A30" s="96" t="s">
        <v>66</v>
      </c>
      <c r="B30" s="62" t="s">
        <v>67</v>
      </c>
      <c r="C30" s="126" t="s">
        <v>68</v>
      </c>
      <c r="D30" s="65" t="s">
        <v>69</v>
      </c>
      <c r="E30" s="91" t="n">
        <f aca="false">(VLOOKUP(C30,[4]Sheet1!$B$1:$G$65,2,0))*-1</f>
        <v>3540540.79727204</v>
      </c>
      <c r="F30" s="91" t="n">
        <f aca="false">(VLOOKUP(C30,[4]Sheet1!$B$1:$G$65,4,0))</f>
        <v>45621.8640818796</v>
      </c>
      <c r="G30" s="44" t="n">
        <f aca="false">VLOOKUP($B30,'[3]Delta Monthly'!$A$1:$AW$55,4,1)</f>
        <v>0</v>
      </c>
      <c r="H30" s="44" t="n">
        <f aca="false">VLOOKUP($B30,'[3]Delta Monthly'!$A$1:$AW$55,6,FALSE())</f>
        <v>0</v>
      </c>
      <c r="I30" s="44" t="n">
        <f aca="false">VLOOKUP($B30,'[3]Delta Monthly'!$A$1:$AW$55,8,FALSE())</f>
        <v>0</v>
      </c>
      <c r="J30" s="44" t="n">
        <f aca="false">VLOOKUP($B30,'[3]Delta Monthly'!$A$1:$AW$55,10,FALSE())</f>
        <v>0</v>
      </c>
      <c r="K30" s="44" t="n">
        <f aca="false">VLOOKUP($B30,'[3]Delta Monthly'!$A$1:$AW$55,12,FALSE())</f>
        <v>0</v>
      </c>
      <c r="L30" s="44" t="n">
        <f aca="false">VLOOKUP($B30,'[3]Delta Monthly'!$A$1:$AW$55,14,FALSE())</f>
        <v>0</v>
      </c>
      <c r="M30" s="44" t="n">
        <f aca="false">+VLOOKUP($B30,'[3]Delta Monthly'!$A$1:$AW$55,16,FALSE())</f>
        <v>0</v>
      </c>
      <c r="N30" s="44" t="n">
        <f aca="false">VLOOKUP($B30,'[3]Delta Monthly'!$A$1:$AW$55,18,FALSE())</f>
        <v>0</v>
      </c>
      <c r="O30" s="44" t="n">
        <f aca="false">VLOOKUP($B30,'[3]Delta Monthly'!$A$1:$AW$72,20,FALSE())</f>
        <v>0</v>
      </c>
      <c r="P30" s="44" t="n">
        <f aca="false">VLOOKUP($B30,'[3]Delta Monthly'!$A$1:$AW$72,22,FALSE())</f>
        <v>238956.859930618</v>
      </c>
      <c r="Q30" s="44" t="n">
        <f aca="false">VLOOKUP($B30,'[3]Delta Monthly'!$A$1:$AW$72,24,FALSE())</f>
        <v>0</v>
      </c>
      <c r="R30" s="124" t="n">
        <f aca="false">SUM(G30:Q30)</f>
        <v>238956.859930618</v>
      </c>
      <c r="S30" s="98" t="n">
        <f aca="false">VLOOKUP($B30,'[3]Delta Monthly'!$A$1:$AW$72,26,FALSE())+VLOOKUP($B30,'[3]Delta Monthly'!$A$1:$AW$72,28,FALSE())</f>
        <v>0</v>
      </c>
      <c r="T30" s="44" t="n">
        <f aca="false">VLOOKUP($B30,'[3]Delta Monthly'!$A$1:$AW$72,30,FALSE())+VLOOKUP($B30,'[3]Delta Monthly'!$A$1:$AW$72,32,FALSE())</f>
        <v>340618.171599189</v>
      </c>
      <c r="U30" s="44" t="n">
        <f aca="false">VLOOKUP($B30,'[3]Delta Monthly'!$A$1:$AW$72,34,FALSE())</f>
        <v>0</v>
      </c>
      <c r="V30" s="44" t="n">
        <f aca="false">VLOOKUP($B30,'[3]Delta Monthly'!$A$1:$AW$72,36,FALSE())</f>
        <v>0</v>
      </c>
      <c r="W30" s="44" t="n">
        <f aca="false">VLOOKUP($B30,'[3]Delta Monthly'!$A$1:$AW$72,38,FALSE())+VLOOKUP($B30,'[3]Delta Monthly'!$A$1:$AW$72,40,FALSE())</f>
        <v>-172797.972517119</v>
      </c>
      <c r="X30" s="44" t="n">
        <f aca="false">VLOOKUP($B30,'[3]Delta Monthly'!$A$1:$AW$72,42,FALSE())</f>
        <v>0</v>
      </c>
      <c r="Y30" s="44" t="n">
        <f aca="false">VLOOKUP($B30,'[3]Delta Monthly'!$A$1:$AW$72,44,FALSE())+VLOOKUP($B30,'[3]Delta Monthly'!$A$1:$AW$72,46,FALSE())+VLOOKUP($B30,'[3]Delta Monthly'!$A$1:$AW$72,48,FALSE())</f>
        <v>2092288.5062865</v>
      </c>
      <c r="Z30" s="65" t="n">
        <f aca="false">SUM(S30:Y30)</f>
        <v>2260108.70536857</v>
      </c>
      <c r="AA30" s="64" t="n">
        <f aca="false">VLOOKUP($B30,'[5]Delta Yearly'!$A$1:$AD$72,4,FALSE())</f>
        <v>1548149.95640384</v>
      </c>
      <c r="AB30" s="43" t="n">
        <f aca="false">VLOOKUP($B30,'[5]Delta Yearly'!$A$1:$AC$72,6,FALSE())+VLOOKUP($B30,'[5]Delta Yearly'!$A$1:$AC$72,8,FALSE())+VLOOKUP($B30,'[5]Delta Yearly'!$A$1:$AC$72,10,FALSE())+VLOOKUP($B30,'[5]Delta Yearly'!$A$1:$AC$72,12,FALSE())+VLOOKUP($B30,'[5]Delta Yearly'!$A$1:$AC$72,14,FALSE())+VLOOKUP($B30,'[5]Delta Yearly'!$A$1:$AC$72,16,FALSE())+VLOOKUP($B30,'[5]Delta Yearly'!$A$1:$AC$72,18,FALSE())+VLOOKUP($B30,'[5]Delta Yearly'!$A$1:$AC$72,20,FALSE())+VLOOKUP($B30,'[5]Delta Yearly'!$A$1:$AC$72,22,FALSE())+VLOOKUP($B30,'[5]Delta Yearly'!$A$1:$AC$72,24,FALSE())+VLOOKUP($B30,'[5]Delta Yearly'!$A$1:$AC$72,26,FALSE())+VLOOKUP($B30,'[5]Delta Yearly'!$A$1:$AC$72,28,FALSE())</f>
        <v>0</v>
      </c>
      <c r="AC30" s="65" t="n">
        <f aca="false">SUM(AB30,AA30,Z30,R30)</f>
        <v>4047215.52170303</v>
      </c>
      <c r="AD30" s="127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9" hidden="false" customHeight="true" outlineLevel="0" collapsed="false">
      <c r="A31" s="96"/>
      <c r="B31" s="62"/>
      <c r="C31" s="62"/>
      <c r="D31" s="65"/>
      <c r="E31" s="99"/>
      <c r="F31" s="99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24"/>
      <c r="S31" s="124"/>
      <c r="T31" s="43"/>
      <c r="U31" s="43"/>
      <c r="V31" s="43"/>
      <c r="W31" s="43"/>
      <c r="X31" s="43"/>
      <c r="Y31" s="43"/>
      <c r="Z31" s="65"/>
      <c r="AA31" s="64"/>
      <c r="AB31" s="43"/>
      <c r="AC31" s="65"/>
      <c r="AD31" s="37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8" hidden="false" customHeight="false" outlineLevel="0" collapsed="false">
      <c r="A32" s="96" t="s">
        <v>70</v>
      </c>
      <c r="B32" s="62" t="s">
        <v>71</v>
      </c>
      <c r="C32" s="126" t="s">
        <v>72</v>
      </c>
      <c r="D32" s="65" t="s">
        <v>73</v>
      </c>
      <c r="E32" s="91" t="n">
        <f aca="false">(VLOOKUP(C32,[4]Sheet1!$B$1:$G$65,2,0))*-1</f>
        <v>157062.627860748</v>
      </c>
      <c r="F32" s="91" t="n">
        <f aca="false">(VLOOKUP(C32,[4]Sheet1!$B$1:$G$65,4,0))</f>
        <v>-62214.897017943</v>
      </c>
      <c r="G32" s="44" t="n">
        <f aca="false">VLOOKUP($B32,'[3]Delta Monthly'!$A$1:$AW$55,4,1)</f>
        <v>0</v>
      </c>
      <c r="H32" s="44" t="n">
        <f aca="false">VLOOKUP($B32,'[3]Delta Monthly'!$A$1:$AW$55,6,FALSE())</f>
        <v>0</v>
      </c>
      <c r="I32" s="44" t="n">
        <f aca="false">VLOOKUP($B32,'[3]Delta Monthly'!$A$1:$AW$55,8,FALSE())</f>
        <v>0</v>
      </c>
      <c r="J32" s="44" t="n">
        <f aca="false">VLOOKUP($B32,'[3]Delta Monthly'!$A$1:$AW$55,10,FALSE())</f>
        <v>0</v>
      </c>
      <c r="K32" s="44" t="n">
        <f aca="false">VLOOKUP($B32,'[3]Delta Monthly'!$A$1:$AW$55,12,FALSE())</f>
        <v>0</v>
      </c>
      <c r="L32" s="44" t="n">
        <f aca="false">VLOOKUP($B32,'[3]Delta Monthly'!$A$1:$AW$55,14,FALSE())</f>
        <v>0</v>
      </c>
      <c r="M32" s="44" t="n">
        <f aca="false">VLOOKUP($B32,'[3]Delta Monthly'!$A$1:$AW$55,16,FALSE())</f>
        <v>0</v>
      </c>
      <c r="N32" s="44" t="n">
        <f aca="false">VLOOKUP($B32,'[3]Delta Monthly'!$A$1:$AW$55,18,FALSE())</f>
        <v>0</v>
      </c>
      <c r="O32" s="44" t="n">
        <f aca="false">VLOOKUP($B32,'[3]Delta Monthly'!$A$1:$AW$72,20,FALSE())</f>
        <v>0</v>
      </c>
      <c r="P32" s="44" t="n">
        <f aca="false">VLOOKUP($B32,'[3]Delta Monthly'!$A$1:$AW$72,22,FALSE())</f>
        <v>406.474073821836</v>
      </c>
      <c r="Q32" s="44" t="n">
        <f aca="false">VLOOKUP($B32,'[3]Delta Monthly'!$A$1:$AW$72,24,FALSE())</f>
        <v>-31882.9578608701</v>
      </c>
      <c r="R32" s="124" t="n">
        <f aca="false">SUM(G32:Q32)</f>
        <v>-31476.4837870483</v>
      </c>
      <c r="S32" s="98" t="n">
        <f aca="false">VLOOKUP($B32,'[3]Delta Monthly'!$A$1:$AW$72,26,FALSE())+VLOOKUP($B32,'[3]Delta Monthly'!$A$1:$AW$72,28,FALSE())</f>
        <v>0</v>
      </c>
      <c r="T32" s="44" t="n">
        <f aca="false">VLOOKUP($B32,'[3]Delta Monthly'!$A$1:$AW$72,30,FALSE())+VLOOKUP($B32,'[3]Delta Monthly'!$A$1:$AW$72,32,FALSE())</f>
        <v>0</v>
      </c>
      <c r="U32" s="44" t="n">
        <f aca="false">VLOOKUP($B32,'[3]Delta Monthly'!$A$1:$AW$72,34,FALSE())</f>
        <v>0</v>
      </c>
      <c r="V32" s="44" t="n">
        <f aca="false">VLOOKUP($B32,'[3]Delta Monthly'!$A$1:$AW$72,36,FALSE())</f>
        <v>0</v>
      </c>
      <c r="W32" s="44" t="n">
        <f aca="false">VLOOKUP($B32,'[3]Delta Monthly'!$A$1:$AW$72,38,FALSE())+VLOOKUP($B32,'[3]Delta Monthly'!$A$1:$AW$72,40,FALSE())</f>
        <v>0</v>
      </c>
      <c r="X32" s="44" t="n">
        <f aca="false">VLOOKUP($B32,'[3]Delta Monthly'!$A$1:$AW$72,42,FALSE())</f>
        <v>0</v>
      </c>
      <c r="Y32" s="44" t="n">
        <f aca="false">VLOOKUP($B32,'[3]Delta Monthly'!$A$1:$AW$72,44,FALSE())+VLOOKUP($B32,'[3]Delta Monthly'!$A$1:$AW$72,46,FALSE())+VLOOKUP($B32,'[3]Delta Monthly'!$A$1:$AW$72,48,FALSE())</f>
        <v>0</v>
      </c>
      <c r="Z32" s="65" t="n">
        <f aca="false">SUM(S32:Y32)</f>
        <v>0</v>
      </c>
      <c r="AA32" s="64" t="n">
        <f aca="false">VLOOKUP($B32,'[5]Delta Yearly'!$A$1:$AD$72,4,FALSE())</f>
        <v>0</v>
      </c>
      <c r="AB32" s="43" t="n">
        <f aca="false">VLOOKUP($B32,'[5]Delta Yearly'!$A$1:$AC$72,6,FALSE())+VLOOKUP($B32,'[5]Delta Yearly'!$A$1:$AC$72,8,FALSE())+VLOOKUP($B32,'[5]Delta Yearly'!$A$1:$AC$72,10,FALSE())+VLOOKUP($B32,'[5]Delta Yearly'!$A$1:$AC$72,12,FALSE())+VLOOKUP($B32,'[5]Delta Yearly'!$A$1:$AC$72,14,FALSE())+VLOOKUP($B32,'[5]Delta Yearly'!$A$1:$AC$72,16,FALSE())+VLOOKUP($B32,'[5]Delta Yearly'!$A$1:$AC$72,18,FALSE())+VLOOKUP($B32,'[5]Delta Yearly'!$A$1:$AC$72,20,FALSE())+VLOOKUP($B32,'[5]Delta Yearly'!$A$1:$AC$72,22,FALSE())+VLOOKUP($B32,'[5]Delta Yearly'!$A$1:$AC$72,24,FALSE())+VLOOKUP($B32,'[5]Delta Yearly'!$A$1:$AC$72,26,FALSE())+VLOOKUP($B32,'[5]Delta Yearly'!$A$1:$AC$72,28,FALSE())</f>
        <v>0</v>
      </c>
      <c r="AC32" s="65" t="n">
        <f aca="false">SUM(AB32,AA32,Z32,R32)</f>
        <v>-31476.4837870483</v>
      </c>
      <c r="AD32" s="37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9" hidden="false" customHeight="true" outlineLevel="0" collapsed="false">
      <c r="A33" s="96"/>
      <c r="B33" s="80"/>
      <c r="C33" s="80"/>
      <c r="D33" s="65"/>
      <c r="E33" s="99"/>
      <c r="F33" s="99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124"/>
      <c r="S33" s="124"/>
      <c r="T33" s="43"/>
      <c r="U33" s="43"/>
      <c r="V33" s="43"/>
      <c r="W33" s="43"/>
      <c r="X33" s="43"/>
      <c r="Y33" s="43"/>
      <c r="Z33" s="65"/>
      <c r="AA33" s="64"/>
      <c r="AB33" s="43"/>
      <c r="AC33" s="65"/>
      <c r="AD33" s="37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8" hidden="false" customHeight="false" outlineLevel="0" collapsed="false">
      <c r="A34" s="96" t="s">
        <v>74</v>
      </c>
      <c r="B34" s="62" t="s">
        <v>75</v>
      </c>
      <c r="C34" s="126" t="s">
        <v>76</v>
      </c>
      <c r="D34" s="65" t="s">
        <v>77</v>
      </c>
      <c r="E34" s="91" t="n">
        <f aca="false">(VLOOKUP(C34,[4]Sheet1!$B$1:$G$65,2,0))*-1</f>
        <v>36695.2058111901</v>
      </c>
      <c r="F34" s="91" t="n">
        <f aca="false">(VLOOKUP(C34,[4]Sheet1!$B$1:$G$65,4,0))</f>
        <v>2341.26130558961</v>
      </c>
      <c r="G34" s="44" t="n">
        <f aca="false">VLOOKUP($B34,'[3]Delta Monthly'!$A$1:$AW$55,4,1)</f>
        <v>0</v>
      </c>
      <c r="H34" s="44" t="n">
        <f aca="false">VLOOKUP($B34,'[3]Delta Monthly'!$A$1:$AW$55,6,FALSE())</f>
        <v>0</v>
      </c>
      <c r="I34" s="44" t="n">
        <f aca="false">VLOOKUP($B34,'[3]Delta Monthly'!$A$1:$AW$55,8,FALSE())</f>
        <v>0</v>
      </c>
      <c r="J34" s="44" t="n">
        <f aca="false">VLOOKUP($B34,'[3]Delta Monthly'!$A$1:$AW$55,10,FALSE())</f>
        <v>0</v>
      </c>
      <c r="K34" s="44" t="n">
        <f aca="false">VLOOKUP($B34,'[3]Delta Monthly'!$A$1:$AW$55,12,FALSE())</f>
        <v>0</v>
      </c>
      <c r="L34" s="44" t="n">
        <f aca="false">VLOOKUP($B34,'[3]Delta Monthly'!$A$1:$AW$55,14,FALSE())</f>
        <v>0</v>
      </c>
      <c r="M34" s="44" t="n">
        <f aca="false">VLOOKUP($B34,'[3]Delta Monthly'!$A$1:$AW$55,16,FALSE())</f>
        <v>0</v>
      </c>
      <c r="N34" s="44" t="n">
        <f aca="false">VLOOKUP($B34,'[3]Delta Monthly'!$A$1:$AW$55,18,FALSE())</f>
        <v>0</v>
      </c>
      <c r="O34" s="44" t="n">
        <f aca="false">VLOOKUP($B34,'[3]Delta Monthly'!$A$1:$AW$72,20,FALSE())</f>
        <v>0</v>
      </c>
      <c r="P34" s="44" t="n">
        <f aca="false">VLOOKUP($B34,'[3]Delta Monthly'!$A$1:$AW$72,22,FALSE())</f>
        <v>-7190.01861343079</v>
      </c>
      <c r="Q34" s="44" t="n">
        <f aca="false">VLOOKUP($B34,'[3]Delta Monthly'!$A$1:$AW$72,24,FALSE())</f>
        <v>0</v>
      </c>
      <c r="R34" s="124" t="n">
        <f aca="false">SUM(G34:Q34)</f>
        <v>-7190.01861343079</v>
      </c>
      <c r="S34" s="98" t="n">
        <f aca="false">VLOOKUP($B34,'[3]Delta Monthly'!$A$1:$AW$72,26,FALSE())+VLOOKUP($B34,'[3]Delta Monthly'!$A$1:$AW$72,28,FALSE())</f>
        <v>0</v>
      </c>
      <c r="T34" s="44" t="n">
        <f aca="false">VLOOKUP($B34,'[3]Delta Monthly'!$A$1:$AW$72,30,FALSE())+VLOOKUP($B34,'[3]Delta Monthly'!$A$1:$AW$72,32,FALSE())</f>
        <v>0</v>
      </c>
      <c r="U34" s="44" t="n">
        <f aca="false">VLOOKUP($B34,'[3]Delta Monthly'!$A$1:$AW$72,34,FALSE())</f>
        <v>0</v>
      </c>
      <c r="V34" s="44" t="n">
        <f aca="false">VLOOKUP($B34,'[3]Delta Monthly'!$A$1:$AW$72,36,FALSE())</f>
        <v>0</v>
      </c>
      <c r="W34" s="44" t="n">
        <f aca="false">VLOOKUP($B34,'[3]Delta Monthly'!$A$1:$AW$72,38,FALSE())+VLOOKUP($B34,'[3]Delta Monthly'!$A$1:$AW$72,40,FALSE())</f>
        <v>0</v>
      </c>
      <c r="X34" s="44" t="n">
        <f aca="false">VLOOKUP($B34,'[3]Delta Monthly'!$A$1:$AW$72,42,FALSE())</f>
        <v>0</v>
      </c>
      <c r="Y34" s="44" t="n">
        <f aca="false">VLOOKUP($B34,'[3]Delta Monthly'!$A$1:$AW$72,44,FALSE())+VLOOKUP($B34,'[3]Delta Monthly'!$A$1:$AW$72,46,FALSE())+VLOOKUP($B34,'[3]Delta Monthly'!$A$1:$AW$72,48,FALSE())</f>
        <v>0</v>
      </c>
      <c r="Z34" s="65" t="n">
        <f aca="false">SUM(S34:Y34)</f>
        <v>0</v>
      </c>
      <c r="AA34" s="64" t="n">
        <f aca="false">VLOOKUP($B34,'[5]Delta Yearly'!$A$1:$AD$72,4,FALSE())</f>
        <v>0</v>
      </c>
      <c r="AB34" s="43" t="n">
        <f aca="false">VLOOKUP($B34,'[5]Delta Yearly'!$A$1:$AC$72,6,FALSE())+VLOOKUP($B34,'[5]Delta Yearly'!$A$1:$AC$72,8,FALSE())+VLOOKUP($B34,'[5]Delta Yearly'!$A$1:$AC$72,10,FALSE())+VLOOKUP($B34,'[5]Delta Yearly'!$A$1:$AC$72,12,FALSE())+VLOOKUP($B34,'[5]Delta Yearly'!$A$1:$AC$72,14,FALSE())+VLOOKUP($B34,'[5]Delta Yearly'!$A$1:$AC$72,16,FALSE())+VLOOKUP($B34,'[5]Delta Yearly'!$A$1:$AC$72,18,FALSE())+VLOOKUP($B34,'[5]Delta Yearly'!$A$1:$AC$72,20,FALSE())+VLOOKUP($B34,'[5]Delta Yearly'!$A$1:$AC$72,22,FALSE())+VLOOKUP($B34,'[5]Delta Yearly'!$A$1:$AC$72,24,FALSE())+VLOOKUP($B34,'[5]Delta Yearly'!$A$1:$AC$72,26,FALSE())+VLOOKUP($B34,'[5]Delta Yearly'!$A$1:$AC$72,28,FALSE())</f>
        <v>0</v>
      </c>
      <c r="AC34" s="65" t="n">
        <f aca="false">SUM(AB34,AA34,Z34,R34)</f>
        <v>-7190.01861343079</v>
      </c>
      <c r="AD34" s="37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9" hidden="false" customHeight="true" outlineLevel="0" collapsed="false">
      <c r="A35" s="96"/>
      <c r="B35" s="80"/>
      <c r="C35" s="80"/>
      <c r="D35" s="65"/>
      <c r="E35" s="110"/>
      <c r="F35" s="110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24"/>
      <c r="S35" s="128"/>
      <c r="T35" s="63"/>
      <c r="U35" s="63"/>
      <c r="V35" s="63"/>
      <c r="W35" s="63"/>
      <c r="X35" s="63"/>
      <c r="Y35" s="63"/>
      <c r="Z35" s="108"/>
      <c r="AA35" s="129"/>
      <c r="AB35" s="43"/>
      <c r="AC35" s="108"/>
      <c r="AD35" s="37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8.75" hidden="false" customHeight="false" outlineLevel="0" collapsed="false">
      <c r="A36" s="111" t="s">
        <v>78</v>
      </c>
      <c r="B36" s="130" t="s">
        <v>78</v>
      </c>
      <c r="C36" s="112" t="s">
        <v>79</v>
      </c>
      <c r="D36" s="113"/>
      <c r="E36" s="118" t="n">
        <f aca="false">(VLOOKUP(C36,[4]Sheet1!$B$1:$G$65,2,0))*-1</f>
        <v>10783563.586213</v>
      </c>
      <c r="F36" s="118" t="n">
        <f aca="false">(VLOOKUP(C36,[4]Sheet1!$B$1:$G$65,4,0))</f>
        <v>597867.8213808</v>
      </c>
      <c r="G36" s="116" t="e">
        <f aca="false">SUM(G28,G30,#REF!,G32,G34)</f>
        <v>#REF!</v>
      </c>
      <c r="H36" s="116" t="e">
        <f aca="false">SUM(H28,H30,#REF!,H32,H34)</f>
        <v>#REF!</v>
      </c>
      <c r="I36" s="116" t="e">
        <f aca="false">SUM(I28,I30,#REF!,I32,I34)</f>
        <v>#REF!</v>
      </c>
      <c r="J36" s="116" t="e">
        <f aca="false">SUM(J28,J30,#REF!,J32,J34)</f>
        <v>#REF!</v>
      </c>
      <c r="K36" s="116" t="e">
        <f aca="false">SUM(K28,K30,#REF!,K32,K34)</f>
        <v>#REF!</v>
      </c>
      <c r="L36" s="116" t="e">
        <f aca="false">SUM(L28,L30,#REF!,L32,L34)</f>
        <v>#REF!</v>
      </c>
      <c r="M36" s="116" t="e">
        <f aca="false">SUM(M28,M30,#REF!,M32,M34)</f>
        <v>#REF!</v>
      </c>
      <c r="N36" s="116" t="e">
        <f aca="false">SUM(N28,N30,#REF!,N32,N34)</f>
        <v>#REF!</v>
      </c>
      <c r="O36" s="116" t="n">
        <f aca="false">SUM(O28,O30,O32,O34)</f>
        <v>0</v>
      </c>
      <c r="P36" s="116" t="n">
        <f aca="false">SUM(P28,P30,P32,P34)</f>
        <v>268571.740294205</v>
      </c>
      <c r="Q36" s="116" t="n">
        <f aca="false">SUM(Q28,Q30,Q32,Q34)</f>
        <v>-99075.0688797951</v>
      </c>
      <c r="R36" s="113" t="n">
        <f aca="false">SUM(R28,R30,R32,R34)</f>
        <v>169496.67141441</v>
      </c>
      <c r="S36" s="116" t="n">
        <f aca="false">SUM(S28,S30,S32,S34)</f>
        <v>-992778.928933853</v>
      </c>
      <c r="T36" s="116" t="n">
        <f aca="false">SUM(T28,T30,T32,T34)</f>
        <v>-923129.098609078</v>
      </c>
      <c r="U36" s="116" t="n">
        <f aca="false">SUM(U28,U30,U32,U34)</f>
        <v>-501984.544696061</v>
      </c>
      <c r="V36" s="116" t="n">
        <f aca="false">SUM(V28,V30,V32,V34)</f>
        <v>-346700.942455234</v>
      </c>
      <c r="W36" s="116" t="n">
        <f aca="false">SUM(W28,W30,W32,W34)</f>
        <v>18405.9626736343</v>
      </c>
      <c r="X36" s="116" t="n">
        <f aca="false">SUM(X28,X30,X32,X34)</f>
        <v>-312913.257303976</v>
      </c>
      <c r="Y36" s="116" t="n">
        <f aca="false">SUM(Y28,Y30,Y32,Y34)</f>
        <v>4332162.68131965</v>
      </c>
      <c r="Z36" s="113" t="n">
        <f aca="false">SUM(Z28,Z30,Z32,Z34)</f>
        <v>1273061.87199509</v>
      </c>
      <c r="AA36" s="113" t="n">
        <f aca="false">SUM(AA28,AA30,AA32,AA34)</f>
        <v>-171788.341998107</v>
      </c>
      <c r="AB36" s="113" t="n">
        <f aca="false">SUM(AB28,AB30,AB32,AB34)</f>
        <v>231234.393635352</v>
      </c>
      <c r="AC36" s="131" t="n">
        <f aca="false">SUM(AC28,AC30,AC32,AC34)</f>
        <v>1502004.59504674</v>
      </c>
      <c r="AD36" s="44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8.75" hidden="false" customHeight="false" outlineLevel="0" collapsed="false">
      <c r="A37" s="62"/>
      <c r="B37" s="62"/>
      <c r="C37" s="62"/>
      <c r="D37" s="4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37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18.75" hidden="false" customHeight="false" outlineLevel="0" collapsed="false">
      <c r="A38" s="83"/>
      <c r="B38" s="84"/>
      <c r="C38" s="84"/>
      <c r="D38" s="87" t="s">
        <v>26</v>
      </c>
      <c r="E38" s="56" t="n">
        <v>12500000</v>
      </c>
      <c r="F38" s="132"/>
      <c r="G38" s="86"/>
      <c r="H38" s="86"/>
      <c r="I38" s="86"/>
      <c r="J38" s="55" t="s">
        <v>80</v>
      </c>
      <c r="K38" s="86"/>
      <c r="L38" s="86"/>
      <c r="M38" s="86"/>
      <c r="N38" s="86"/>
      <c r="O38" s="86"/>
      <c r="P38" s="86"/>
      <c r="Q38" s="86"/>
      <c r="R38" s="55"/>
      <c r="S38" s="56"/>
      <c r="T38" s="55"/>
      <c r="U38" s="55"/>
      <c r="V38" s="55"/>
      <c r="W38" s="55"/>
      <c r="X38" s="55"/>
      <c r="Y38" s="55"/>
      <c r="Z38" s="87"/>
      <c r="AA38" s="85"/>
      <c r="AB38" s="87"/>
      <c r="AC38" s="85"/>
      <c r="AD38" s="37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5" hidden="false" customHeight="true" outlineLevel="0" collapsed="false">
      <c r="A39" s="133"/>
      <c r="B39" s="62"/>
      <c r="C39" s="62"/>
      <c r="D39" s="92"/>
      <c r="E39" s="134"/>
      <c r="F39" s="135"/>
      <c r="G39" s="136"/>
      <c r="H39" s="136"/>
      <c r="I39" s="136"/>
      <c r="J39" s="82"/>
      <c r="K39" s="136"/>
      <c r="L39" s="136"/>
      <c r="M39" s="136"/>
      <c r="N39" s="136"/>
      <c r="O39" s="136"/>
      <c r="P39" s="136"/>
      <c r="Q39" s="136"/>
      <c r="R39" s="137"/>
      <c r="S39" s="138"/>
      <c r="T39" s="139"/>
      <c r="U39" s="139"/>
      <c r="V39" s="139"/>
      <c r="W39" s="139"/>
      <c r="X39" s="139"/>
      <c r="Y39" s="139"/>
      <c r="Z39" s="140"/>
      <c r="AA39" s="91"/>
      <c r="AB39" s="141"/>
      <c r="AC39" s="91"/>
      <c r="AD39" s="37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142"/>
      <c r="B40" s="143"/>
      <c r="C40" s="143"/>
      <c r="D40" s="144"/>
      <c r="E40" s="145"/>
      <c r="F40" s="146"/>
      <c r="G40" s="147"/>
      <c r="H40" s="147"/>
      <c r="I40" s="147"/>
      <c r="J40" s="148"/>
      <c r="K40" s="147"/>
      <c r="L40" s="147"/>
      <c r="M40" s="147"/>
      <c r="N40" s="147"/>
      <c r="O40" s="147"/>
      <c r="P40" s="147"/>
      <c r="Q40" s="147"/>
      <c r="R40" s="149"/>
      <c r="S40" s="149"/>
      <c r="T40" s="148"/>
      <c r="U40" s="148"/>
      <c r="V40" s="148"/>
      <c r="W40" s="148"/>
      <c r="X40" s="148"/>
      <c r="Y40" s="148"/>
      <c r="Z40" s="144"/>
      <c r="AA40" s="150"/>
      <c r="AB40" s="144" t="n">
        <f aca="false">VLOOKUP($B41,'[5]Delta Yearly'!$A$1:$AC$55,6,0)+VLOOKUP($B41,'[5]Delta Yearly'!$A$1:$AC$55,8,0)+VLOOKUP($B41,'[5]Delta Yearly'!$A$1:$AC$55,10,0)+VLOOKUP($B41,'[5]Delta Yearly'!$A$1:$AC$55,12,0)+VLOOKUP($B41,'[5]Delta Yearly'!$A$1:$AC$55,14,0)+VLOOKUP($B41,'[5]Delta Yearly'!$A$1:$AC$55,16,0)+VLOOKUP($B41,'[5]Delta Yearly'!$A$1:$AC$55,18,0)+VLOOKUP($B41,'[5]Delta Yearly'!$A$1:$AC$55,20,0)+VLOOKUP($B41,'[5]Delta Yearly'!$A$1:$AC$55,22,0)+VLOOKUP($B41,'[5]Delta Yearly'!$A$1:$AC$55,24,0)+VLOOKUP($B41,'[5]Delta Yearly'!$A$1:$AC$55,26,0)+VLOOKUP($B41,'[5]Delta Yearly'!$A$1:$AC$55,28,0)</f>
        <v>0</v>
      </c>
      <c r="AC40" s="150"/>
      <c r="AD40" s="37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142"/>
      <c r="B41" s="143" t="s">
        <v>81</v>
      </c>
      <c r="C41" s="151"/>
      <c r="D41" s="144"/>
      <c r="E41" s="144"/>
      <c r="F41" s="150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9"/>
      <c r="S41" s="149"/>
      <c r="T41" s="148"/>
      <c r="U41" s="148"/>
      <c r="V41" s="148"/>
      <c r="W41" s="148"/>
      <c r="X41" s="148"/>
      <c r="Y41" s="148"/>
      <c r="Z41" s="144"/>
      <c r="AA41" s="150"/>
      <c r="AB41" s="144" t="n">
        <f aca="false">VLOOKUP($B42,'[5]Delta Yearly'!$A$1:$AC$55,6,0)+VLOOKUP($B42,'[5]Delta Yearly'!$A$1:$AC$55,8,0)+VLOOKUP($B42,'[5]Delta Yearly'!$A$1:$AC$55,10,0)+VLOOKUP($B42,'[5]Delta Yearly'!$A$1:$AC$55,12,0)+VLOOKUP($B42,'[5]Delta Yearly'!$A$1:$AC$55,14,0)+VLOOKUP($B42,'[5]Delta Yearly'!$A$1:$AC$55,16,0)+VLOOKUP($B42,'[5]Delta Yearly'!$A$1:$AC$55,18,0)+VLOOKUP($B42,'[5]Delta Yearly'!$A$1:$AC$55,20,0)+VLOOKUP($B42,'[5]Delta Yearly'!$A$1:$AC$55,22,0)+VLOOKUP($B42,'[5]Delta Yearly'!$A$1:$AC$55,24,0)+VLOOKUP($B42,'[5]Delta Yearly'!$A$1:$AC$55,26,0)+VLOOKUP($B42,'[5]Delta Yearly'!$A$1:$AC$55,28,0)</f>
        <v>-397709.724477176</v>
      </c>
      <c r="AC41" s="150"/>
      <c r="AD41" s="37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15" hidden="true" customHeight="true" outlineLevel="0" collapsed="false">
      <c r="A42" s="142"/>
      <c r="B42" s="143" t="s">
        <v>82</v>
      </c>
      <c r="C42" s="151"/>
      <c r="D42" s="144"/>
      <c r="E42" s="144"/>
      <c r="F42" s="150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9"/>
      <c r="S42" s="149"/>
      <c r="T42" s="148"/>
      <c r="U42" s="148"/>
      <c r="V42" s="148"/>
      <c r="W42" s="148"/>
      <c r="X42" s="148"/>
      <c r="Y42" s="148"/>
      <c r="Z42" s="144"/>
      <c r="AA42" s="150"/>
      <c r="AB42" s="144" t="n">
        <f aca="false">VLOOKUP($B43,'[5]Delta Yearly'!$A$1:$AC$55,6,0)+VLOOKUP($B43,'[5]Delta Yearly'!$A$1:$AC$55,8,0)+VLOOKUP($B43,'[5]Delta Yearly'!$A$1:$AC$55,10,0)+VLOOKUP($B43,'[5]Delta Yearly'!$A$1:$AC$55,12,0)+VLOOKUP($B43,'[5]Delta Yearly'!$A$1:$AC$55,14,0)+VLOOKUP($B43,'[5]Delta Yearly'!$A$1:$AC$55,16,0)+VLOOKUP($B43,'[5]Delta Yearly'!$A$1:$AC$55,18,0)+VLOOKUP($B43,'[5]Delta Yearly'!$A$1:$AC$55,20,0)+VLOOKUP($B43,'[5]Delta Yearly'!$A$1:$AC$55,22,0)+VLOOKUP($B43,'[5]Delta Yearly'!$A$1:$AC$55,24,0)+VLOOKUP($B43,'[5]Delta Yearly'!$A$1:$AC$55,26,0)+VLOOKUP($B43,'[5]Delta Yearly'!$A$1:$AC$55,28,0)</f>
        <v>462438.899296902</v>
      </c>
      <c r="AC42" s="150"/>
      <c r="AD42" s="37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5" hidden="false" customHeight="true" outlineLevel="0" collapsed="false">
      <c r="A43" s="96" t="s">
        <v>83</v>
      </c>
      <c r="B43" s="62" t="s">
        <v>84</v>
      </c>
      <c r="C43" s="1" t="s">
        <v>85</v>
      </c>
      <c r="D43" s="65" t="s">
        <v>86</v>
      </c>
      <c r="E43" s="92" t="n">
        <f aca="false">(VLOOKUP(C43,[4]Sheet1!$B$1:$G$65,2,0))*-1</f>
        <v>1696506.32644123</v>
      </c>
      <c r="F43" s="91" t="n">
        <f aca="false">(VLOOKUP(C43,[4]Sheet1!$B$1:$G$65,4,0))</f>
        <v>-289530.5794402</v>
      </c>
      <c r="G43" s="44" t="n">
        <f aca="false">VLOOKUP($B43,'[3]Delta Monthly'!$A$1:$AW$55,4,1)+VLOOKUP($B41,'[3]Delta Monthly'!$A$1:$AW$55,4,1)</f>
        <v>0</v>
      </c>
      <c r="H43" s="44" t="n">
        <f aca="false">VLOOKUP($B43,'[3]Delta Monthly'!$A$1:$AW$55,6,FALSE())+VLOOKUP($B41,'[3]Delta Monthly'!$A$1:$AW$55,6,FALSE())</f>
        <v>0</v>
      </c>
      <c r="I43" s="44" t="n">
        <f aca="false">VLOOKUP($B43,'[3]Delta Monthly'!$A$1:$AW$55,8,FALSE())+VLOOKUP($B41,'[3]Delta Monthly'!$A$1:$AW$55,8,FALSE())</f>
        <v>0</v>
      </c>
      <c r="J43" s="44" t="n">
        <f aca="false">VLOOKUP($B43,'[3]Delta Monthly'!$A$1:$AW$55,10,FALSE())+VLOOKUP($B41,'[3]Delta Monthly'!$A$1:$AW$55,10,FALSE())+VLOOKUP($B41,'[3]Delta Monthly'!$A$1:$AW$55,10,FALSE())</f>
        <v>0</v>
      </c>
      <c r="K43" s="44" t="n">
        <v>0</v>
      </c>
      <c r="L43" s="44" t="n">
        <v>0</v>
      </c>
      <c r="M43" s="44" t="n">
        <v>0</v>
      </c>
      <c r="N43" s="44" t="n">
        <v>0</v>
      </c>
      <c r="O43" s="44" t="n">
        <f aca="false">VLOOKUP($B41,'[3]Delta Monthly'!$A$1:$AW$72,20,1)+VLOOKUP($B42,'[3]Delta Monthly'!$A$1:$AW$72,20,1)+VLOOKUP($B43,'[3]Delta Monthly'!$A$1:$AW$72,20,FALSE())</f>
        <v>0</v>
      </c>
      <c r="P43" s="44" t="n">
        <f aca="false">VLOOKUP($B41,'[3]Delta Monthly'!$A$1:$AW$72,22,1)+VLOOKUP($B42,'[3]Delta Monthly'!$A$1:$AW$72,22,1)+VLOOKUP($B43,'[3]Delta Monthly'!$A$1:$AW$72,22,FALSE())</f>
        <v>-46148.7619276547</v>
      </c>
      <c r="Q43" s="44" t="n">
        <f aca="false">VLOOKUP($B41,'[3]Delta Monthly'!$A$1:$AW$72,24,1)+VLOOKUP($B42,'[3]Delta Monthly'!$A$1:$AW$72,24,1)+VLOOKUP($B43,'[3]Delta Monthly'!$A$1:$AW$72,24,FALSE())</f>
        <v>-105398.003091056</v>
      </c>
      <c r="R43" s="124" t="n">
        <f aca="false">SUM(G43:Q43)</f>
        <v>-151546.765018711</v>
      </c>
      <c r="S43" s="98" t="n">
        <f aca="false">VLOOKUP($B43,'[3]Delta Monthly'!$A$1:$AW$72,26,1)+VLOOKUP($B41,'[3]Delta Monthly'!$A$1:$AW$72,26,1)+VLOOKUP($B43,'[3]Delta Monthly'!$A$1:$AW$72,28,1)+VLOOKUP($B41,'[3]Delta Monthly'!$A$1:$AW$72,28,1)+VLOOKUP($B42,'[3]Delta Monthly'!$A$1:$AW$72,28,FALSE())+VLOOKUP($B42,'[3]Delta Monthly'!$A$1:$AW$72,26,FALSE())</f>
        <v>26776.021174974</v>
      </c>
      <c r="T43" s="44" t="n">
        <f aca="false">VLOOKUP($B43,'[3]Delta Monthly'!$A$1:$AW$72,30,1)+VLOOKUP($B41,'[3]Delta Monthly'!$A$1:$AW$72,30,1)+VLOOKUP($B43,'[3]Delta Monthly'!$A$1:$AW$72,32,1)+VLOOKUP($B41,'[3]Delta Monthly'!$A$1:$AW$72,32,1)+VLOOKUP($B42,'[3]Delta Monthly'!$A$1:$AW$72,30,FALSE())+VLOOKUP($B42,'[3]Delta Monthly'!$A$1:$AW$72,32,FALSE())</f>
        <v>23867.7969868948</v>
      </c>
      <c r="U43" s="44" t="n">
        <f aca="false">VLOOKUP($B41,'[3]Delta Monthly'!$A$1:$AW$72,34,1)+VLOOKUP($B42,'[3]Delta Monthly'!$A$1:$AW$72,34,1)+VLOOKUP($B43,'[3]Delta Monthly'!$A$1:$AW$72,34,FALSE())</f>
        <v>-15317.0287207683</v>
      </c>
      <c r="V43" s="44" t="n">
        <f aca="false">VLOOKUP($B41,'[3]Delta Monthly'!$A$1:$AW$72,36,1)+VLOOKUP($B42,'[3]Delta Monthly'!$A$1:$AW$72,36,1)+VLOOKUP($B43,'[3]Delta Monthly'!$A$1:$AW$72,36,FALSE())</f>
        <v>914.467092392808</v>
      </c>
      <c r="W43" s="44" t="n">
        <f aca="false">VLOOKUP($B43,'[3]Delta Monthly'!$A$1:$AW$72,38,1)+VLOOKUP($B41,'[3]Delta Monthly'!$A$1:$AW$72,38,1)+VLOOKUP($B43,'[3]Delta Monthly'!$A$1:$AW$72,40,1)+VLOOKUP($B41,'[3]Delta Monthly'!$A$1:$AW$72,40,1)+VLOOKUP($B42,'[3]Delta Monthly'!$A$1:$AW$72,38,FALSE())+VLOOKUP($B42,'[3]Delta Monthly'!$A$1:$AW$72,40,FALSE())</f>
        <v>-186901.655600961</v>
      </c>
      <c r="X43" s="44" t="n">
        <f aca="false">VLOOKUP($B43,'[3]Delta Monthly'!$A$1:$AW$72,42,1)+VLOOKUP($B41,'[3]Delta Monthly'!$A$1:$AW$72,42,1)+VLOOKUP($B42,'[3]Delta Monthly'!$A$1:$AW$72,42,FALSE())</f>
        <v>-18966.1549586281</v>
      </c>
      <c r="Y43" s="44" t="n">
        <f aca="false">VLOOKUP($B43,'[3]Delta Monthly'!$A$1:$AW$72,44,1)+VLOOKUP($B41,'[3]Delta Monthly'!$A$1:$AW$72,44,1)+VLOOKUP($B43,'[3]Delta Monthly'!$A$1:$AW$72,46,1)+VLOOKUP($B41,'[3]Delta Monthly'!$A$1:$AW$72,46,1)+VLOOKUP($B42,'[3]Delta Monthly'!$A$1:$AW$72,44,FALSE())+VLOOKUP($B42,'[3]Delta Monthly'!$A$1:$AW$72,46,FALSE())+VLOOKUP($B41,'[3]Delta Monthly'!$A$1:$AW$72,48,FALSE())+VLOOKUP($B43,'[3]Delta Monthly'!$A$1:$AW$72,48,FALSE())+VLOOKUP($B42,'[3]Delta Monthly'!$A$1:$AW$72,48,FALSE())</f>
        <v>10309.2829691898</v>
      </c>
      <c r="Z43" s="65" t="n">
        <f aca="false">SUM(S43:Y43)</f>
        <v>-159317.271056906</v>
      </c>
      <c r="AA43" s="64" t="n">
        <f aca="false">VLOOKUP($B41,'[5]Delta Yearly'!$A$1:$AC$72,4,FALSE())+VLOOKUP(B42,'[5]Delta Yearly'!$A$1:$AC$72,4,FALSE())+VLOOKUP($B43,'[5]Delta Yearly'!$A$1:$AC$72,4,0)</f>
        <v>99485.8143930703</v>
      </c>
      <c r="AB43" s="65" t="n">
        <f aca="false">SUM(AB40,AB41,AB42)</f>
        <v>64729.1748197253</v>
      </c>
      <c r="AC43" s="64" t="n">
        <f aca="false">SUM(AB43,AA43,Z43,R43)</f>
        <v>-146649.046862821</v>
      </c>
      <c r="AD43" s="37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5" hidden="false" customHeight="true" outlineLevel="0" collapsed="false">
      <c r="A44" s="123"/>
      <c r="B44" s="3"/>
      <c r="C44" s="3"/>
      <c r="D44" s="65"/>
      <c r="E44" s="152"/>
      <c r="F44" s="99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124"/>
      <c r="S44" s="124"/>
      <c r="T44" s="43"/>
      <c r="U44" s="43"/>
      <c r="V44" s="43"/>
      <c r="W44" s="43"/>
      <c r="X44" s="43"/>
      <c r="Y44" s="43"/>
      <c r="Z44" s="65"/>
      <c r="AA44" s="64"/>
      <c r="AB44" s="153"/>
      <c r="AC44" s="64"/>
      <c r="AD44" s="37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8" hidden="false" customHeight="false" outlineLevel="0" collapsed="false">
      <c r="A45" s="96" t="s">
        <v>87</v>
      </c>
      <c r="B45" s="62" t="s">
        <v>88</v>
      </c>
      <c r="C45" s="1" t="s">
        <v>89</v>
      </c>
      <c r="D45" s="65" t="s">
        <v>90</v>
      </c>
      <c r="E45" s="92" t="n">
        <f aca="false">(VLOOKUP(C45,[4]Sheet1!$B$1:$G$65,2,0))*-1</f>
        <v>2426441.70413387</v>
      </c>
      <c r="F45" s="91" t="n">
        <f aca="false">(VLOOKUP(C45,[4]Sheet1!$B$1:$G$65,4,0))</f>
        <v>395875.22284677</v>
      </c>
      <c r="G45" s="44" t="n">
        <f aca="false">VLOOKUP($B45,'[3]Delta Monthly'!$A$1:$AW$55,4,1)</f>
        <v>0</v>
      </c>
      <c r="H45" s="44" t="n">
        <f aca="false">VLOOKUP($B45,'[3]Delta Monthly'!$A$1:$AW$55,6,FALSE())</f>
        <v>0</v>
      </c>
      <c r="I45" s="44" t="n">
        <f aca="false">VLOOKUP($B45,'[3]Delta Monthly'!$A$1:$AW$55,8,FALSE())</f>
        <v>0</v>
      </c>
      <c r="J45" s="44" t="n">
        <f aca="false">VLOOKUP($B45,'[3]Delta Monthly'!$A$1:$AW$55,10,FALSE())</f>
        <v>0</v>
      </c>
      <c r="K45" s="44" t="n">
        <f aca="false">VLOOKUP($B45,'[3]Delta Monthly'!$A$1:$AW$55,12,FALSE())</f>
        <v>0</v>
      </c>
      <c r="L45" s="44" t="n">
        <f aca="false">VLOOKUP($B45,'[3]Delta Monthly'!$A$1:$AW$55,14,FALSE())</f>
        <v>0</v>
      </c>
      <c r="M45" s="44" t="n">
        <f aca="false">VLOOKUP($B45,'[3]Delta Monthly'!$A$1:$AW$55,16,FALSE())</f>
        <v>0</v>
      </c>
      <c r="N45" s="44" t="n">
        <f aca="false">VLOOKUP($B45,'[3]Delta Monthly'!$A$1:$AW$55,18,FALSE())</f>
        <v>0</v>
      </c>
      <c r="O45" s="44" t="n">
        <f aca="false">VLOOKUP($B45,'[3]Delta Monthly'!$A$1:$AW$72,20,FALSE())</f>
        <v>0</v>
      </c>
      <c r="P45" s="44" t="n">
        <f aca="false">VLOOKUP($B45,'[3]Delta Monthly'!$A$1:$AW$72,22,FALSE())</f>
        <v>109439.602064499</v>
      </c>
      <c r="Q45" s="44" t="n">
        <f aca="false">VLOOKUP($B45,'[3]Delta Monthly'!$A$1:$AW$72,24,FALSE())</f>
        <v>303904.676704597</v>
      </c>
      <c r="R45" s="124" t="n">
        <f aca="false">SUM(G45:Q45)</f>
        <v>413344.278769096</v>
      </c>
      <c r="S45" s="98" t="n">
        <f aca="false">VLOOKUP($B45,'[3]Delta Monthly'!$A$1:$AW$72,26,FALSE())+VLOOKUP($B45,'[3]Delta Monthly'!$A$1:$AW$72,28,FALSE())</f>
        <v>584302.786062263</v>
      </c>
      <c r="T45" s="44" t="n">
        <f aca="false">VLOOKUP($B45,'[3]Delta Monthly'!$A$1:$AW$72,30,FALSE())+VLOOKUP($B45,'[3]Delta Monthly'!$A$1:$AW$72,32,FALSE())</f>
        <v>632733.678456787</v>
      </c>
      <c r="U45" s="44" t="n">
        <f aca="false">VLOOKUP($B45,'[3]Delta Monthly'!$A$1:$AW$72,34,FALSE())</f>
        <v>139336.687293156</v>
      </c>
      <c r="V45" s="44" t="n">
        <f aca="false">VLOOKUP($B45,'[3]Delta Monthly'!$A$1:$AW$72,36,FALSE())</f>
        <v>110587.359074977</v>
      </c>
      <c r="W45" s="44" t="n">
        <f aca="false">VLOOKUP($B45,'[3]Delta Monthly'!$A$1:$AW$72,38,FALSE())+VLOOKUP($B45,'[3]Delta Monthly'!$A$1:$AW$72,40,FALSE())</f>
        <v>-465288.867759153</v>
      </c>
      <c r="X45" s="44" t="n">
        <f aca="false">VLOOKUP($B45,'[3]Delta Monthly'!$A$1:$AW$72,42,FALSE())</f>
        <v>-31354.3714205035</v>
      </c>
      <c r="Y45" s="44" t="n">
        <f aca="false">VLOOKUP($B45,'[3]Delta Monthly'!$A$1:$AW$72,44,FALSE())+VLOOKUP($B45,'[3]Delta Monthly'!$A$1:$AW$72,46,FALSE())+VLOOKUP($B45,'[3]Delta Monthly'!$A$1:$AW$72,48,FALSE())</f>
        <v>2141866.80133349</v>
      </c>
      <c r="Z45" s="65" t="n">
        <f aca="false">SUM(S45:Y45)</f>
        <v>3112184.07304102</v>
      </c>
      <c r="AA45" s="64" t="n">
        <f aca="false">VLOOKUP($B45,'[5]Delta Yearly'!$A$1:$AD$72,4,FALSE())</f>
        <v>-701962.07003242</v>
      </c>
      <c r="AB45" s="65" t="n">
        <f aca="false">VLOOKUP($B45,'[5]Delta Yearly'!$A$1:$AC$72,6,FALSE())+VLOOKUP($B45,'[5]Delta Yearly'!$A$1:$AC$72,8,FALSE())+VLOOKUP($B45,'[5]Delta Yearly'!$A$1:$AC$72,10,FALSE())+VLOOKUP($B45,'[5]Delta Yearly'!$A$1:$AC$72,12,FALSE())+VLOOKUP($B45,'[5]Delta Yearly'!$A$1:$AC$72,14,FALSE())+VLOOKUP($B45,'[5]Delta Yearly'!$A$1:$AC$72,16,FALSE())+VLOOKUP($B45,'[5]Delta Yearly'!$A$1:$AC$72,18,FALSE())+VLOOKUP($B45,'[5]Delta Yearly'!$A$1:$AC$72,20,FALSE())+VLOOKUP($B45,'[5]Delta Yearly'!$A$1:$AC$72,22,FALSE())+VLOOKUP($B45,'[5]Delta Yearly'!$A$1:$AC$72,24,FALSE())+VLOOKUP($B45,'[5]Delta Yearly'!$A$1:$AC$72,26,FALSE())+VLOOKUP($B45,'[5]Delta Yearly'!$A$1:$AC$72,28,FALSE())</f>
        <v>652348.626365907</v>
      </c>
      <c r="AC45" s="64" t="n">
        <f aca="false">SUM(AB45,AA45,Z45,R45)</f>
        <v>3475914.9081436</v>
      </c>
      <c r="AD45" s="37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9" hidden="false" customHeight="true" outlineLevel="0" collapsed="false">
      <c r="A46" s="123"/>
      <c r="B46" s="62"/>
      <c r="C46" s="62"/>
      <c r="D46" s="65"/>
      <c r="E46" s="152"/>
      <c r="F46" s="99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124"/>
      <c r="S46" s="124"/>
      <c r="T46" s="43"/>
      <c r="U46" s="43"/>
      <c r="V46" s="43"/>
      <c r="W46" s="43"/>
      <c r="X46" s="43"/>
      <c r="Y46" s="43"/>
      <c r="Z46" s="65"/>
      <c r="AA46" s="64"/>
      <c r="AB46" s="65"/>
      <c r="AC46" s="64"/>
      <c r="AD46" s="37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8" hidden="false" customHeight="false" outlineLevel="0" collapsed="false">
      <c r="A47" s="96" t="s">
        <v>91</v>
      </c>
      <c r="B47" s="62" t="s">
        <v>92</v>
      </c>
      <c r="C47" s="1" t="s">
        <v>93</v>
      </c>
      <c r="D47" s="65" t="s">
        <v>94</v>
      </c>
      <c r="E47" s="92" t="n">
        <f aca="false">(VLOOKUP(C47,[4]Sheet1!$B$1:$G$65,2,0))*-1</f>
        <v>1000598.35857411</v>
      </c>
      <c r="F47" s="91" t="n">
        <f aca="false">(VLOOKUP(C47,[4]Sheet1!$B$1:$G$65,4,0))</f>
        <v>-64948.7897795</v>
      </c>
      <c r="G47" s="44" t="n">
        <f aca="false">VLOOKUP($B47,'[3]Delta Monthly'!$A$1:$AW$55,4,1)</f>
        <v>0</v>
      </c>
      <c r="H47" s="44" t="n">
        <f aca="false">VLOOKUP($B47,'[3]Delta Monthly'!$A$1:$AW$55,6,FALSE())</f>
        <v>0</v>
      </c>
      <c r="I47" s="44" t="n">
        <f aca="false">VLOOKUP($B47,'[3]Delta Monthly'!$A$1:$AW$55,8,FALSE())</f>
        <v>0</v>
      </c>
      <c r="J47" s="44" t="n">
        <f aca="false">VLOOKUP($B47,'[3]Delta Monthly'!$A$1:$AW$55,10,FALSE())</f>
        <v>0</v>
      </c>
      <c r="K47" s="44" t="n">
        <f aca="false">VLOOKUP($B47,'[3]Delta Monthly'!$A$1:$AW$55,12,FALSE())</f>
        <v>0</v>
      </c>
      <c r="L47" s="44" t="n">
        <f aca="false">VLOOKUP($B47,'[3]Delta Monthly'!$A$1:$AW$55,14,FALSE())</f>
        <v>0</v>
      </c>
      <c r="M47" s="44" t="n">
        <f aca="false">VLOOKUP($B47,'[3]Delta Monthly'!$A$1:$AW$55,16,FALSE())</f>
        <v>0</v>
      </c>
      <c r="N47" s="44" t="n">
        <f aca="false">VLOOKUP($B47,'[3]Delta Monthly'!$A$1:$AW$55,18,FALSE())</f>
        <v>0</v>
      </c>
      <c r="O47" s="44" t="n">
        <f aca="false">VLOOKUP($B47,'[3]Delta Monthly'!$A$1:$AW$72,20,FALSE())</f>
        <v>0</v>
      </c>
      <c r="P47" s="44" t="n">
        <f aca="false">VLOOKUP($B47,'[3]Delta Monthly'!$A$1:$AW$72,22,FALSE())</f>
        <v>17587.6766314712</v>
      </c>
      <c r="Q47" s="44" t="n">
        <f aca="false">VLOOKUP($B47,'[3]Delta Monthly'!$A$1:$AW$72,24,FALSE())</f>
        <v>-87741.5114001999</v>
      </c>
      <c r="R47" s="124" t="n">
        <f aca="false">SUM(G47:Q47)</f>
        <v>-70153.8347687287</v>
      </c>
      <c r="S47" s="98" t="n">
        <f aca="false">VLOOKUP($B47,'[3]Delta Monthly'!$A$1:$AW$72,26,FALSE())+VLOOKUP($B47,'[3]Delta Monthly'!$A$1:$AW$72,28,FALSE())</f>
        <v>-935651.358209849</v>
      </c>
      <c r="T47" s="44" t="n">
        <f aca="false">VLOOKUP($B47,'[3]Delta Monthly'!$A$1:$AW$72,30,FALSE())+VLOOKUP($B47,'[3]Delta Monthly'!$A$1:$AW$72,32,FALSE())</f>
        <v>-67916.3191194172</v>
      </c>
      <c r="U47" s="44" t="n">
        <f aca="false">VLOOKUP($B47,'[3]Delta Monthly'!$A$1:$AW$72,34,FALSE())</f>
        <v>0</v>
      </c>
      <c r="V47" s="44" t="n">
        <f aca="false">VLOOKUP($B47,'[3]Delta Monthly'!$A$1:$AW$72,36,FALSE())</f>
        <v>0</v>
      </c>
      <c r="W47" s="44" t="n">
        <f aca="false">VLOOKUP($B47,'[3]Delta Monthly'!$A$1:$AW$72,38,FALSE())+VLOOKUP($B47,'[3]Delta Monthly'!$A$1:$AW$72,40,FALSE())</f>
        <v>20294.093196416</v>
      </c>
      <c r="X47" s="44" t="n">
        <f aca="false">VLOOKUP($B47,'[3]Delta Monthly'!$A$1:$AW$72,42,FALSE())</f>
        <v>0</v>
      </c>
      <c r="Y47" s="44" t="n">
        <f aca="false">VLOOKUP($B47,'[3]Delta Monthly'!$A$1:$AW$72,44,FALSE())+VLOOKUP($B47,'[3]Delta Monthly'!$A$1:$AW$72,46,FALSE())+VLOOKUP($B47,'[3]Delta Monthly'!$A$1:$AW$72,48,FALSE())</f>
        <v>0</v>
      </c>
      <c r="Z47" s="65" t="n">
        <f aca="false">SUM(S47:Y47)</f>
        <v>-983273.58413285</v>
      </c>
      <c r="AA47" s="64" t="n">
        <f aca="false">VLOOKUP($B47,'[5]Delta Yearly'!$A$1:$AD$72,4,FALSE())</f>
        <v>0</v>
      </c>
      <c r="AB47" s="65" t="n">
        <f aca="false">VLOOKUP($B47,'[5]Delta Yearly'!$A$1:$AC$72,6,FALSE())+VLOOKUP($B47,'[5]Delta Yearly'!$A$1:$AC$72,8,FALSE())+VLOOKUP($B47,'[5]Delta Yearly'!$A$1:$AC$72,10,FALSE())+VLOOKUP($B47,'[5]Delta Yearly'!$A$1:$AC$72,12,FALSE())+VLOOKUP($B47,'[5]Delta Yearly'!$A$1:$AC$72,14,FALSE())+VLOOKUP($B47,'[5]Delta Yearly'!$A$1:$AC$72,16,FALSE())+VLOOKUP($B47,'[5]Delta Yearly'!$A$1:$AC$72,18,FALSE())+VLOOKUP($B47,'[5]Delta Yearly'!$A$1:$AC$72,20,FALSE())+VLOOKUP($B47,'[5]Delta Yearly'!$A$1:$AC$72,22,FALSE())+VLOOKUP($B47,'[5]Delta Yearly'!$A$1:$AC$72,24,FALSE())+VLOOKUP($B47,'[5]Delta Yearly'!$A$1:$AC$72,26,FALSE())+VLOOKUP($B47,'[5]Delta Yearly'!$A$1:$AC$72,28,FALSE())</f>
        <v>0</v>
      </c>
      <c r="AC47" s="64" t="n">
        <f aca="false">SUM(AB47,AA47,Z47,R47)</f>
        <v>-1053427.41890158</v>
      </c>
      <c r="AD47" s="37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</row>
    <row r="48" customFormat="false" ht="9" hidden="false" customHeight="true" outlineLevel="0" collapsed="false">
      <c r="A48" s="123"/>
      <c r="B48" s="62"/>
      <c r="C48" s="62"/>
      <c r="D48" s="65"/>
      <c r="E48" s="152"/>
      <c r="F48" s="99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24"/>
      <c r="S48" s="124"/>
      <c r="T48" s="43"/>
      <c r="U48" s="43"/>
      <c r="V48" s="43"/>
      <c r="W48" s="43"/>
      <c r="X48" s="43"/>
      <c r="Y48" s="43"/>
      <c r="Z48" s="65"/>
      <c r="AA48" s="64"/>
      <c r="AB48" s="65"/>
      <c r="AC48" s="64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</row>
    <row r="49" customFormat="false" ht="21" hidden="false" customHeight="true" outlineLevel="0" collapsed="false">
      <c r="A49" s="96" t="s">
        <v>95</v>
      </c>
      <c r="B49" s="62" t="s">
        <v>96</v>
      </c>
      <c r="C49" s="62" t="s">
        <v>97</v>
      </c>
      <c r="D49" s="65" t="s">
        <v>98</v>
      </c>
      <c r="E49" s="92" t="n">
        <f aca="false">(VLOOKUP(C49,[4]Sheet1!$B$1:$G$65,2,0))*-1</f>
        <v>57686.570024563</v>
      </c>
      <c r="F49" s="91" t="n">
        <f aca="false">(VLOOKUP(C49,[4]Sheet1!$B$1:$G$65,4,0))</f>
        <v>-1168.4478932606</v>
      </c>
      <c r="G49" s="44"/>
      <c r="H49" s="44"/>
      <c r="I49" s="44"/>
      <c r="J49" s="44"/>
      <c r="K49" s="44"/>
      <c r="L49" s="44"/>
      <c r="M49" s="44" t="n">
        <f aca="false">VLOOKUP($B49,'[3]Delta Monthly'!$A$1:$AW$55,16,FALSE())</f>
        <v>0</v>
      </c>
      <c r="N49" s="44" t="n">
        <f aca="false">VLOOKUP($B49,'[3]Delta Monthly'!$A$1:$AW$55,18,FALSE())</f>
        <v>0</v>
      </c>
      <c r="O49" s="44" t="n">
        <f aca="false">VLOOKUP($B49,'[3]Delta Monthly'!$A$1:$AW$72,20,FALSE())</f>
        <v>0</v>
      </c>
      <c r="P49" s="44" t="n">
        <f aca="false">VLOOKUP($B49,'[3]Delta Monthly'!$A$1:$AW$72,22,FALSE())</f>
        <v>-10410.4798379438</v>
      </c>
      <c r="Q49" s="44" t="n">
        <f aca="false">VLOOKUP($B49,'[3]Delta Monthly'!$A$1:$AW$72,24,FALSE())</f>
        <v>-15953.0020727638</v>
      </c>
      <c r="R49" s="124" t="n">
        <f aca="false">SUM(G49:Q49)</f>
        <v>-26363.4819107076</v>
      </c>
      <c r="S49" s="98" t="n">
        <f aca="false">VLOOKUP($B49,'[3]Delta Monthly'!$A$1:$AW$72,26,FALSE())+VLOOKUP($B49,'[3]Delta Monthly'!$A$1:$AW$72,28,FALSE())</f>
        <v>0</v>
      </c>
      <c r="T49" s="44" t="n">
        <f aca="false">VLOOKUP($B49,'[3]Delta Monthly'!$A$1:$AW$72,30,FALSE())+VLOOKUP($B49,'[3]Delta Monthly'!$A$1:$AW$72,32,FALSE())</f>
        <v>0</v>
      </c>
      <c r="U49" s="44" t="n">
        <f aca="false">VLOOKUP($B49,'[3]Delta Monthly'!$A$1:$AW$72,34,FALSE())</f>
        <v>0</v>
      </c>
      <c r="V49" s="44" t="n">
        <f aca="false">VLOOKUP($B49,'[3]Delta Monthly'!$A$1:$AW$72,36,FALSE())</f>
        <v>0</v>
      </c>
      <c r="W49" s="44" t="n">
        <f aca="false">VLOOKUP($B49,'[3]Delta Monthly'!$A$1:$AW$72,38,FALSE())+VLOOKUP($B49,'[3]Delta Monthly'!$A$1:$AW$72,40,FALSE())</f>
        <v>0</v>
      </c>
      <c r="X49" s="44" t="n">
        <f aca="false">VLOOKUP($B49,'[3]Delta Monthly'!$A$1:$AW$72,42,FALSE())</f>
        <v>0</v>
      </c>
      <c r="Y49" s="44" t="n">
        <f aca="false">VLOOKUP($B49,'[3]Delta Monthly'!$A$1:$AW$72,44,FALSE())+VLOOKUP($B49,'[3]Delta Monthly'!$A$1:$AW$72,46,FALSE())+VLOOKUP($B49,'[3]Delta Monthly'!$A$1:$AW$72,48,FALSE())</f>
        <v>0</v>
      </c>
      <c r="Z49" s="65" t="n">
        <f aca="false">SUM(S49:Y49)</f>
        <v>0</v>
      </c>
      <c r="AA49" s="64" t="n">
        <f aca="false">VLOOKUP($B49,'[5]Delta Yearly'!$A$1:$AD$72,4,FALSE())</f>
        <v>0</v>
      </c>
      <c r="AB49" s="65" t="n">
        <f aca="false">VLOOKUP($B49,'[5]Delta Yearly'!$A$1:$AC$72,6,FALSE())+VLOOKUP($B49,'[5]Delta Yearly'!$A$1:$AC$72,8,FALSE())+VLOOKUP($B49,'[5]Delta Yearly'!$A$1:$AC$72,10,FALSE())+VLOOKUP($B49,'[5]Delta Yearly'!$A$1:$AC$72,12,FALSE())+VLOOKUP($B49,'[5]Delta Yearly'!$A$1:$AC$72,14,FALSE())+VLOOKUP($B49,'[5]Delta Yearly'!$A$1:$AC$72,16,FALSE())+VLOOKUP($B49,'[5]Delta Yearly'!$A$1:$AC$72,18,FALSE())+VLOOKUP($B49,'[5]Delta Yearly'!$A$1:$AC$72,20,FALSE())+VLOOKUP($B49,'[5]Delta Yearly'!$A$1:$AC$72,22,FALSE())+VLOOKUP($B49,'[5]Delta Yearly'!$A$1:$AC$72,24,FALSE())+VLOOKUP($B49,'[5]Delta Yearly'!$A$1:$AC$72,26,FALSE())+VLOOKUP($B49,'[5]Delta Yearly'!$A$1:$AC$72,28,FALSE())</f>
        <v>0</v>
      </c>
      <c r="AC49" s="64" t="n">
        <f aca="false">SUM(AB49,AA49,Z49,R49)</f>
        <v>-26363.4819107076</v>
      </c>
      <c r="AD49" s="37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9" hidden="false" customHeight="true" outlineLevel="0" collapsed="false">
      <c r="A50" s="123"/>
      <c r="B50" s="62"/>
      <c r="C50" s="62"/>
      <c r="D50" s="65"/>
      <c r="E50" s="152"/>
      <c r="F50" s="99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24"/>
      <c r="S50" s="124"/>
      <c r="T50" s="43"/>
      <c r="U50" s="43"/>
      <c r="V50" s="43"/>
      <c r="W50" s="43"/>
      <c r="X50" s="43"/>
      <c r="Y50" s="43"/>
      <c r="Z50" s="65"/>
      <c r="AA50" s="64"/>
      <c r="AB50" s="65"/>
      <c r="AC50" s="64"/>
      <c r="AD50" s="37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</row>
    <row r="51" customFormat="false" ht="18" hidden="false" customHeight="false" outlineLevel="0" collapsed="false">
      <c r="A51" s="96" t="s">
        <v>99</v>
      </c>
      <c r="B51" s="62" t="s">
        <v>100</v>
      </c>
      <c r="C51" s="1" t="s">
        <v>101</v>
      </c>
      <c r="D51" s="65" t="s">
        <v>102</v>
      </c>
      <c r="E51" s="92" t="n">
        <f aca="false">(VLOOKUP(C51,[4]Sheet1!$B$1:$G$65,2,0))*-1</f>
        <v>1297970.27766544</v>
      </c>
      <c r="F51" s="91" t="n">
        <f aca="false">(VLOOKUP(C51,[4]Sheet1!$B$1:$G$65,4,0))</f>
        <v>-504185.22839392</v>
      </c>
      <c r="G51" s="44" t="n">
        <f aca="false">VLOOKUP($B51,'[3]Delta Monthly'!$A$1:$AW$55,4,1)</f>
        <v>0</v>
      </c>
      <c r="H51" s="44" t="n">
        <f aca="false">VLOOKUP($B51,'[3]Delta Monthly'!$A$1:$AW$55,6,FALSE())</f>
        <v>0</v>
      </c>
      <c r="I51" s="44" t="n">
        <f aca="false">VLOOKUP($B51,'[3]Delta Monthly'!$A$1:$AW$55,8,FALSE())</f>
        <v>0</v>
      </c>
      <c r="J51" s="44" t="n">
        <f aca="false">VLOOKUP($B51,'[3]Delta Monthly'!$A$1:$AW$55,10,FALSE())</f>
        <v>0</v>
      </c>
      <c r="K51" s="44" t="n">
        <f aca="false">VLOOKUP($B51,'[3]Delta Monthly'!$A$1:$AW$55,12,FALSE())</f>
        <v>0</v>
      </c>
      <c r="L51" s="44" t="n">
        <f aca="false">VLOOKUP($B51,'[3]Delta Monthly'!$A$1:$AW$55,14,FALSE())</f>
        <v>0</v>
      </c>
      <c r="M51" s="44" t="n">
        <f aca="false">VLOOKUP($B51,'[3]Delta Monthly'!$A$1:$AW$55,16,FALSE())</f>
        <v>0</v>
      </c>
      <c r="N51" s="44" t="n">
        <f aca="false">VLOOKUP($B51,'[3]Delta Monthly'!$A$1:$AW$55,18,FALSE())</f>
        <v>0</v>
      </c>
      <c r="O51" s="44" t="n">
        <f aca="false">VLOOKUP($B51,'[3]Delta Monthly'!$A$1:$AW$72,20,FALSE())</f>
        <v>0</v>
      </c>
      <c r="P51" s="44" t="n">
        <f aca="false">VLOOKUP($B51,'[3]Delta Monthly'!$A$1:$AW$72,22,FALSE())</f>
        <v>-19057.81522626</v>
      </c>
      <c r="Q51" s="44" t="n">
        <f aca="false">VLOOKUP($B51,'[3]Delta Monthly'!$A$1:$AW$72,24,FALSE())</f>
        <v>-78013.1233800111</v>
      </c>
      <c r="R51" s="124" t="n">
        <f aca="false">SUM(G51:Q51)</f>
        <v>-97070.9386062712</v>
      </c>
      <c r="S51" s="98" t="n">
        <f aca="false">VLOOKUP($B51,'[3]Delta Monthly'!$A$1:$AW$72,26,FALSE())+VLOOKUP($B51,'[3]Delta Monthly'!$A$1:$AW$72,28,FALSE())</f>
        <v>-235251.132145223</v>
      </c>
      <c r="T51" s="44" t="n">
        <f aca="false">VLOOKUP($B51,'[3]Delta Monthly'!$A$1:$AW$72,30,FALSE())+VLOOKUP($B51,'[3]Delta Monthly'!$A$1:$AW$72,32,FALSE())</f>
        <v>183356.262834339</v>
      </c>
      <c r="U51" s="44" t="n">
        <f aca="false">VLOOKUP($B51,'[3]Delta Monthly'!$A$1:$AW$72,34,FALSE())</f>
        <v>57847.5764611497</v>
      </c>
      <c r="V51" s="44" t="n">
        <f aca="false">VLOOKUP($B51,'[3]Delta Monthly'!$A$1:$AW$72,36,FALSE())</f>
        <v>-332725.555634293</v>
      </c>
      <c r="W51" s="44" t="n">
        <f aca="false">VLOOKUP($B51,'[3]Delta Monthly'!$A$1:$AW$72,38,FALSE())+VLOOKUP($B51,'[3]Delta Monthly'!$A$1:$AW$72,40,FALSE())</f>
        <v>-225329.876905929</v>
      </c>
      <c r="X51" s="44" t="n">
        <f aca="false">VLOOKUP($B51,'[3]Delta Monthly'!$A$1:$AW$72,42,FALSE())</f>
        <v>-9479.33475166693</v>
      </c>
      <c r="Y51" s="44" t="n">
        <f aca="false">VLOOKUP($B51,'[3]Delta Monthly'!$A$1:$AW$72,44,FALSE())+VLOOKUP($B51,'[3]Delta Monthly'!$A$1:$AW$72,46,FALSE())+VLOOKUP($B51,'[3]Delta Monthly'!$A$1:$AW$72,48,FALSE())</f>
        <v>144028.900279672</v>
      </c>
      <c r="Z51" s="65" t="n">
        <f aca="false">SUM(S51:Y51)</f>
        <v>-417553.159861952</v>
      </c>
      <c r="AA51" s="64" t="n">
        <f aca="false">VLOOKUP($B51,'[5]Delta Yearly'!$A$1:$AD$72,4,FALSE())</f>
        <v>-89489.4013241568</v>
      </c>
      <c r="AB51" s="65" t="n">
        <f aca="false">VLOOKUP($B51,'[5]Delta Yearly'!$A$1:$AC$72,6,FALSE())+VLOOKUP($B51,'[5]Delta Yearly'!$A$1:$AC$72,8,FALSE())+VLOOKUP($B51,'[5]Delta Yearly'!$A$1:$AC$72,10,FALSE())+VLOOKUP($B51,'[5]Delta Yearly'!$A$1:$AC$72,12,FALSE())+VLOOKUP($B51,'[5]Delta Yearly'!$A$1:$AC$72,14,FALSE())+VLOOKUP($B51,'[5]Delta Yearly'!$A$1:$AC$72,16,FALSE())+VLOOKUP($B51,'[5]Delta Yearly'!$A$1:$AC$72,18,FALSE())+VLOOKUP($B51,'[5]Delta Yearly'!$A$1:$AC$72,20,FALSE())+VLOOKUP($B51,'[5]Delta Yearly'!$A$1:$AC$72,22,FALSE())+VLOOKUP($B51,'[5]Delta Yearly'!$A$1:$AC$72,24,FALSE())+VLOOKUP($B51,'[5]Delta Yearly'!$A$1:$AC$72,26,FALSE())+VLOOKUP($B51,'[5]Delta Yearly'!$A$1:$AC$72,28,FALSE())</f>
        <v>129192.805569253</v>
      </c>
      <c r="AC51" s="64" t="n">
        <f aca="false">SUM(AB51,AA51,Z51,R51)</f>
        <v>-474920.694223127</v>
      </c>
      <c r="AD51" s="37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</row>
    <row r="52" customFormat="false" ht="9" hidden="false" customHeight="true" outlineLevel="0" collapsed="false">
      <c r="A52" s="96"/>
      <c r="B52" s="80"/>
      <c r="C52" s="80"/>
      <c r="D52" s="65"/>
      <c r="E52" s="152"/>
      <c r="F52" s="99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24"/>
      <c r="S52" s="124"/>
      <c r="T52" s="43"/>
      <c r="U52" s="43"/>
      <c r="V52" s="43"/>
      <c r="W52" s="43"/>
      <c r="X52" s="43"/>
      <c r="Y52" s="43"/>
      <c r="Z52" s="65"/>
      <c r="AA52" s="64"/>
      <c r="AB52" s="65"/>
      <c r="AC52" s="64"/>
      <c r="AD52" s="37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</row>
    <row r="53" customFormat="false" ht="18" hidden="false" customHeight="false" outlineLevel="0" collapsed="false">
      <c r="A53" s="96" t="s">
        <v>103</v>
      </c>
      <c r="B53" s="62" t="s">
        <v>104</v>
      </c>
      <c r="C53" s="1" t="s">
        <v>105</v>
      </c>
      <c r="D53" s="65" t="s">
        <v>106</v>
      </c>
      <c r="E53" s="92" t="n">
        <f aca="false">(VLOOKUP(C53,[4]Sheet1!$B$1:$G$65,2,0))*-1</f>
        <v>78533.4097898707</v>
      </c>
      <c r="F53" s="91" t="n">
        <f aca="false">(VLOOKUP(C53,[4]Sheet1!$B$1:$G$65,4,0))</f>
        <v>-5018.62818095958</v>
      </c>
      <c r="G53" s="44" t="n">
        <f aca="false">VLOOKUP($B53,'[3]Delta Monthly'!$A$1:$AW$55,4,1)</f>
        <v>0</v>
      </c>
      <c r="H53" s="44" t="n">
        <f aca="false">VLOOKUP($B53,'[3]Delta Monthly'!$A$1:$AW$55,6,FALSE())</f>
        <v>0</v>
      </c>
      <c r="I53" s="44" t="n">
        <f aca="false">VLOOKUP($B53,'[3]Delta Monthly'!$A$1:$AW$55,8,FALSE())</f>
        <v>0</v>
      </c>
      <c r="J53" s="44" t="n">
        <f aca="false">VLOOKUP($B53,'[3]Delta Monthly'!$A$1:$AW$55,10,FALSE())</f>
        <v>0</v>
      </c>
      <c r="K53" s="44" t="n">
        <f aca="false">VLOOKUP($B53,'[3]Delta Monthly'!$A$1:$AW$55,12,FALSE())</f>
        <v>0</v>
      </c>
      <c r="L53" s="44" t="n">
        <f aca="false">VLOOKUP($B53,'[3]Delta Monthly'!$A$1:$AW$55,14,FALSE())</f>
        <v>0</v>
      </c>
      <c r="M53" s="44" t="n">
        <f aca="false">VLOOKUP($B53,'[3]Delta Monthly'!$A$1:$AW$55,16,FALSE())</f>
        <v>0</v>
      </c>
      <c r="N53" s="44" t="n">
        <f aca="false">VLOOKUP($B53,'[3]Delta Monthly'!$A$1:$AW$55,18,FALSE())</f>
        <v>0</v>
      </c>
      <c r="O53" s="44" t="n">
        <f aca="false">VLOOKUP($B53,'[3]Delta Monthly'!$A$1:$AW$72,20,FALSE())</f>
        <v>0</v>
      </c>
      <c r="P53" s="44" t="n">
        <f aca="false">VLOOKUP($B53,'[3]Delta Monthly'!$A$1:$AW$72,22,FALSE())</f>
        <v>-37560.6289608368</v>
      </c>
      <c r="Q53" s="44" t="n">
        <f aca="false">VLOOKUP($B53,'[3]Delta Monthly'!$A$1:$AW$72,24,FALSE())</f>
        <v>0</v>
      </c>
      <c r="R53" s="124" t="n">
        <f aca="false">SUM(G53:Q53)</f>
        <v>-37560.6289608368</v>
      </c>
      <c r="S53" s="98" t="n">
        <f aca="false">VLOOKUP($B53,'[3]Delta Monthly'!$A$1:$AW$72,26,FALSE())+VLOOKUP($B53,'[3]Delta Monthly'!$A$1:$AW$72,28,FALSE())</f>
        <v>0</v>
      </c>
      <c r="T53" s="44" t="n">
        <f aca="false">VLOOKUP($B53,'[3]Delta Monthly'!$A$1:$AW$72,30,FALSE())+VLOOKUP($B53,'[3]Delta Monthly'!$A$1:$AW$72,32,FALSE())</f>
        <v>0</v>
      </c>
      <c r="U53" s="44" t="n">
        <f aca="false">VLOOKUP($B53,'[3]Delta Monthly'!$A$1:$AW$72,34,FALSE())</f>
        <v>0</v>
      </c>
      <c r="V53" s="44" t="n">
        <f aca="false">VLOOKUP($B53,'[3]Delta Monthly'!$A$1:$AW$72,36,FALSE())</f>
        <v>0</v>
      </c>
      <c r="W53" s="44" t="n">
        <f aca="false">VLOOKUP($B53,'[3]Delta Monthly'!$A$1:$AW$72,38,FALSE())+VLOOKUP($B53,'[3]Delta Monthly'!$A$1:$AW$72,40,FALSE())</f>
        <v>0</v>
      </c>
      <c r="X53" s="44" t="n">
        <f aca="false">VLOOKUP($B53,'[3]Delta Monthly'!$A$1:$AW$72,42,FALSE())</f>
        <v>0</v>
      </c>
      <c r="Y53" s="44" t="n">
        <f aca="false">VLOOKUP($B53,'[3]Delta Monthly'!$A$1:$AW$72,44,FALSE())+VLOOKUP($B53,'[3]Delta Monthly'!$A$1:$AW$72,46,FALSE())+VLOOKUP($B53,'[3]Delta Monthly'!$A$1:$AW$72,48,FALSE())</f>
        <v>0</v>
      </c>
      <c r="Z53" s="65" t="n">
        <f aca="false">SUM(S53:Y53)</f>
        <v>0</v>
      </c>
      <c r="AA53" s="64" t="n">
        <f aca="false">VLOOKUP($B53,'[5]Delta Yearly'!$A$1:$AD$72,4,FALSE())</f>
        <v>0</v>
      </c>
      <c r="AB53" s="65" t="n">
        <f aca="false">VLOOKUP($B53,'[5]Delta Yearly'!$A$1:$AC$72,6,FALSE())+VLOOKUP($B53,'[5]Delta Yearly'!$A$1:$AC$72,8,FALSE())+VLOOKUP($B53,'[5]Delta Yearly'!$A$1:$AC$72,10,FALSE())+VLOOKUP($B53,'[5]Delta Yearly'!$A$1:$AC$72,12,FALSE())+VLOOKUP($B53,'[5]Delta Yearly'!$A$1:$AC$72,14,FALSE())+VLOOKUP($B53,'[5]Delta Yearly'!$A$1:$AC$72,16,FALSE())+VLOOKUP($B53,'[5]Delta Yearly'!$A$1:$AC$72,18,FALSE())+VLOOKUP($B53,'[5]Delta Yearly'!$A$1:$AC$72,20,FALSE())+VLOOKUP($B53,'[5]Delta Yearly'!$A$1:$AC$72,22,FALSE())+VLOOKUP($B53,'[5]Delta Yearly'!$A$1:$AC$72,24,FALSE())+VLOOKUP($B53,'[5]Delta Yearly'!$A$1:$AC$72,26,FALSE())+VLOOKUP($B53,'[5]Delta Yearly'!$A$1:$AC$72,28,FALSE())</f>
        <v>0</v>
      </c>
      <c r="AC53" s="64" t="n">
        <f aca="false">SUM(AB53,AA53,Z53,R53)</f>
        <v>-37560.6289608368</v>
      </c>
      <c r="AD53" s="37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9" hidden="false" customHeight="true" outlineLevel="0" collapsed="false">
      <c r="A54" s="123"/>
      <c r="B54" s="62"/>
      <c r="C54" s="62"/>
      <c r="D54" s="65"/>
      <c r="E54" s="152"/>
      <c r="F54" s="99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124"/>
      <c r="S54" s="124"/>
      <c r="T54" s="43"/>
      <c r="U54" s="43"/>
      <c r="V54" s="43"/>
      <c r="W54" s="43"/>
      <c r="X54" s="43"/>
      <c r="Y54" s="43"/>
      <c r="Z54" s="65"/>
      <c r="AA54" s="64"/>
      <c r="AB54" s="65"/>
      <c r="AC54" s="64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</row>
    <row r="55" customFormat="false" ht="18" hidden="false" customHeight="false" outlineLevel="0" collapsed="false">
      <c r="A55" s="96" t="s">
        <v>107</v>
      </c>
      <c r="B55" s="62" t="s">
        <v>108</v>
      </c>
      <c r="C55" s="1" t="s">
        <v>109</v>
      </c>
      <c r="D55" s="65" t="s">
        <v>110</v>
      </c>
      <c r="E55" s="92" t="n">
        <f aca="false">(VLOOKUP(C55,[4]Sheet1!$B$1:$G$65,2,0))*-1</f>
        <v>4230.36964127135</v>
      </c>
      <c r="F55" s="91" t="n">
        <f aca="false">(VLOOKUP(C55,[4]Sheet1!$B$1:$G$65,4,0))</f>
        <v>-1632.92431595494</v>
      </c>
      <c r="G55" s="44" t="n">
        <f aca="false">VLOOKUP($B55,'[3]Delta Monthly'!$A$1:$AW$55,4,1)</f>
        <v>0</v>
      </c>
      <c r="H55" s="44" t="n">
        <f aca="false">VLOOKUP($B55,'[3]Delta Monthly'!$A$1:$AW$55,6,FALSE())</f>
        <v>0</v>
      </c>
      <c r="I55" s="44" t="n">
        <f aca="false">VLOOKUP($B55,'[3]Delta Monthly'!$A$1:$AW$55,8,FALSE())</f>
        <v>0</v>
      </c>
      <c r="J55" s="44" t="n">
        <f aca="false">VLOOKUP($B55,'[3]Delta Monthly'!$A$1:$AW$55,10,FALSE())</f>
        <v>0</v>
      </c>
      <c r="K55" s="44" t="n">
        <f aca="false">VLOOKUP($B55,'[3]Delta Monthly'!$A$1:$AW$55,12,FALSE())</f>
        <v>0</v>
      </c>
      <c r="L55" s="44" t="n">
        <f aca="false">VLOOKUP($B55,'[3]Delta Monthly'!$A$1:$AW$55,14,FALSE())</f>
        <v>0</v>
      </c>
      <c r="M55" s="44" t="n">
        <f aca="false">VLOOKUP($B55,'[3]Delta Monthly'!$A$1:$AW$55,16,FALSE())</f>
        <v>0</v>
      </c>
      <c r="N55" s="44" t="n">
        <f aca="false">VLOOKUP($B55,'[3]Delta Monthly'!$A$1:$AW$55,18,FALSE())</f>
        <v>0</v>
      </c>
      <c r="O55" s="44" t="n">
        <f aca="false">VLOOKUP($B55,'[3]Delta Monthly'!$A$1:$AW$72,20,FALSE())</f>
        <v>0</v>
      </c>
      <c r="P55" s="44" t="n">
        <f aca="false">VLOOKUP($B55,'[3]Delta Monthly'!$A$1:$AW$72,22,FALSE())</f>
        <v>0</v>
      </c>
      <c r="Q55" s="44" t="n">
        <f aca="false">VLOOKUP($B55,'[3]Delta Monthly'!$A$1:$AW$72,24,FALSE())</f>
        <v>0</v>
      </c>
      <c r="R55" s="124" t="n">
        <f aca="false">SUM(G55:Q55)</f>
        <v>0</v>
      </c>
      <c r="S55" s="98" t="n">
        <f aca="false">VLOOKUP($B55,'[3]Delta Monthly'!$A$1:$AW$72,26,FALSE())+VLOOKUP($B55,'[3]Delta Monthly'!$A$1:$AW$72,28,FALSE())</f>
        <v>0</v>
      </c>
      <c r="T55" s="44" t="n">
        <f aca="false">VLOOKUP($B55,'[3]Delta Monthly'!$A$1:$AW$72,30,FALSE())+VLOOKUP($B55,'[3]Delta Monthly'!$A$1:$AW$72,32,FALSE())</f>
        <v>0</v>
      </c>
      <c r="U55" s="44" t="n">
        <f aca="false">VLOOKUP($B55,'[3]Delta Monthly'!$A$1:$AW$72,34,FALSE())</f>
        <v>0</v>
      </c>
      <c r="V55" s="44" t="n">
        <f aca="false">VLOOKUP($B55,'[3]Delta Monthly'!$A$1:$AW$72,36,FALSE())</f>
        <v>0</v>
      </c>
      <c r="W55" s="44" t="n">
        <f aca="false">VLOOKUP($B55,'[3]Delta Monthly'!$A$1:$AW$72,38,FALSE())+VLOOKUP($B55,'[3]Delta Monthly'!$A$1:$AW$72,40,FALSE())</f>
        <v>0</v>
      </c>
      <c r="X55" s="44" t="n">
        <f aca="false">VLOOKUP($B55,'[3]Delta Monthly'!$A$1:$AW$72,42,FALSE())</f>
        <v>0</v>
      </c>
      <c r="Y55" s="44" t="n">
        <f aca="false">VLOOKUP($B55,'[3]Delta Monthly'!$A$1:$AW$72,44,FALSE())+VLOOKUP($B55,'[3]Delta Monthly'!$A$1:$AW$72,46,FALSE())+VLOOKUP($B55,'[3]Delta Monthly'!$A$1:$AW$72,48,FALSE())</f>
        <v>0</v>
      </c>
      <c r="Z55" s="65" t="n">
        <f aca="false">SUM(S55:Y55)</f>
        <v>0</v>
      </c>
      <c r="AA55" s="64" t="n">
        <f aca="false">VLOOKUP($B55,'[5]Delta Yearly'!$A$1:$AD$72,4,FALSE())</f>
        <v>0</v>
      </c>
      <c r="AB55" s="65" t="n">
        <f aca="false">VLOOKUP($B55,'[5]Delta Yearly'!$A$1:$AC$72,6,FALSE())+VLOOKUP($B55,'[5]Delta Yearly'!$A$1:$AC$72,8,FALSE())+VLOOKUP($B55,'[5]Delta Yearly'!$A$1:$AC$72,10,FALSE())+VLOOKUP($B55,'[5]Delta Yearly'!$A$1:$AC$72,12,FALSE())+VLOOKUP($B55,'[5]Delta Yearly'!$A$1:$AC$72,14,FALSE())+VLOOKUP($B55,'[5]Delta Yearly'!$A$1:$AC$72,16,FALSE())+VLOOKUP($B55,'[5]Delta Yearly'!$A$1:$AC$72,18,FALSE())+VLOOKUP($B55,'[5]Delta Yearly'!$A$1:$AC$72,20,FALSE())+VLOOKUP($B55,'[5]Delta Yearly'!$A$1:$AC$72,22,FALSE())+VLOOKUP($B55,'[5]Delta Yearly'!$A$1:$AC$72,24,FALSE())+VLOOKUP($B55,'[5]Delta Yearly'!$A$1:$AC$72,26,FALSE())+VLOOKUP($B55,'[5]Delta Yearly'!$A$1:$AC$72,28,FALSE())</f>
        <v>0</v>
      </c>
      <c r="AC55" s="64" t="n">
        <f aca="false">SUM(AB55,AA55,Z55,R55)</f>
        <v>0</v>
      </c>
      <c r="AD55" s="37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</row>
    <row r="56" customFormat="false" ht="9" hidden="false" customHeight="true" outlineLevel="0" collapsed="false">
      <c r="A56" s="96"/>
      <c r="B56" s="62"/>
      <c r="D56" s="65"/>
      <c r="E56" s="92"/>
      <c r="F56" s="91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124"/>
      <c r="S56" s="98"/>
      <c r="T56" s="44"/>
      <c r="U56" s="44"/>
      <c r="V56" s="44"/>
      <c r="W56" s="44"/>
      <c r="X56" s="44"/>
      <c r="Y56" s="44"/>
      <c r="Z56" s="65"/>
      <c r="AA56" s="64"/>
      <c r="AB56" s="65"/>
      <c r="AC56" s="64"/>
      <c r="AD56" s="37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</row>
    <row r="57" customFormat="false" ht="18" hidden="false" customHeight="false" outlineLevel="0" collapsed="false">
      <c r="A57" s="96" t="s">
        <v>111</v>
      </c>
      <c r="B57" s="62" t="s">
        <v>112</v>
      </c>
      <c r="C57" s="1" t="s">
        <v>113</v>
      </c>
      <c r="D57" s="65" t="s">
        <v>114</v>
      </c>
      <c r="E57" s="92" t="n">
        <f aca="false">(VLOOKUP(C57,[4]Sheet1!$B$1:$G$65,2,0))*-1</f>
        <v>-0</v>
      </c>
      <c r="F57" s="91" t="n">
        <f aca="false">(VLOOKUP(C57,[4]Sheet1!$B$1:$G$65,4,0))</f>
        <v>0</v>
      </c>
      <c r="G57" s="44" t="n">
        <f aca="false">VLOOKUP($B57,'[3]Delta Monthly'!$A$1:$AW$55,4,1)</f>
        <v>0</v>
      </c>
      <c r="H57" s="44" t="n">
        <f aca="false">VLOOKUP($B57,'[3]Delta Monthly'!$A$1:$AW$55,6,FALSE())</f>
        <v>0</v>
      </c>
      <c r="I57" s="44" t="n">
        <f aca="false">VLOOKUP($B57,'[3]Delta Monthly'!$A$1:$AW$55,8,FALSE())</f>
        <v>0</v>
      </c>
      <c r="J57" s="44" t="n">
        <f aca="false">VLOOKUP($B57,'[3]Delta Monthly'!$A$1:$AW$55,10,FALSE())</f>
        <v>0</v>
      </c>
      <c r="K57" s="44" t="n">
        <f aca="false">VLOOKUP($B57,'[3]Delta Monthly'!$A$1:$AW$55,12,FALSE())</f>
        <v>0</v>
      </c>
      <c r="L57" s="44" t="n">
        <f aca="false">VLOOKUP($B57,'[3]Delta Monthly'!$A$1:$AW$55,14,FALSE())</f>
        <v>0</v>
      </c>
      <c r="M57" s="44" t="n">
        <f aca="false">VLOOKUP($B57,'[3]Delta Monthly'!$A$1:$AW$55,16,FALSE())</f>
        <v>0</v>
      </c>
      <c r="N57" s="44" t="n">
        <f aca="false">VLOOKUP($B57,'[3]Delta Monthly'!$A$1:$AW$55,18,FALSE())</f>
        <v>0</v>
      </c>
      <c r="O57" s="44" t="n">
        <f aca="false">VLOOKUP($B57,'[3]Delta Monthly'!$A$1:$AW$72,20,FALSE())</f>
        <v>0</v>
      </c>
      <c r="P57" s="44" t="n">
        <f aca="false">VLOOKUP($B57,'[3]Delta Monthly'!$A$1:$AW$72,22,FALSE())</f>
        <v>0</v>
      </c>
      <c r="Q57" s="44" t="n">
        <f aca="false">VLOOKUP($B57,'[3]Delta Monthly'!$A$1:$AW$72,24,FALSE())</f>
        <v>0</v>
      </c>
      <c r="R57" s="124" t="n">
        <f aca="false">SUM(G57:Q57)</f>
        <v>0</v>
      </c>
      <c r="S57" s="98" t="n">
        <f aca="false">VLOOKUP($B57,'[3]Delta Monthly'!$A$1:$AW$72,26,FALSE())+VLOOKUP($B57,'[3]Delta Monthly'!$A$1:$AW$72,28,FALSE())</f>
        <v>0</v>
      </c>
      <c r="T57" s="44" t="n">
        <f aca="false">VLOOKUP($B57,'[3]Delta Monthly'!$A$1:$AW$72,30,FALSE())+VLOOKUP($B57,'[3]Delta Monthly'!$A$1:$AW$72,32,FALSE())</f>
        <v>0</v>
      </c>
      <c r="U57" s="44" t="n">
        <f aca="false">VLOOKUP($B57,'[3]Delta Monthly'!$A$1:$AW$72,34,FALSE())</f>
        <v>0</v>
      </c>
      <c r="V57" s="44" t="n">
        <f aca="false">VLOOKUP($B57,'[3]Delta Monthly'!$A$1:$AW$72,36,FALSE())</f>
        <v>0</v>
      </c>
      <c r="W57" s="44" t="n">
        <f aca="false">VLOOKUP($B57,'[3]Delta Monthly'!$A$1:$AW$72,38,FALSE())+VLOOKUP($B57,'[3]Delta Monthly'!$A$1:$AW$72,40,FALSE())</f>
        <v>0</v>
      </c>
      <c r="X57" s="44" t="n">
        <f aca="false">VLOOKUP($B57,'[3]Delta Monthly'!$A$1:$AW$72,42,FALSE())</f>
        <v>0</v>
      </c>
      <c r="Y57" s="44" t="n">
        <f aca="false">VLOOKUP($B57,'[3]Delta Monthly'!$A$1:$AW$72,44,FALSE())+VLOOKUP($B57,'[3]Delta Monthly'!$A$1:$AW$72,46,FALSE())+VLOOKUP($B57,'[3]Delta Monthly'!$A$1:$AW$72,48,FALSE())</f>
        <v>0</v>
      </c>
      <c r="Z57" s="65" t="n">
        <f aca="false">SUM(S57:Y57)</f>
        <v>0</v>
      </c>
      <c r="AA57" s="64" t="n">
        <f aca="false">VLOOKUP($B57,'[5]Delta Yearly'!$A$1:$AD$72,4,FALSE())</f>
        <v>0</v>
      </c>
      <c r="AB57" s="65" t="n">
        <f aca="false">VLOOKUP($B57,'[5]Delta Yearly'!$A$1:$AC$72,6,FALSE())+VLOOKUP($B57,'[5]Delta Yearly'!$A$1:$AC$72,8,FALSE())+VLOOKUP($B57,'[5]Delta Yearly'!$A$1:$AC$72,10,FALSE())+VLOOKUP($B57,'[5]Delta Yearly'!$A$1:$AC$72,12,FALSE())+VLOOKUP($B57,'[5]Delta Yearly'!$A$1:$AC$72,14,FALSE())+VLOOKUP($B57,'[5]Delta Yearly'!$A$1:$AC$72,16,FALSE())+VLOOKUP($B57,'[5]Delta Yearly'!$A$1:$AC$72,18,FALSE())+VLOOKUP($B57,'[5]Delta Yearly'!$A$1:$AC$72,20,FALSE())+VLOOKUP($B57,'[5]Delta Yearly'!$A$1:$AC$72,22,FALSE())+VLOOKUP($B57,'[5]Delta Yearly'!$A$1:$AC$72,24,FALSE())+VLOOKUP($B57,'[5]Delta Yearly'!$A$1:$AC$72,26,FALSE())+VLOOKUP($B57,'[5]Delta Yearly'!$A$1:$AC$72,28,FALSE())</f>
        <v>0</v>
      </c>
      <c r="AC57" s="64" t="n">
        <f aca="false">SUM(AB57,AA57,Z57,R57)</f>
        <v>0</v>
      </c>
      <c r="AD57" s="37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</row>
    <row r="58" customFormat="false" ht="9" hidden="false" customHeight="true" outlineLevel="0" collapsed="false">
      <c r="A58" s="96"/>
      <c r="B58" s="62"/>
      <c r="C58" s="62"/>
      <c r="D58" s="65"/>
      <c r="E58" s="152"/>
      <c r="F58" s="9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124"/>
      <c r="S58" s="124"/>
      <c r="T58" s="43"/>
      <c r="U58" s="43"/>
      <c r="V58" s="43"/>
      <c r="W58" s="43"/>
      <c r="X58" s="43"/>
      <c r="Y58" s="43"/>
      <c r="Z58" s="108"/>
      <c r="AA58" s="64"/>
      <c r="AB58" s="108"/>
      <c r="AC58" s="64"/>
      <c r="AD58" s="37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</row>
    <row r="59" customFormat="false" ht="18.75" hidden="false" customHeight="false" outlineLevel="0" collapsed="false">
      <c r="A59" s="111" t="s">
        <v>115</v>
      </c>
      <c r="B59" s="130" t="s">
        <v>115</v>
      </c>
      <c r="C59" s="154" t="s">
        <v>116</v>
      </c>
      <c r="D59" s="113"/>
      <c r="E59" s="113" t="n">
        <f aca="false">(VLOOKUP(C59,[4]Sheet1!$B$1:$G$65,2,0))*-1</f>
        <v>4052299.07896584</v>
      </c>
      <c r="F59" s="118" t="n">
        <f aca="false">(VLOOKUP(C59,[4]Sheet1!$B$1:$G$65,4,0))</f>
        <v>-836668.98213697</v>
      </c>
      <c r="G59" s="116" t="n">
        <f aca="false">SUM(G43,G45,G47,G49,G51,G53,G55,G57)</f>
        <v>0</v>
      </c>
      <c r="H59" s="116" t="n">
        <f aca="false">SUM(H43,H45,H47,H49,H51,H53,H55,H57)</f>
        <v>0</v>
      </c>
      <c r="I59" s="116" t="n">
        <f aca="false">SUM(I43,I45,I47,I49,I51,I53,I55,I57)</f>
        <v>0</v>
      </c>
      <c r="J59" s="116" t="n">
        <f aca="false">SUM(J43,J45,J47,J49,J51,J53,J55,J57)</f>
        <v>0</v>
      </c>
      <c r="K59" s="116" t="n">
        <f aca="false">SUM(K43,K45,K47,K49,K51,K53,K55,K57)</f>
        <v>0</v>
      </c>
      <c r="L59" s="116" t="n">
        <f aca="false">SUM(L43,L45,L47,L49,L51,L53,L55,L57)</f>
        <v>0</v>
      </c>
      <c r="M59" s="116" t="n">
        <f aca="false">SUM(M43,M45,M47,M49,M51,M53,M55,M57)</f>
        <v>0</v>
      </c>
      <c r="N59" s="116" t="n">
        <f aca="false">SUM(N43,N45,N47,N49,N51,N53,N55,N57)</f>
        <v>0</v>
      </c>
      <c r="O59" s="116" t="n">
        <f aca="false">SUM(O43,O45,O47,O49,O51,O53,O55,O57)</f>
        <v>0</v>
      </c>
      <c r="P59" s="116" t="n">
        <f aca="false">SUM(P43,P45,P47,P49,P51,P53,P55,P57)</f>
        <v>13849.5927432754</v>
      </c>
      <c r="Q59" s="116" t="n">
        <f aca="false">SUM(Q43,Q45,Q47,Q49,Q51,Q53,Q55,Q57)</f>
        <v>16799.0367605659</v>
      </c>
      <c r="R59" s="115" t="n">
        <f aca="false">SUM(R43,R45,R47,R49,R51,R53,R55,R57)</f>
        <v>30648.6295038413</v>
      </c>
      <c r="S59" s="117" t="n">
        <f aca="false">SUM(S43,S45,S47,S49,S51,S53,S55,S57)</f>
        <v>-559823.683117835</v>
      </c>
      <c r="T59" s="116" t="n">
        <f aca="false">SUM(T43,T45,T47,T49,T51,T53,T55,T57)</f>
        <v>772041.419158603</v>
      </c>
      <c r="U59" s="116" t="n">
        <f aca="false">SUM(U43,U45,U47,U49,U51,U53,U55,U57)</f>
        <v>181867.235033538</v>
      </c>
      <c r="V59" s="116" t="n">
        <f aca="false">SUM(V43,V45,V47,V49,V51,V53,V55,V57)</f>
        <v>-221223.729466923</v>
      </c>
      <c r="W59" s="116" t="n">
        <f aca="false">SUM(W43,W45,W47,W49,W51,W53,W55,W57)</f>
        <v>-857226.307069627</v>
      </c>
      <c r="X59" s="116" t="n">
        <f aca="false">SUM(X43,X45,X47,X49,X51,X53,X55,X57)</f>
        <v>-59799.8611307986</v>
      </c>
      <c r="Y59" s="114" t="n">
        <f aca="false">SUM(Y43,Y45,Y47,Y49,Y51,Y53,Y55,Y57)</f>
        <v>2296204.98458236</v>
      </c>
      <c r="Z59" s="113" t="n">
        <f aca="false">SUM(Z43,Z45,Z47,Z49,Z51,Z53,Z55,Z57)</f>
        <v>1552040.05798931</v>
      </c>
      <c r="AA59" s="113" t="n">
        <f aca="false">SUM(AA43,AA45,AA47,AA49,AA51,AA53,AA55,AA57)</f>
        <v>-691965.656963507</v>
      </c>
      <c r="AB59" s="155" t="n">
        <f aca="false">SUM(AB43,AB45,AB47,AB49,AB51,AB53,AB55,AB57)</f>
        <v>846270.606754885</v>
      </c>
      <c r="AC59" s="113" t="n">
        <f aca="false">SUM(AC43,AC45,AC47,AC49,AC51,AC53,AC55,AC57)</f>
        <v>1736993.63728453</v>
      </c>
      <c r="AD59" s="37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</row>
    <row r="60" customFormat="false" ht="18.75" hidden="false" customHeight="false" outlineLevel="0" collapsed="false">
      <c r="A60" s="62"/>
      <c r="B60" s="62"/>
      <c r="C60" s="62"/>
      <c r="D60" s="43"/>
      <c r="E60" s="43"/>
      <c r="F60" s="43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/>
      <c r="R60" s="156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37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</row>
    <row r="61" customFormat="false" ht="18.75" hidden="false" customHeight="false" outlineLevel="0" collapsed="false">
      <c r="A61" s="119"/>
      <c r="B61" s="120"/>
      <c r="C61" s="120"/>
      <c r="D61" s="87" t="s">
        <v>26</v>
      </c>
      <c r="E61" s="87" t="n">
        <v>3000000</v>
      </c>
      <c r="F61" s="85"/>
      <c r="G61" s="55"/>
      <c r="H61" s="55"/>
      <c r="I61" s="55"/>
      <c r="J61" s="55" t="s">
        <v>117</v>
      </c>
      <c r="K61" s="55"/>
      <c r="L61" s="55"/>
      <c r="M61" s="55"/>
      <c r="N61" s="55"/>
      <c r="O61" s="55"/>
      <c r="P61" s="55"/>
      <c r="Q61" s="157"/>
      <c r="R61" s="87"/>
      <c r="S61" s="55"/>
      <c r="T61" s="55"/>
      <c r="U61" s="55"/>
      <c r="V61" s="55"/>
      <c r="W61" s="55"/>
      <c r="X61" s="55"/>
      <c r="Y61" s="55"/>
      <c r="Z61" s="87"/>
      <c r="AA61" s="85"/>
      <c r="AB61" s="87"/>
      <c r="AC61" s="85"/>
      <c r="AD61" s="37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</row>
    <row r="62" customFormat="false" ht="9" hidden="false" customHeight="true" outlineLevel="0" collapsed="false">
      <c r="A62" s="96"/>
      <c r="B62" s="80"/>
      <c r="C62" s="80"/>
      <c r="D62" s="65"/>
      <c r="E62" s="152"/>
      <c r="F62" s="99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140"/>
      <c r="S62" s="139"/>
      <c r="T62" s="139"/>
      <c r="U62" s="139"/>
      <c r="V62" s="139"/>
      <c r="W62" s="139"/>
      <c r="X62" s="139"/>
      <c r="Y62" s="139"/>
      <c r="Z62" s="140"/>
      <c r="AA62" s="91"/>
      <c r="AB62" s="65"/>
      <c r="AC62" s="64"/>
      <c r="AD62" s="37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8" hidden="false" customHeight="false" outlineLevel="0" collapsed="false">
      <c r="A63" s="96" t="s">
        <v>118</v>
      </c>
      <c r="B63" s="62" t="s">
        <v>119</v>
      </c>
      <c r="C63" s="1" t="s">
        <v>120</v>
      </c>
      <c r="D63" s="65" t="s">
        <v>121</v>
      </c>
      <c r="E63" s="92" t="n">
        <f aca="false">(VLOOKUP(C63,[4]Sheet1!$B$1:$G$65,2,0))*-1</f>
        <v>993392.697123133</v>
      </c>
      <c r="F63" s="91" t="n">
        <f aca="false">(VLOOKUP(C63,[4]Sheet1!$B$1:$G$65,4,0))</f>
        <v>-45681.2124099369</v>
      </c>
      <c r="G63" s="44" t="n">
        <v>0</v>
      </c>
      <c r="H63" s="44" t="n">
        <f aca="false">VLOOKUP($B63,'[3]Delta Monthly'!$A$1:$AW$55,6,FALSE())</f>
        <v>0</v>
      </c>
      <c r="I63" s="44" t="n">
        <f aca="false">VLOOKUP($B63,'[3]Delta Monthly'!$A$1:$AW$55,8,FALSE())</f>
        <v>0</v>
      </c>
      <c r="J63" s="44" t="n">
        <f aca="false">VLOOKUP($B63,'[3]Delta Monthly'!$A$1:$AW$55,10,FALSE())</f>
        <v>0</v>
      </c>
      <c r="K63" s="44" t="n">
        <f aca="false">VLOOKUP($B63,'[3]Delta Monthly'!$A$1:$AW$55,12,FALSE())</f>
        <v>0</v>
      </c>
      <c r="L63" s="44" t="n">
        <f aca="false">VLOOKUP($B63,'[3]Delta Monthly'!$A$1:$AW$55,14,FALSE())</f>
        <v>0</v>
      </c>
      <c r="M63" s="44" t="n">
        <f aca="false">VLOOKUP($B63,'[3]Delta Monthly'!$A$1:$AW$55,16,FALSE())</f>
        <v>0</v>
      </c>
      <c r="N63" s="44" t="n">
        <f aca="false">VLOOKUP($B63,'[3]Delta Monthly'!$A$1:$AW$55,18,FALSE())</f>
        <v>0</v>
      </c>
      <c r="O63" s="44" t="n">
        <f aca="false">VLOOKUP($B63,'[3]Delta Monthly'!$A$1:$AW$72,20,FALSE())</f>
        <v>0</v>
      </c>
      <c r="P63" s="44" t="n">
        <f aca="false">VLOOKUP($B63,'[3]Delta Monthly'!$A$1:$AW$72,22,FALSE())</f>
        <v>66279.7957034374</v>
      </c>
      <c r="Q63" s="44" t="n">
        <f aca="false">VLOOKUP($B63,'[3]Delta Monthly'!$A$1:$AW$72,24,FALSE())</f>
        <v>-215106.92562133</v>
      </c>
      <c r="R63" s="65" t="n">
        <f aca="false">SUM(G63:Q63)</f>
        <v>-148827.129917893</v>
      </c>
      <c r="S63" s="44" t="n">
        <f aca="false">VLOOKUP($B63,'[3]Delta Monthly'!$A$1:$AW$72,26,FALSE())+VLOOKUP($B63,'[3]Delta Monthly'!$A$1:$AW$72,28,FALSE())</f>
        <v>233732.928644532</v>
      </c>
      <c r="T63" s="44" t="n">
        <f aca="false">VLOOKUP($B63,'[3]Delta Monthly'!$A$1:$AW$72,30,FALSE())+VLOOKUP($B63,'[3]Delta Monthly'!$A$1:$AW$72,32,FALSE())</f>
        <v>-204370.902959514</v>
      </c>
      <c r="U63" s="44" t="n">
        <f aca="false">VLOOKUP($B63,'[3]Delta Monthly'!$A$1:$AW$72,34,FALSE())</f>
        <v>-191135.956254447</v>
      </c>
      <c r="V63" s="44" t="n">
        <f aca="false">VLOOKUP($B63,'[3]Delta Monthly'!$A$1:$AW$72,36,FALSE())</f>
        <v>63053.7391255643</v>
      </c>
      <c r="W63" s="44" t="n">
        <f aca="false">VLOOKUP($B63,'[3]Delta Monthly'!$A$1:$AW$72,38,FALSE())+VLOOKUP($B63,'[3]Delta Monthly'!$A$1:$AW$72,40,FALSE())</f>
        <v>-763957.184439461</v>
      </c>
      <c r="X63" s="44" t="n">
        <f aca="false">VLOOKUP($B63,'[3]Delta Monthly'!$A$1:$AW$72,42,FALSE())</f>
        <v>-250426.026347125</v>
      </c>
      <c r="Y63" s="44" t="n">
        <f aca="false">VLOOKUP($B63,'[3]Delta Monthly'!$A$1:$AW$72,44,FALSE())+VLOOKUP($B63,'[3]Delta Monthly'!$A$1:$AW$72,46,FALSE())+VLOOKUP($B63,'[3]Delta Monthly'!$A$1:$AW$72,48,FALSE())</f>
        <v>-49816.3930068207</v>
      </c>
      <c r="Z63" s="65" t="n">
        <f aca="false">SUM(S63:Y63)</f>
        <v>-1162919.79523727</v>
      </c>
      <c r="AA63" s="64" t="n">
        <f aca="false">VLOOKUP($B63,'[5]Delta Yearly'!$A$1:$AD$72,4,FALSE())</f>
        <v>79951.1933534324</v>
      </c>
      <c r="AB63" s="43" t="n">
        <f aca="false">VLOOKUP($B63,'[5]Delta Yearly'!$A$1:$AC$72,6,FALSE())+VLOOKUP($B63,'[5]Delta Yearly'!$A$1:$AC$72,8,FALSE())+VLOOKUP($B63,'[5]Delta Yearly'!$A$1:$AC$72,10,FALSE())+VLOOKUP($B63,'[5]Delta Yearly'!$A$1:$AC$72,12,FALSE())+VLOOKUP($B63,'[5]Delta Yearly'!$A$1:$AC$72,14,FALSE())+VLOOKUP($B63,'[5]Delta Yearly'!$A$1:$AC$72,16,FALSE())+VLOOKUP($B63,'[5]Delta Yearly'!$A$1:$AC$72,18,FALSE())+VLOOKUP($B63,'[5]Delta Yearly'!$A$1:$AC$72,20,FALSE())+VLOOKUP($B63,'[5]Delta Yearly'!$A$1:$AC$72,22,FALSE())+VLOOKUP($B63,'[5]Delta Yearly'!$A$1:$AC$72,24,FALSE())+VLOOKUP($B63,'[5]Delta Yearly'!$A$1:$AC$72,26,FALSE())+VLOOKUP($B63,'[5]Delta Yearly'!$A$1:$AC$72,28,FALSE())</f>
        <v>1054606.75582189</v>
      </c>
      <c r="AC63" s="65" t="n">
        <f aca="false">SUM(AB63,AA63,Z63,R63)</f>
        <v>-177188.975979842</v>
      </c>
      <c r="AD63" s="37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9" hidden="false" customHeight="true" outlineLevel="0" collapsed="false">
      <c r="A64" s="96"/>
      <c r="B64" s="80"/>
      <c r="C64" s="80"/>
      <c r="D64" s="65"/>
      <c r="E64" s="152"/>
      <c r="F64" s="99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92"/>
      <c r="S64" s="82"/>
      <c r="T64" s="82"/>
      <c r="U64" s="82"/>
      <c r="V64" s="82"/>
      <c r="W64" s="82"/>
      <c r="X64" s="82"/>
      <c r="Y64" s="82"/>
      <c r="Z64" s="92"/>
      <c r="AA64" s="91"/>
      <c r="AB64" s="65"/>
      <c r="AC64" s="64"/>
      <c r="AD64" s="37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</row>
    <row r="65" customFormat="false" ht="18" hidden="false" customHeight="false" outlineLevel="0" collapsed="false">
      <c r="A65" s="96" t="s">
        <v>122</v>
      </c>
      <c r="B65" s="62" t="s">
        <v>123</v>
      </c>
      <c r="C65" s="1" t="s">
        <v>124</v>
      </c>
      <c r="D65" s="65" t="s">
        <v>125</v>
      </c>
      <c r="E65" s="92" t="n">
        <f aca="false">(VLOOKUP(C65,[4]Sheet1!$B$1:$G$65,2,0))*-1</f>
        <v>1716885.32980429</v>
      </c>
      <c r="F65" s="91" t="n">
        <f aca="false">(VLOOKUP(C65,[4]Sheet1!$B$1:$G$65,4,0))</f>
        <v>130927.65311918</v>
      </c>
      <c r="G65" s="44" t="n">
        <f aca="false">VLOOKUP($B65,'[3]Delta Monthly'!$A$1:$AW$55,4,1)</f>
        <v>0</v>
      </c>
      <c r="H65" s="44" t="n">
        <f aca="false">VLOOKUP($B65,'[3]Delta Monthly'!$A$1:$AW$55,6,FALSE())</f>
        <v>0</v>
      </c>
      <c r="I65" s="44" t="n">
        <f aca="false">VLOOKUP($B65,'[3]Delta Monthly'!$A$1:$AW$55,8,FALSE())</f>
        <v>0</v>
      </c>
      <c r="J65" s="44" t="n">
        <f aca="false">VLOOKUP($B65,'[3]Delta Monthly'!$A$1:$AW$55,10,FALSE())</f>
        <v>0</v>
      </c>
      <c r="K65" s="44" t="n">
        <f aca="false">VLOOKUP($B65,'[3]Delta Monthly'!$A$1:$AW$55,12,FALSE())</f>
        <v>0</v>
      </c>
      <c r="L65" s="44" t="n">
        <f aca="false">VLOOKUP($B65,'[3]Delta Monthly'!$A$1:$AW$55,14,FALSE())</f>
        <v>0</v>
      </c>
      <c r="M65" s="44" t="n">
        <f aca="false">VLOOKUP($B65,'[3]Delta Monthly'!$A$1:$AW$55,16,FALSE())</f>
        <v>0</v>
      </c>
      <c r="N65" s="44" t="n">
        <f aca="false">VLOOKUP($B65,'[3]Delta Monthly'!$A$1:$AW$55,18,FALSE())</f>
        <v>0</v>
      </c>
      <c r="O65" s="44" t="n">
        <f aca="false">VLOOKUP($B65,'[3]Delta Monthly'!$A$1:$AW$72,20,FALSE())</f>
        <v>0</v>
      </c>
      <c r="P65" s="44" t="n">
        <f aca="false">VLOOKUP($B65,'[3]Delta Monthly'!$A$1:$AW$72,22,FALSE())</f>
        <v>11179.7245764834</v>
      </c>
      <c r="Q65" s="44" t="n">
        <f aca="false">VLOOKUP($B65,'[3]Delta Monthly'!$A$1:$AW$72,24,FALSE())</f>
        <v>-31882.9578608703</v>
      </c>
      <c r="R65" s="124" t="n">
        <f aca="false">SUM(G65:Q65)</f>
        <v>-20703.2332843869</v>
      </c>
      <c r="S65" s="98" t="n">
        <f aca="false">VLOOKUP($B65,'[3]Delta Monthly'!$A$1:$AW$72,26,FALSE())+VLOOKUP($B65,'[3]Delta Monthly'!$A$1:$AW$72,28,FALSE())</f>
        <v>233732.928644533</v>
      </c>
      <c r="T65" s="44" t="n">
        <f aca="false">VLOOKUP($B65,'[3]Delta Monthly'!$A$1:$AW$72,30,FALSE())+VLOOKUP($B65,'[3]Delta Monthly'!$A$1:$AW$72,32,FALSE())</f>
        <v>170309.085799594</v>
      </c>
      <c r="U65" s="44" t="n">
        <f aca="false">VLOOKUP($B65,'[3]Delta Monthly'!$A$1:$AW$72,34,FALSE())</f>
        <v>-34751.9920462625</v>
      </c>
      <c r="V65" s="44" t="n">
        <f aca="false">VLOOKUP($B65,'[3]Delta Monthly'!$A$1:$AW$72,36,FALSE())</f>
        <v>31526.8695627823</v>
      </c>
      <c r="W65" s="44" t="n">
        <f aca="false">VLOOKUP($B65,'[3]Delta Monthly'!$A$1:$AW$72,38,FALSE())+VLOOKUP($B65,'[3]Delta Monthly'!$A$1:$AW$72,40,FALSE())</f>
        <v>34559.5945034231</v>
      </c>
      <c r="X65" s="44" t="n">
        <f aca="false">VLOOKUP($B65,'[3]Delta Monthly'!$A$1:$AW$72,42,FALSE())</f>
        <v>62606.5065867812</v>
      </c>
      <c r="Y65" s="44" t="n">
        <f aca="false">VLOOKUP($B65,'[3]Delta Monthly'!$A$1:$AW$72,44,FALSE())+VLOOKUP($B65,'[3]Delta Monthly'!$A$1:$AW$72,46,FALSE())+VLOOKUP($B65,'[3]Delta Monthly'!$A$1:$AW$72,48,FALSE())</f>
        <v>199265.572027286</v>
      </c>
      <c r="Z65" s="65" t="n">
        <f aca="false">SUM(S65:Y65)</f>
        <v>697248.565078138</v>
      </c>
      <c r="AA65" s="64" t="n">
        <f aca="false">VLOOKUP($B65,'[5]Delta Yearly'!$A$1:$AD$72,4,FALSE())</f>
        <v>403379.10193395</v>
      </c>
      <c r="AB65" s="43" t="n">
        <f aca="false">VLOOKUP($B65,'[5]Delta Yearly'!$A$1:$AC$72,6,FALSE())+VLOOKUP($B65,'[5]Delta Yearly'!$A$1:$AC$72,8,FALSE())+VLOOKUP($B65,'[5]Delta Yearly'!$A$1:$AC$72,10,FALSE())+VLOOKUP($B65,'[5]Delta Yearly'!$A$1:$AC$72,12,FALSE())+VLOOKUP($B65,'[5]Delta Yearly'!$A$1:$AC$72,14,FALSE())+VLOOKUP($B65,'[5]Delta Yearly'!$A$1:$AC$72,16,FALSE())+VLOOKUP($B65,'[5]Delta Yearly'!$A$1:$AC$72,18,FALSE())+VLOOKUP($B65,'[5]Delta Yearly'!$A$1:$AC$72,20,FALSE())+VLOOKUP($B65,'[5]Delta Yearly'!$A$1:$AC$72,22,FALSE())+VLOOKUP($B65,'[5]Delta Yearly'!$A$1:$AC$72,24,FALSE())+VLOOKUP($B65,'[5]Delta Yearly'!$A$1:$AC$72,26,FALSE())+VLOOKUP($B65,'[5]Delta Yearly'!$A$1:$AC$72,28,FALSE())</f>
        <v>0</v>
      </c>
      <c r="AC65" s="65" t="n">
        <f aca="false">SUM(AB65,AA65,Z65,R65)</f>
        <v>1079924.4337277</v>
      </c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</row>
    <row r="66" customFormat="false" ht="9" hidden="false" customHeight="true" outlineLevel="0" collapsed="false">
      <c r="A66" s="96"/>
      <c r="B66" s="80"/>
      <c r="C66" s="80"/>
      <c r="D66" s="65"/>
      <c r="E66" s="152"/>
      <c r="F66" s="99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92"/>
      <c r="S66" s="82"/>
      <c r="T66" s="82"/>
      <c r="U66" s="82"/>
      <c r="V66" s="82"/>
      <c r="W66" s="82"/>
      <c r="X66" s="82"/>
      <c r="Y66" s="82"/>
      <c r="Z66" s="92"/>
      <c r="AA66" s="91"/>
      <c r="AB66" s="43"/>
      <c r="AC66" s="64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</row>
    <row r="67" customFormat="false" ht="18" hidden="false" customHeight="false" outlineLevel="0" collapsed="false">
      <c r="A67" s="96" t="s">
        <v>126</v>
      </c>
      <c r="B67" s="62" t="s">
        <v>127</v>
      </c>
      <c r="C67" s="62" t="s">
        <v>128</v>
      </c>
      <c r="D67" s="65" t="s">
        <v>129</v>
      </c>
      <c r="E67" s="92" t="n">
        <f aca="false">(VLOOKUP(C67,[4]Sheet1!$B$1:$G$65,2,0))*-1</f>
        <v>7520.56621967267</v>
      </c>
      <c r="F67" s="91" t="n">
        <f aca="false">(VLOOKUP(C67,[4]Sheet1!$B$1:$G$65,4,0))</f>
        <v>-2200.47470791742</v>
      </c>
      <c r="G67" s="44" t="n">
        <v>0</v>
      </c>
      <c r="H67" s="44"/>
      <c r="I67" s="44"/>
      <c r="J67" s="44"/>
      <c r="K67" s="44"/>
      <c r="L67" s="44" t="n">
        <f aca="false">VLOOKUP($B67,'[3]Delta Monthly'!$A$1:$AW$55,14,FALSE())</f>
        <v>0</v>
      </c>
      <c r="M67" s="44" t="n">
        <f aca="false">VLOOKUP($B67,'[3]Delta Monthly'!$A$1:$AW$55,16,FALSE())</f>
        <v>0</v>
      </c>
      <c r="N67" s="44" t="n">
        <f aca="false">VLOOKUP($B67,'[3]Delta Monthly'!$A$1:$AW$55,18,FALSE())</f>
        <v>0</v>
      </c>
      <c r="O67" s="44" t="n">
        <f aca="false">VLOOKUP($B67,'[3]Delta Monthly'!$A$1:$AW$72,20,FALSE())</f>
        <v>0</v>
      </c>
      <c r="P67" s="44" t="n">
        <f aca="false">VLOOKUP($B67,'[3]Delta Monthly'!$A$1:$AW$72,22,FALSE())</f>
        <v>5589.86228824172</v>
      </c>
      <c r="Q67" s="44" t="n">
        <f aca="false">VLOOKUP($B67,'[3]Delta Monthly'!$A$1:$AW$72,24,FALSE())</f>
        <v>0</v>
      </c>
      <c r="R67" s="65" t="n">
        <f aca="false">SUM(G67:Q67)</f>
        <v>5589.86228824172</v>
      </c>
      <c r="S67" s="44" t="n">
        <f aca="false">VLOOKUP($B67,'[3]Delta Monthly'!$A$1:$AW$72,26,FALSE())+VLOOKUP($B67,'[3]Delta Monthly'!$A$1:$AW$72,28,FALSE())</f>
        <v>0</v>
      </c>
      <c r="T67" s="44" t="n">
        <f aca="false">VLOOKUP($B67,'[3]Delta Monthly'!$A$1:$AW$72,30,FALSE())+VLOOKUP($B67,'[3]Delta Monthly'!$A$1:$AW$72,32,FALSE())</f>
        <v>0</v>
      </c>
      <c r="U67" s="44" t="n">
        <f aca="false">VLOOKUP($B67,'[3]Delta Monthly'!$A$1:$AW$72,34,FALSE())</f>
        <v>0</v>
      </c>
      <c r="V67" s="44" t="n">
        <f aca="false">VLOOKUP($B67,'[3]Delta Monthly'!$A$1:$AW$72,36,FALSE())</f>
        <v>0</v>
      </c>
      <c r="W67" s="44" t="n">
        <f aca="false">VLOOKUP($B67,'[3]Delta Monthly'!$A$1:$AW$72,38,FALSE())+VLOOKUP($B67,'[3]Delta Monthly'!$A$1:$AW$72,40,FALSE())</f>
        <v>0</v>
      </c>
      <c r="X67" s="44" t="n">
        <f aca="false">VLOOKUP($B67,'[3]Delta Monthly'!$A$1:$AW$72,42,FALSE())</f>
        <v>0</v>
      </c>
      <c r="Y67" s="44" t="n">
        <f aca="false">VLOOKUP($B67,'[3]Delta Monthly'!$A$1:$AW$72,44,FALSE())+VLOOKUP($B67,'[3]Delta Monthly'!$A$1:$AW$72,46,FALSE())+VLOOKUP($B67,'[3]Delta Monthly'!$A$1:$AW$72,48,FALSE())</f>
        <v>0</v>
      </c>
      <c r="Z67" s="65" t="n">
        <f aca="false">SUM(S67:Y67)</f>
        <v>0</v>
      </c>
      <c r="AA67" s="64" t="n">
        <f aca="false">VLOOKUP($B67,'[5]Delta Yearly'!$A$1:$AD$72,4,FALSE())</f>
        <v>0</v>
      </c>
      <c r="AB67" s="43" t="n">
        <f aca="false">VLOOKUP($B67,'[5]Delta Yearly'!$A$1:$AC$72,6,FALSE())+VLOOKUP($B67,'[5]Delta Yearly'!$A$1:$AC$72,8,FALSE())+VLOOKUP($B67,'[5]Delta Yearly'!$A$1:$AC$72,10,FALSE())+VLOOKUP($B67,'[5]Delta Yearly'!$A$1:$AC$72,12,FALSE())+VLOOKUP($B67,'[5]Delta Yearly'!$A$1:$AC$72,14,FALSE())+VLOOKUP($B67,'[5]Delta Yearly'!$A$1:$AC$72,16,FALSE())+VLOOKUP($B67,'[5]Delta Yearly'!$A$1:$AC$72,18,FALSE())+VLOOKUP($B67,'[5]Delta Yearly'!$A$1:$AC$72,20,FALSE())+VLOOKUP($B67,'[5]Delta Yearly'!$A$1:$AC$72,22,FALSE())+VLOOKUP($B67,'[5]Delta Yearly'!$A$1:$AC$72,24,FALSE())+VLOOKUP($B67,'[5]Delta Yearly'!$A$1:$AC$72,26,FALSE())+VLOOKUP($B67,'[5]Delta Yearly'!$A$1:$AC$72,28,FALSE())</f>
        <v>0</v>
      </c>
      <c r="AC67" s="65" t="n">
        <f aca="false">SUM(AB67,AA67,Z67,R67)</f>
        <v>5589.86228824172</v>
      </c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</row>
    <row r="68" customFormat="false" ht="9" hidden="false" customHeight="true" outlineLevel="0" collapsed="false">
      <c r="A68" s="96"/>
      <c r="B68" s="80"/>
      <c r="C68" s="80"/>
      <c r="D68" s="65"/>
      <c r="E68" s="152"/>
      <c r="F68" s="99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92"/>
      <c r="S68" s="82"/>
      <c r="T68" s="82"/>
      <c r="U68" s="82"/>
      <c r="V68" s="82"/>
      <c r="W68" s="82"/>
      <c r="X68" s="82"/>
      <c r="Y68" s="82"/>
      <c r="Z68" s="92"/>
      <c r="AA68" s="91"/>
      <c r="AB68" s="65"/>
      <c r="AC68" s="64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</row>
    <row r="69" customFormat="false" ht="18" hidden="false" customHeight="false" outlineLevel="0" collapsed="false">
      <c r="A69" s="96" t="s">
        <v>130</v>
      </c>
      <c r="B69" s="62" t="s">
        <v>131</v>
      </c>
      <c r="C69" s="62" t="s">
        <v>132</v>
      </c>
      <c r="D69" s="65" t="s">
        <v>133</v>
      </c>
      <c r="E69" s="92" t="n">
        <v>0</v>
      </c>
      <c r="F69" s="91" t="n">
        <v>0</v>
      </c>
      <c r="G69" s="44" t="n">
        <f aca="false">VLOOKUP($B69,'[3]Delta Monthly'!$A$1:$AW$55,4,1)</f>
        <v>0</v>
      </c>
      <c r="H69" s="44" t="n">
        <f aca="false">VLOOKUP($B69,'[3]Delta Monthly'!$A$1:$AW$55,6,FALSE())</f>
        <v>0</v>
      </c>
      <c r="I69" s="44" t="n">
        <f aca="false">VLOOKUP($B69,'[3]Delta Monthly'!$A$1:$AW$55,8,FALSE())</f>
        <v>0</v>
      </c>
      <c r="J69" s="44" t="n">
        <v>0</v>
      </c>
      <c r="K69" s="44" t="n">
        <v>0</v>
      </c>
      <c r="L69" s="44" t="n">
        <v>0</v>
      </c>
      <c r="M69" s="44" t="n">
        <f aca="false">VLOOKUP($B69,'[3]Delta Monthly'!$A$1:$AW$55,16,FALSE())</f>
        <v>0</v>
      </c>
      <c r="N69" s="44" t="n">
        <f aca="false">VLOOKUP($B69,'[3]Delta Monthly'!$A$1:$AW$55,18,FALSE())</f>
        <v>0</v>
      </c>
      <c r="O69" s="44" t="n">
        <f aca="false">VLOOKUP($B69,'[3]Delta Monthly'!$A$1:$AW$55,20,FALSE())</f>
        <v>0</v>
      </c>
      <c r="P69" s="44" t="n">
        <f aca="false">VLOOKUP($B69,'[3]Delta Monthly'!$A$1:$AW$55,22,FALSE())</f>
        <v>0</v>
      </c>
      <c r="Q69" s="44" t="n">
        <f aca="false">VLOOKUP($B69,'[3]Delta Monthly'!$A$1:$AW$55,24,FALSE())</f>
        <v>0</v>
      </c>
      <c r="R69" s="65" t="n">
        <f aca="false">SUM(G69:Q69)</f>
        <v>0</v>
      </c>
      <c r="S69" s="44" t="n">
        <f aca="false">VLOOKUP($B69,'[3]Delta Monthly'!$A$1:$AW$55,26,FALSE())+VLOOKUP($B69,'[3]Delta Monthly'!$A$1:$AW$55,28,FALSE())</f>
        <v>0</v>
      </c>
      <c r="T69" s="44" t="n">
        <f aca="false">VLOOKUP($B69,'[3]Delta Monthly'!$A$1:$AW$55,30,FALSE())+VLOOKUP($B69,'[3]Delta Monthly'!$A$1:$AW$55,32,FALSE())</f>
        <v>0</v>
      </c>
      <c r="U69" s="44" t="n">
        <f aca="false">VLOOKUP($B69,'[3]Delta Monthly'!$A$1:$AW$55,34,FALSE())</f>
        <v>0</v>
      </c>
      <c r="V69" s="44" t="n">
        <f aca="false">VLOOKUP($B69,'[3]Delta Monthly'!$A$1:$AW$55,36,FALSE())</f>
        <v>0</v>
      </c>
      <c r="W69" s="44" t="n">
        <f aca="false">VLOOKUP($B69,'[3]Delta Monthly'!$A$1:$AW$55,38,FALSE())+VLOOKUP($B69,'[3]Delta Monthly'!$A$1:$AW$55,40,FALSE())</f>
        <v>0</v>
      </c>
      <c r="X69" s="44" t="n">
        <f aca="false">VLOOKUP($B69,'[3]Delta Monthly'!$A$1:$AW$55,42,FALSE())</f>
        <v>0</v>
      </c>
      <c r="Y69" s="44" t="n">
        <f aca="false">VLOOKUP($B69,'[3]Delta Monthly'!$A$1:$AW$55,44,FALSE())+VLOOKUP($B69,'[3]Delta Monthly'!$A$1:$AW$55,46,FALSE())+VLOOKUP($B69,'[3]Delta Monthly'!$A$1:$AW$55,48,FALSE())</f>
        <v>0</v>
      </c>
      <c r="Z69" s="65" t="n">
        <f aca="false">SUM(S69:Y69)</f>
        <v>0</v>
      </c>
      <c r="AA69" s="64" t="n">
        <f aca="false">VLOOKUP($B69,'[5]Delta Yearly'!$A$1:$AD$55,4,FALSE())</f>
        <v>0</v>
      </c>
      <c r="AB69" s="43" t="n">
        <f aca="false">VLOOKUP($B69,'[5]Delta Yearly'!$A$1:$AC$55,6,FALSE())+VLOOKUP($B69,'[5]Delta Yearly'!$A$1:$AC$55,8,FALSE())+VLOOKUP($B69,'[5]Delta Yearly'!$A$1:$AC$55,10,FALSE())+VLOOKUP($B69,'[5]Delta Yearly'!$A$1:$AC$55,12,FALSE())+VLOOKUP($B69,'[5]Delta Yearly'!$A$1:$AC$55,14,FALSE())+VLOOKUP($B69,'[5]Delta Yearly'!$A$1:$AC$55,16,FALSE())+VLOOKUP($B69,'[5]Delta Yearly'!$A$1:$AC$55,18,FALSE())+VLOOKUP($B69,'[5]Delta Yearly'!$A$1:$AC$55,20,FALSE())+VLOOKUP($B69,'[5]Delta Yearly'!$A$1:$AC$55,22,FALSE())+VLOOKUP($B69,'[5]Delta Yearly'!$A$1:$AC$55,24,FALSE())+VLOOKUP($B69,'[5]Delta Yearly'!$A$1:$AC$55,26,FALSE())+VLOOKUP($B69,'[5]Delta Yearly'!$A$1:$AC$55,28,FALSE())</f>
        <v>0</v>
      </c>
      <c r="AC69" s="65" t="n">
        <f aca="false">SUM(AB69,AA69,Z69,R69)</f>
        <v>0</v>
      </c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</row>
    <row r="70" customFormat="false" ht="6.75" hidden="false" customHeight="true" outlineLevel="0" collapsed="false">
      <c r="A70" s="96"/>
      <c r="B70" s="80"/>
      <c r="C70" s="80"/>
      <c r="D70" s="65"/>
      <c r="E70" s="152"/>
      <c r="F70" s="99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108"/>
      <c r="S70" s="43"/>
      <c r="T70" s="43"/>
      <c r="U70" s="43"/>
      <c r="V70" s="43"/>
      <c r="W70" s="43"/>
      <c r="X70" s="43"/>
      <c r="Y70" s="43"/>
      <c r="Z70" s="65"/>
      <c r="AA70" s="64"/>
      <c r="AB70" s="65"/>
      <c r="AC70" s="64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</row>
    <row r="71" customFormat="false" ht="18.75" hidden="false" customHeight="false" outlineLevel="0" collapsed="false">
      <c r="A71" s="111" t="s">
        <v>134</v>
      </c>
      <c r="B71" s="130" t="s">
        <v>134</v>
      </c>
      <c r="C71" s="154" t="s">
        <v>135</v>
      </c>
      <c r="D71" s="113"/>
      <c r="E71" s="113" t="n">
        <f aca="false">(VLOOKUP(C71,[4]Sheet1!$B$1:$G$65,2,0))*-1</f>
        <v>2393195.74499811</v>
      </c>
      <c r="F71" s="118" t="n">
        <f aca="false">(VLOOKUP(C71,[4]Sheet1!$B$1:$G$65,4,0))</f>
        <v>11052.3027150701</v>
      </c>
      <c r="G71" s="116" t="n">
        <f aca="false">SUM(G63,G67,G69)</f>
        <v>0</v>
      </c>
      <c r="H71" s="116" t="n">
        <f aca="false">SUM(H63,H67,H69)</f>
        <v>0</v>
      </c>
      <c r="I71" s="116" t="n">
        <f aca="false">SUM(I63,I67,I69)</f>
        <v>0</v>
      </c>
      <c r="J71" s="116" t="n">
        <f aca="false">SUM(J63,J67,J69)</f>
        <v>0</v>
      </c>
      <c r="K71" s="116" t="n">
        <f aca="false">SUM(K63,K67,K69)</f>
        <v>0</v>
      </c>
      <c r="L71" s="116" t="n">
        <f aca="false">SUM(L63,L67,L69)</f>
        <v>0</v>
      </c>
      <c r="M71" s="116" t="n">
        <f aca="false">SUM(M63,M67,M69)</f>
        <v>0</v>
      </c>
      <c r="N71" s="116" t="n">
        <f aca="false">SUM(N63,N67,N69)</f>
        <v>0</v>
      </c>
      <c r="O71" s="116" t="n">
        <f aca="false">SUM(O63,O65,O67,O69)</f>
        <v>0</v>
      </c>
      <c r="P71" s="116" t="n">
        <f aca="false">SUM(P63,P65,P67,P69)</f>
        <v>83049.3825681625</v>
      </c>
      <c r="Q71" s="116" t="n">
        <f aca="false">SUM(Q63,Q65,Q67,Q69)</f>
        <v>-246989.883482201</v>
      </c>
      <c r="R71" s="158" t="n">
        <f aca="false">SUM(R63,R65,R67,R69)</f>
        <v>-163940.500914038</v>
      </c>
      <c r="S71" s="117" t="n">
        <f aca="false">SUM(S63,S65,S67,S69)</f>
        <v>467465.857289066</v>
      </c>
      <c r="T71" s="116" t="n">
        <f aca="false">SUM(T63,T65,T67,T69)</f>
        <v>-34061.8171599192</v>
      </c>
      <c r="U71" s="116" t="n">
        <f aca="false">SUM(U63,U65,U67,U69)</f>
        <v>-225887.948300709</v>
      </c>
      <c r="V71" s="116" t="n">
        <f aca="false">SUM(V63,V65,V67,V69)</f>
        <v>94580.6086883466</v>
      </c>
      <c r="W71" s="116" t="n">
        <f aca="false">SUM(W63,W65,W67,W69)</f>
        <v>-729397.589936037</v>
      </c>
      <c r="X71" s="116" t="n">
        <f aca="false">SUM(X63,X65,X67,X69)</f>
        <v>-187819.519760344</v>
      </c>
      <c r="Y71" s="116" t="n">
        <f aca="false">SUM(Y63,Y65,Y67,Y69)</f>
        <v>149449.179020465</v>
      </c>
      <c r="Z71" s="113" t="n">
        <f aca="false">SUM(Z63,Z65,Z67,Z69)</f>
        <v>-465671.230159132</v>
      </c>
      <c r="AA71" s="113" t="n">
        <f aca="false">SUM(AA63,AA65,AA67,AA69)</f>
        <v>483330.295287382</v>
      </c>
      <c r="AB71" s="113" t="n">
        <f aca="false">SUM(AB63,AB65,AB67,AB69)</f>
        <v>1054606.75582189</v>
      </c>
      <c r="AC71" s="118" t="n">
        <f aca="false">SUM(AC63,AC65,AC67,AC69)</f>
        <v>908325.320036101</v>
      </c>
      <c r="AD71" s="37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</row>
    <row r="72" customFormat="false" ht="18.75" hidden="false" customHeight="false" outlineLevel="0" collapsed="false">
      <c r="A72" s="62"/>
      <c r="B72" s="62"/>
      <c r="C72" s="62"/>
      <c r="D72" s="43"/>
      <c r="E72" s="43"/>
      <c r="F72" s="43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/>
      <c r="R72" s="156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37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  <c r="IW72" s="38"/>
    </row>
    <row r="73" customFormat="false" ht="18.75" hidden="false" customHeight="false" outlineLevel="0" collapsed="false">
      <c r="A73" s="119"/>
      <c r="B73" s="120"/>
      <c r="C73" s="120"/>
      <c r="D73" s="87" t="s">
        <v>26</v>
      </c>
      <c r="E73" s="55" t="n">
        <v>5000000</v>
      </c>
      <c r="F73" s="85"/>
      <c r="G73" s="55"/>
      <c r="H73" s="55"/>
      <c r="I73" s="55"/>
      <c r="J73" s="55" t="s">
        <v>136</v>
      </c>
      <c r="K73" s="55"/>
      <c r="L73" s="55"/>
      <c r="M73" s="55"/>
      <c r="N73" s="55"/>
      <c r="O73" s="55"/>
      <c r="P73" s="55"/>
      <c r="Q73" s="157"/>
      <c r="R73" s="159"/>
      <c r="S73" s="56"/>
      <c r="T73" s="55"/>
      <c r="U73" s="55"/>
      <c r="V73" s="55"/>
      <c r="W73" s="55"/>
      <c r="X73" s="55"/>
      <c r="Y73" s="55"/>
      <c r="Z73" s="87"/>
      <c r="AA73" s="85"/>
      <c r="AB73" s="87"/>
      <c r="AC73" s="85"/>
      <c r="AD73" s="37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</row>
    <row r="74" customFormat="false" ht="8.25" hidden="false" customHeight="true" outlineLevel="0" collapsed="false">
      <c r="A74" s="40"/>
      <c r="B74" s="41"/>
      <c r="C74" s="41"/>
      <c r="D74" s="90"/>
      <c r="E74" s="95"/>
      <c r="F74" s="95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0"/>
      <c r="S74" s="42"/>
      <c r="T74" s="42"/>
      <c r="U74" s="42"/>
      <c r="V74" s="42"/>
      <c r="W74" s="42"/>
      <c r="X74" s="42"/>
      <c r="Y74" s="42"/>
      <c r="Z74" s="90"/>
      <c r="AA74" s="90"/>
      <c r="AB74" s="125"/>
      <c r="AC74" s="90"/>
      <c r="AD74" s="37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</row>
    <row r="75" customFormat="false" ht="18.75" hidden="false" customHeight="true" outlineLevel="0" collapsed="false">
      <c r="A75" s="96" t="s">
        <v>137</v>
      </c>
      <c r="B75" s="62" t="s">
        <v>138</v>
      </c>
      <c r="C75" s="62" t="s">
        <v>139</v>
      </c>
      <c r="D75" s="65" t="s">
        <v>140</v>
      </c>
      <c r="E75" s="91" t="n">
        <f aca="false">(VLOOKUP(C75,[4]Sheet1!$B$1:$G$65,2,0))*-1</f>
        <v>3178062.92179312</v>
      </c>
      <c r="F75" s="91" t="n">
        <f aca="false">(VLOOKUP(C75,[4]Sheet1!$B$1:$G$65,4,0))</f>
        <v>-118936.95327595</v>
      </c>
      <c r="G75" s="44"/>
      <c r="H75" s="44"/>
      <c r="I75" s="44"/>
      <c r="J75" s="44"/>
      <c r="K75" s="44"/>
      <c r="L75" s="44"/>
      <c r="M75" s="44" t="n">
        <f aca="false">VLOOKUP($B75,'[3]Delta Monthly'!$A$1:$AW$55,16,0)</f>
        <v>0</v>
      </c>
      <c r="N75" s="44" t="n">
        <f aca="false">VLOOKUP($B75,'[3]Delta Monthly'!$A$1:$AW$55,18,0)</f>
        <v>0</v>
      </c>
      <c r="O75" s="44" t="n">
        <f aca="false">VLOOKUP($B75,'[3]Delta Monthly'!$A$1:$AW$72,20,FALSE())</f>
        <v>0</v>
      </c>
      <c r="P75" s="44" t="n">
        <f aca="false">VLOOKUP($B75,'[3]Delta Monthly'!$A$1:$AW$72,22,FALSE())</f>
        <v>-30451.8927876545</v>
      </c>
      <c r="Q75" s="44" t="n">
        <f aca="false">VLOOKUP($B75,'[3]Delta Monthly'!$A$1:$AW$72,24,FALSE())</f>
        <v>-26545.9891465057</v>
      </c>
      <c r="R75" s="65" t="n">
        <f aca="false">SUM(G75:Q75)</f>
        <v>-56997.8819341602</v>
      </c>
      <c r="S75" s="44" t="n">
        <f aca="false">VLOOKUP($B75,'[3]Delta Monthly'!$A$1:$AW$72,26,FALSE())+VLOOKUP($B75,'[3]Delta Monthly'!$A$1:$AW$72,28,FALSE())</f>
        <v>-151212.022947194</v>
      </c>
      <c r="T75" s="44" t="n">
        <f aca="false">VLOOKUP($B75,'[3]Delta Monthly'!$A$1:$AW$72,30,FALSE())+VLOOKUP($B75,'[3]Delta Monthly'!$A$1:$AW$72,32,FALSE())</f>
        <v>-245428.369425194</v>
      </c>
      <c r="U75" s="44" t="n">
        <f aca="false">VLOOKUP($B75,'[3]Delta Monthly'!$A$1:$AW$72,34,FALSE())</f>
        <v>-100849.575064478</v>
      </c>
      <c r="V75" s="44" t="n">
        <f aca="false">VLOOKUP($B75,'[3]Delta Monthly'!$A$1:$AW$72,36,FALSE())</f>
        <v>36559.2548637504</v>
      </c>
      <c r="W75" s="44" t="n">
        <f aca="false">VLOOKUP($B75,'[3]Delta Monthly'!$A$1:$AW$72,38,FALSE())+VLOOKUP($B75,'[3]Delta Monthly'!$A$1:$AW$72,40,FALSE())</f>
        <v>-332711.588738217</v>
      </c>
      <c r="X75" s="44" t="n">
        <f aca="false">VLOOKUP($B75,'[3]Delta Monthly'!$A$1:$AW$72,42,FALSE())</f>
        <v>-227690.345742601</v>
      </c>
      <c r="Y75" s="44" t="n">
        <f aca="false">VLOOKUP($B75,'[3]Delta Monthly'!$A$1:$AW$72,44,FALSE())+VLOOKUP($B75,'[3]Delta Monthly'!$A$1:$AW$72,46,FALSE())+VLOOKUP($B75,'[3]Delta Monthly'!$A$1:$AW$72,48,FALSE())</f>
        <v>-76434.2752969758</v>
      </c>
      <c r="Z75" s="65" t="n">
        <f aca="false">SUM(S75:Y75)</f>
        <v>-1097766.92235091</v>
      </c>
      <c r="AA75" s="65" t="n">
        <f aca="false">VLOOKUP($B75,'[5]Delta Yearly'!$A$1:$AD$72,4,FALSE())</f>
        <v>259803.353728095</v>
      </c>
      <c r="AB75" s="43" t="n">
        <f aca="false">VLOOKUP($B75,'[5]Delta Yearly'!$A$1:$AC$72,6,FALSE())+VLOOKUP($B75,'[5]Delta Yearly'!$A$1:$AC$72,8,FALSE())+VLOOKUP($B75,'[5]Delta Yearly'!$A$1:$AC$72,10,FALSE())+VLOOKUP($B75,'[5]Delta Yearly'!$A$1:$AC$72,12,FALSE())+VLOOKUP($B75,'[5]Delta Yearly'!$A$1:$AC$72,14,FALSE())+VLOOKUP($B75,'[5]Delta Yearly'!$A$1:$AC$72,16,FALSE())+VLOOKUP($B75,'[5]Delta Yearly'!$A$1:$AC$72,18,FALSE())+VLOOKUP($B75,'[5]Delta Yearly'!$A$1:$AC$72,20,FALSE())+VLOOKUP($B75,'[5]Delta Yearly'!$A$1:$AC$72,22,FALSE())+VLOOKUP($B75,'[5]Delta Yearly'!$A$1:$AC$72,24,FALSE())+VLOOKUP($B75,'[5]Delta Yearly'!$A$1:$AC$72,26,FALSE())+VLOOKUP($B75,'[5]Delta Yearly'!$A$1:$AC$72,28,FALSE())</f>
        <v>238506.081062161</v>
      </c>
      <c r="AC75" s="65" t="n">
        <f aca="false">SUM(AB75,AA75,Z75,R75)</f>
        <v>-656455.369494813</v>
      </c>
      <c r="AD75" s="37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9" hidden="false" customHeight="true" outlineLevel="0" collapsed="false">
      <c r="A76" s="123"/>
      <c r="B76" s="62"/>
      <c r="C76" s="62"/>
      <c r="D76" s="65"/>
      <c r="E76" s="64"/>
      <c r="F76" s="6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65"/>
      <c r="S76" s="43"/>
      <c r="T76" s="43"/>
      <c r="U76" s="43"/>
      <c r="V76" s="43"/>
      <c r="W76" s="43"/>
      <c r="X76" s="43"/>
      <c r="Y76" s="43"/>
      <c r="Z76" s="65"/>
      <c r="AA76" s="65"/>
      <c r="AB76" s="43"/>
      <c r="AC76" s="65"/>
      <c r="AD76" s="37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8" hidden="false" customHeight="false" outlineLevel="0" collapsed="false">
      <c r="A77" s="96" t="s">
        <v>141</v>
      </c>
      <c r="B77" s="62" t="s">
        <v>142</v>
      </c>
      <c r="C77" s="126" t="s">
        <v>143</v>
      </c>
      <c r="D77" s="65" t="s">
        <v>144</v>
      </c>
      <c r="E77" s="91" t="n">
        <f aca="false">(VLOOKUP(C77,[4]Sheet1!$B$1:$G$65,2,0))*-1</f>
        <v>1811922.89766781</v>
      </c>
      <c r="F77" s="91" t="n">
        <f aca="false">(VLOOKUP(C77,[4]Sheet1!$B$1:$G$65,4,0))</f>
        <v>509663.39768042</v>
      </c>
      <c r="G77" s="44" t="n">
        <f aca="false">VLOOKUP($B77,'[3]Delta Monthly'!$A$1:$AW$55,4,1)</f>
        <v>0</v>
      </c>
      <c r="H77" s="44" t="n">
        <f aca="false">VLOOKUP($B77,'[3]Delta Monthly'!$A$1:$AW$55,6,1)</f>
        <v>0</v>
      </c>
      <c r="I77" s="44" t="n">
        <f aca="false">VLOOKUP($B77,'[3]Delta Monthly'!$A$1:$AW$55,8,1)</f>
        <v>0</v>
      </c>
      <c r="J77" s="44" t="n">
        <f aca="false">VLOOKUP($B77,'[3]Delta Monthly'!$A$1:$AW$55,10,0)</f>
        <v>0</v>
      </c>
      <c r="K77" s="44" t="n">
        <f aca="false">VLOOKUP($B77,'[3]Delta Monthly'!$A$1:$AW$55,12,0)</f>
        <v>0</v>
      </c>
      <c r="L77" s="44" t="n">
        <f aca="false">VLOOKUP($B77,'[3]Delta Monthly'!$A$1:$AW$55,14,0)</f>
        <v>0</v>
      </c>
      <c r="M77" s="44" t="n">
        <f aca="false">VLOOKUP($B77,'[3]Delta Monthly'!$A$1:$AW$55,16,0)</f>
        <v>0</v>
      </c>
      <c r="N77" s="44" t="n">
        <f aca="false">VLOOKUP($B77,'[3]Delta Monthly'!$A$1:$AW$55,18,0)</f>
        <v>0</v>
      </c>
      <c r="O77" s="44" t="n">
        <f aca="false">VLOOKUP($B77,'[3]Delta Monthly'!$A$1:$AW$72,20,FALSE())</f>
        <v>0</v>
      </c>
      <c r="P77" s="44" t="n">
        <f aca="false">VLOOKUP($B77,'[3]Delta Monthly'!$A$1:$AW$72,22,FALSE())</f>
        <v>0</v>
      </c>
      <c r="Q77" s="44" t="n">
        <f aca="false">VLOOKUP($B77,'[3]Delta Monthly'!$A$1:$AW$72,24,FALSE())</f>
        <v>0</v>
      </c>
      <c r="R77" s="65" t="n">
        <f aca="false">SUM(G77:Q77)</f>
        <v>0</v>
      </c>
      <c r="S77" s="44" t="n">
        <f aca="false">VLOOKUP($B77,'[3]Delta Monthly'!$A$1:$AW$72,26,FALSE())+VLOOKUP($B77,'[3]Delta Monthly'!$A$1:$AW$72,28,FALSE())</f>
        <v>200342.510266741</v>
      </c>
      <c r="T77" s="44" t="n">
        <f aca="false">VLOOKUP($B77,'[3]Delta Monthly'!$A$1:$AW$72,30,FALSE())+VLOOKUP($B77,'[3]Delta Monthly'!$A$1:$AW$72,32,FALSE())</f>
        <v>-170309.085799595</v>
      </c>
      <c r="U77" s="44" t="n">
        <f aca="false">VLOOKUP($B77,'[3]Delta Monthly'!$A$1:$AW$72,34,FALSE())</f>
        <v>-424110.876026973</v>
      </c>
      <c r="V77" s="44" t="n">
        <f aca="false">VLOOKUP($B77,'[3]Delta Monthly'!$A$1:$AW$72,36,FALSE())</f>
        <v>15763.4347813913</v>
      </c>
      <c r="W77" s="44" t="n">
        <f aca="false">VLOOKUP($B77,'[3]Delta Monthly'!$A$1:$AW$72,38,FALSE())+VLOOKUP($B77,'[3]Delta Monthly'!$A$1:$AW$72,40,FALSE())</f>
        <v>-34559.5945034241</v>
      </c>
      <c r="X77" s="44" t="n">
        <f aca="false">VLOOKUP($B77,'[3]Delta Monthly'!$A$1:$AW$72,42,FALSE())</f>
        <v>-359987.412873992</v>
      </c>
      <c r="Y77" s="44" t="n">
        <f aca="false">VLOOKUP($B77,'[3]Delta Monthly'!$A$1:$AW$72,44,FALSE())+VLOOKUP($B77,'[3]Delta Monthly'!$A$1:$AW$72,46,FALSE())+VLOOKUP($B77,'[3]Delta Monthly'!$A$1:$AW$72,48,FALSE())</f>
        <v>-448347.537061394</v>
      </c>
      <c r="Z77" s="65" t="n">
        <f aca="false">SUM(S77:Y77)</f>
        <v>-1221208.56121724</v>
      </c>
      <c r="AA77" s="65" t="n">
        <f aca="false">VLOOKUP($B77,'[5]Delta Yearly'!$A$1:$AD$72,4,FALSE())</f>
        <v>421558.976738866</v>
      </c>
      <c r="AB77" s="43" t="n">
        <f aca="false">VLOOKUP($B77,'[5]Delta Yearly'!$A$1:$AC$72,6,FALSE())+VLOOKUP($B77,'[5]Delta Yearly'!$A$1:$AC$72,8,FALSE())+VLOOKUP($B77,'[5]Delta Yearly'!$A$1:$AC$72,10,FALSE())+VLOOKUP($B77,'[5]Delta Yearly'!$A$1:$AC$72,12,FALSE())+VLOOKUP($B77,'[5]Delta Yearly'!$A$1:$AC$72,14,FALSE())+VLOOKUP($B77,'[5]Delta Yearly'!$A$1:$AC$72,16,FALSE())+VLOOKUP($B77,'[5]Delta Yearly'!$A$1:$AC$72,18,FALSE())+VLOOKUP($B77,'[5]Delta Yearly'!$A$1:$AC$72,20,FALSE())+VLOOKUP($B77,'[5]Delta Yearly'!$A$1:$AC$72,22,FALSE())+VLOOKUP($B77,'[5]Delta Yearly'!$A$1:$AC$72,24,FALSE())+VLOOKUP($B77,'[5]Delta Yearly'!$A$1:$AC$72,26,FALSE())+VLOOKUP($B77,'[5]Delta Yearly'!$A$1:$AC$72,28,FALSE())</f>
        <v>-730179.393691655</v>
      </c>
      <c r="AC77" s="65" t="n">
        <f aca="false">SUM(AB77,AA77,Z77,R77)</f>
        <v>-1529828.97817003</v>
      </c>
      <c r="AD77" s="37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9" hidden="false" customHeight="true" outlineLevel="0" collapsed="false">
      <c r="A78" s="96"/>
      <c r="B78" s="80"/>
      <c r="C78" s="80"/>
      <c r="D78" s="65"/>
      <c r="E78" s="99"/>
      <c r="F78" s="99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65"/>
      <c r="S78" s="43"/>
      <c r="T78" s="43"/>
      <c r="U78" s="43"/>
      <c r="V78" s="43"/>
      <c r="W78" s="43"/>
      <c r="X78" s="43"/>
      <c r="Y78" s="43"/>
      <c r="Z78" s="65"/>
      <c r="AA78" s="65"/>
      <c r="AB78" s="124"/>
      <c r="AC78" s="65"/>
      <c r="AD78" s="37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  <row r="79" customFormat="false" ht="18" hidden="false" customHeight="false" outlineLevel="0" collapsed="false">
      <c r="A79" s="96" t="s">
        <v>145</v>
      </c>
      <c r="B79" s="62" t="s">
        <v>146</v>
      </c>
      <c r="C79" s="126" t="s">
        <v>147</v>
      </c>
      <c r="D79" s="65" t="s">
        <v>148</v>
      </c>
      <c r="E79" s="91" t="n">
        <f aca="false">(VLOOKUP(C79,[4]Sheet1!$B$1:$G$65,2,0))*-1</f>
        <v>136714.456817407</v>
      </c>
      <c r="F79" s="91" t="n">
        <f aca="false">(VLOOKUP(C79,[4]Sheet1!$B$1:$G$65,4,0))</f>
        <v>81392.0437003366</v>
      </c>
      <c r="G79" s="44" t="n">
        <f aca="false">VLOOKUP($B79,'[3]Delta Monthly'!$A$1:$AW$55,4,1)</f>
        <v>0</v>
      </c>
      <c r="H79" s="44" t="n">
        <f aca="false">VLOOKUP($B79,'[3]Delta Monthly'!$A$1:$AW$55,6,1)</f>
        <v>0</v>
      </c>
      <c r="I79" s="44" t="n">
        <f aca="false">VLOOKUP($B79,'[3]Delta Monthly'!$A$1:$AW$55,8,1)</f>
        <v>0</v>
      </c>
      <c r="J79" s="44" t="n">
        <f aca="false">VLOOKUP($B79,'[3]Delta Monthly'!$A$1:$AW$55,10,0)</f>
        <v>0</v>
      </c>
      <c r="K79" s="44" t="n">
        <f aca="false">VLOOKUP($B79,'[3]Delta Monthly'!$A$1:$AW$55,12,0)</f>
        <v>0</v>
      </c>
      <c r="L79" s="44" t="n">
        <f aca="false">VLOOKUP($B79,'[3]Delta Monthly'!$A$1:$AW$55,14,0)</f>
        <v>0</v>
      </c>
      <c r="M79" s="44" t="n">
        <f aca="false">VLOOKUP($B79,'[3]Delta Monthly'!$A$1:$AW$55,16,0)</f>
        <v>0</v>
      </c>
      <c r="N79" s="44" t="n">
        <f aca="false">VLOOKUP($B79,'[3]Delta Monthly'!$A$1:$AW$55,18,0)</f>
        <v>0</v>
      </c>
      <c r="O79" s="44" t="n">
        <f aca="false">VLOOKUP($B79,'[3]Delta Monthly'!$A$1:$AW$72,20,FALSE())</f>
        <v>0</v>
      </c>
      <c r="P79" s="44" t="n">
        <f aca="false">VLOOKUP($B79,'[3]Delta Monthly'!$A$1:$AW$72,22,FALSE())</f>
        <v>-28747.8631966717</v>
      </c>
      <c r="Q79" s="44" t="n">
        <f aca="false">VLOOKUP($B79,'[3]Delta Monthly'!$A$1:$AW$72,24,FALSE())</f>
        <v>-63765.9157217402</v>
      </c>
      <c r="R79" s="65" t="n">
        <f aca="false">SUM(G79:Q79)</f>
        <v>-92513.7789184119</v>
      </c>
      <c r="S79" s="44" t="n">
        <f aca="false">VLOOKUP($B79,'[3]Delta Monthly'!$A$1:$AW$72,26,FALSE())+VLOOKUP($B79,'[3]Delta Monthly'!$A$1:$AW$72,28,FALSE())</f>
        <v>0</v>
      </c>
      <c r="T79" s="44" t="n">
        <f aca="false">VLOOKUP($B79,'[3]Delta Monthly'!$A$1:$AW$72,30,FALSE())+VLOOKUP($B79,'[3]Delta Monthly'!$A$1:$AW$72,32,FALSE())</f>
        <v>0</v>
      </c>
      <c r="U79" s="44" t="n">
        <f aca="false">VLOOKUP($B79,'[3]Delta Monthly'!$A$1:$AW$72,34,FALSE())</f>
        <v>0</v>
      </c>
      <c r="V79" s="44" t="n">
        <f aca="false">VLOOKUP($B79,'[3]Delta Monthly'!$A$1:$AW$72,36,FALSE())</f>
        <v>0</v>
      </c>
      <c r="W79" s="44" t="n">
        <f aca="false">VLOOKUP($B79,'[3]Delta Monthly'!$A$1:$AW$72,38,FALSE())+VLOOKUP($B79,'[3]Delta Monthly'!$A$1:$AW$72,40,FALSE())</f>
        <v>0</v>
      </c>
      <c r="X79" s="44" t="n">
        <f aca="false">VLOOKUP($B79,'[3]Delta Monthly'!$A$1:$AW$72,42,FALSE())</f>
        <v>0</v>
      </c>
      <c r="Y79" s="44" t="n">
        <f aca="false">VLOOKUP($B79,'[3]Delta Monthly'!$A$1:$AW$72,44,FALSE())+VLOOKUP($B79,'[3]Delta Monthly'!$A$1:$AW$72,46,FALSE())+VLOOKUP($B79,'[3]Delta Monthly'!$A$1:$AW$72,48,FALSE())</f>
        <v>0</v>
      </c>
      <c r="Z79" s="65" t="n">
        <f aca="false">SUM(S79:Y79)</f>
        <v>0</v>
      </c>
      <c r="AA79" s="65" t="n">
        <f aca="false">VLOOKUP($B79,'[5]Delta Yearly'!$A$1:$AD$72,4,FALSE())</f>
        <v>0</v>
      </c>
      <c r="AB79" s="43" t="n">
        <f aca="false">VLOOKUP($B79,'[5]Delta Yearly'!$A$1:$AC$72,6,FALSE())+VLOOKUP($B79,'[5]Delta Yearly'!$A$1:$AC$72,8,FALSE())+VLOOKUP($B79,'[5]Delta Yearly'!$A$1:$AC$72,10,FALSE())+VLOOKUP($B79,'[5]Delta Yearly'!$A$1:$AC$72,12,FALSE())+VLOOKUP($B79,'[5]Delta Yearly'!$A$1:$AC$72,14,FALSE())+VLOOKUP($B79,'[5]Delta Yearly'!$A$1:$AC$72,16,FALSE())+VLOOKUP($B79,'[5]Delta Yearly'!$A$1:$AC$72,18,FALSE())+VLOOKUP($B79,'[5]Delta Yearly'!$A$1:$AC$72,20,FALSE())+VLOOKUP($B79,'[5]Delta Yearly'!$A$1:$AC$72,22,FALSE())+VLOOKUP($B79,'[5]Delta Yearly'!$A$1:$AC$72,24,FALSE())+VLOOKUP($B79,'[5]Delta Yearly'!$A$1:$AC$72,26,FALSE())+VLOOKUP($B79,'[5]Delta Yearly'!$A$1:$AC$72,28,FALSE())</f>
        <v>0</v>
      </c>
      <c r="AC79" s="65" t="n">
        <f aca="false">SUM(AB79,AA79,Z79,R79)</f>
        <v>-92513.7789184119</v>
      </c>
      <c r="AD79" s="37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  <c r="IW79" s="38"/>
    </row>
    <row r="80" customFormat="false" ht="9" hidden="false" customHeight="true" outlineLevel="0" collapsed="false">
      <c r="A80" s="96"/>
      <c r="B80" s="62"/>
      <c r="C80" s="62"/>
      <c r="D80" s="65"/>
      <c r="E80" s="99"/>
      <c r="F80" s="99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92"/>
      <c r="S80" s="82"/>
      <c r="T80" s="82"/>
      <c r="U80" s="82"/>
      <c r="V80" s="82"/>
      <c r="W80" s="82"/>
      <c r="X80" s="82"/>
      <c r="Y80" s="82"/>
      <c r="Z80" s="92"/>
      <c r="AA80" s="92"/>
      <c r="AB80" s="124"/>
      <c r="AC80" s="65"/>
      <c r="AD80" s="37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</row>
    <row r="81" customFormat="false" ht="18" hidden="false" customHeight="false" outlineLevel="0" collapsed="false">
      <c r="A81" s="96" t="s">
        <v>149</v>
      </c>
      <c r="B81" s="62" t="s">
        <v>150</v>
      </c>
      <c r="C81" s="126" t="s">
        <v>151</v>
      </c>
      <c r="D81" s="65" t="s">
        <v>152</v>
      </c>
      <c r="E81" s="91" t="n">
        <f aca="false">(VLOOKUP(C81,[4]Sheet1!$B$1:$G$65,2,0))*-1</f>
        <v>438847.862315768</v>
      </c>
      <c r="F81" s="91" t="n">
        <f aca="false">(VLOOKUP(C81,[4]Sheet1!$B$1:$G$65,4,0))</f>
        <v>-246061.61378267</v>
      </c>
      <c r="G81" s="44" t="n">
        <f aca="false">VLOOKUP($B81,'[3]Delta Monthly'!$A$1:$AW$55,4,1)</f>
        <v>0</v>
      </c>
      <c r="H81" s="44" t="n">
        <f aca="false">VLOOKUP($B81,'[3]Delta Monthly'!$A$1:$AW$55,6,1)</f>
        <v>0</v>
      </c>
      <c r="I81" s="44" t="n">
        <f aca="false">VLOOKUP($B81,'[3]Delta Monthly'!$A$1:$AW$55,8,1)</f>
        <v>0</v>
      </c>
      <c r="J81" s="44" t="n">
        <f aca="false">VLOOKUP($B81,'[3]Delta Monthly'!$A$1:$AW$55,10,0)</f>
        <v>0</v>
      </c>
      <c r="K81" s="44" t="n">
        <f aca="false">VLOOKUP($B81,'[3]Delta Monthly'!$A$1:$AW$55,12,0)</f>
        <v>0</v>
      </c>
      <c r="L81" s="44" t="n">
        <f aca="false">VLOOKUP($B81,'[3]Delta Monthly'!$A$1:$AW$55,14,0)</f>
        <v>0</v>
      </c>
      <c r="M81" s="44" t="n">
        <f aca="false">VLOOKUP($B81,'[3]Delta Monthly'!$A$1:$AW$55,16,0)</f>
        <v>0</v>
      </c>
      <c r="N81" s="44" t="n">
        <f aca="false">VLOOKUP($B81,'[3]Delta Monthly'!$A$1:$AW$55,18,0)</f>
        <v>0</v>
      </c>
      <c r="O81" s="44" t="n">
        <f aca="false">VLOOKUP($B81,'[3]Delta Monthly'!$A$1:$AW$72,20,FALSE())</f>
        <v>0</v>
      </c>
      <c r="P81" s="44" t="n">
        <f aca="false">VLOOKUP($B81,'[3]Delta Monthly'!$A$1:$AW$72,22,FALSE())</f>
        <v>-5589.86228824172</v>
      </c>
      <c r="Q81" s="44" t="n">
        <f aca="false">VLOOKUP($B81,'[3]Delta Monthly'!$A$1:$AW$72,24,FALSE())</f>
        <v>-63765.9157217403</v>
      </c>
      <c r="R81" s="65" t="n">
        <f aca="false">SUM(G81:Q81)</f>
        <v>-69355.778009982</v>
      </c>
      <c r="S81" s="44" t="n">
        <f aca="false">VLOOKUP($B81,'[3]Delta Monthly'!$A$1:$AW$72,26,FALSE())+VLOOKUP($B81,'[3]Delta Monthly'!$A$1:$AW$72,28,FALSE())</f>
        <v>33390.4183777904</v>
      </c>
      <c r="T81" s="44" t="n">
        <f aca="false">VLOOKUP($B81,'[3]Delta Monthly'!$A$1:$AW$72,30,FALSE())+VLOOKUP($B81,'[3]Delta Monthly'!$A$1:$AW$72,32,FALSE())</f>
        <v>0</v>
      </c>
      <c r="U81" s="44" t="n">
        <f aca="false">VLOOKUP($B81,'[3]Delta Monthly'!$A$1:$AW$72,34,FALSE())</f>
        <v>0</v>
      </c>
      <c r="V81" s="44" t="n">
        <f aca="false">VLOOKUP($B81,'[3]Delta Monthly'!$A$1:$AW$72,36,FALSE())</f>
        <v>0</v>
      </c>
      <c r="W81" s="44" t="n">
        <f aca="false">VLOOKUP($B81,'[3]Delta Monthly'!$A$1:$AW$72,38,FALSE())+VLOOKUP($B81,'[3]Delta Monthly'!$A$1:$AW$72,40,FALSE())</f>
        <v>0</v>
      </c>
      <c r="X81" s="44" t="n">
        <f aca="false">VLOOKUP($B81,'[3]Delta Monthly'!$A$1:$AW$72,42,FALSE())</f>
        <v>0</v>
      </c>
      <c r="Y81" s="44" t="n">
        <f aca="false">VLOOKUP($B81,'[3]Delta Monthly'!$A$1:$AW$72,44,FALSE())+VLOOKUP($B81,'[3]Delta Monthly'!$A$1:$AW$72,46,FALSE())+VLOOKUP($B81,'[3]Delta Monthly'!$A$1:$AW$72,48,FALSE())</f>
        <v>0</v>
      </c>
      <c r="Z81" s="65" t="n">
        <f aca="false">SUM(S81:Y81)</f>
        <v>33390.4183777904</v>
      </c>
      <c r="AA81" s="65" t="n">
        <f aca="false">VLOOKUP($B81,'[5]Delta Yearly'!$A$1:$AD$72,4,FALSE())</f>
        <v>0</v>
      </c>
      <c r="AB81" s="43" t="n">
        <f aca="false">VLOOKUP($B81,'[5]Delta Yearly'!$A$1:$AC$72,6,FALSE())+VLOOKUP($B81,'[5]Delta Yearly'!$A$1:$AC$72,8,FALSE())+VLOOKUP($B81,'[5]Delta Yearly'!$A$1:$AC$72,10,FALSE())+VLOOKUP($B81,'[5]Delta Yearly'!$A$1:$AC$72,12,FALSE())+VLOOKUP($B81,'[5]Delta Yearly'!$A$1:$AC$72,14,FALSE())+VLOOKUP($B81,'[5]Delta Yearly'!$A$1:$AC$72,16,FALSE())+VLOOKUP($B81,'[5]Delta Yearly'!$A$1:$AC$72,18,FALSE())+VLOOKUP($B81,'[5]Delta Yearly'!$A$1:$AC$72,20,FALSE())+VLOOKUP($B81,'[5]Delta Yearly'!$A$1:$AC$72,22,FALSE())+VLOOKUP($B81,'[5]Delta Yearly'!$A$1:$AC$72,24,FALSE())+VLOOKUP($B81,'[5]Delta Yearly'!$A$1:$AC$72,26,FALSE())+VLOOKUP($B81,'[5]Delta Yearly'!$A$1:$AC$72,28,FALSE())</f>
        <v>0</v>
      </c>
      <c r="AC81" s="65" t="n">
        <f aca="false">SUM(AB81,AA81,Z81,R81)</f>
        <v>-35965.3596321916</v>
      </c>
      <c r="AD81" s="37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  <c r="IW81" s="38"/>
    </row>
    <row r="82" customFormat="false" ht="9" hidden="false" customHeight="true" outlineLevel="0" collapsed="false">
      <c r="A82" s="96"/>
      <c r="B82" s="62"/>
      <c r="C82" s="62"/>
      <c r="D82" s="65"/>
      <c r="E82" s="99"/>
      <c r="F82" s="99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92"/>
      <c r="S82" s="82"/>
      <c r="T82" s="82"/>
      <c r="U82" s="82"/>
      <c r="V82" s="82"/>
      <c r="W82" s="82"/>
      <c r="X82" s="82"/>
      <c r="Y82" s="82"/>
      <c r="Z82" s="92"/>
      <c r="AA82" s="92"/>
      <c r="AB82" s="124"/>
      <c r="AC82" s="65"/>
      <c r="AD82" s="37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38"/>
      <c r="IL82" s="38"/>
      <c r="IM82" s="38"/>
      <c r="IN82" s="38"/>
      <c r="IO82" s="38"/>
      <c r="IP82" s="38"/>
      <c r="IQ82" s="38"/>
      <c r="IR82" s="38"/>
      <c r="IS82" s="38"/>
      <c r="IT82" s="38"/>
      <c r="IU82" s="38"/>
      <c r="IV82" s="38"/>
      <c r="IW82" s="38"/>
    </row>
    <row r="83" customFormat="false" ht="18" hidden="false" customHeight="false" outlineLevel="0" collapsed="false">
      <c r="A83" s="96" t="s">
        <v>153</v>
      </c>
      <c r="B83" s="62" t="s">
        <v>154</v>
      </c>
      <c r="C83" s="126" t="s">
        <v>155</v>
      </c>
      <c r="D83" s="65" t="s">
        <v>156</v>
      </c>
      <c r="E83" s="91" t="n">
        <f aca="false">(VLOOKUP(C83,[4]Sheet1!$B$1:$G$65,2,0))*-1</f>
        <v>1688.64850068321</v>
      </c>
      <c r="F83" s="91" t="n">
        <f aca="false">(VLOOKUP(C83,[4]Sheet1!$B$1:$G$65,4,0))</f>
        <v>66.8114326829302</v>
      </c>
      <c r="G83" s="44" t="n">
        <f aca="false">VLOOKUP($B83,'[3]Delta Monthly'!$A$1:$AW$55,4,1)</f>
        <v>0</v>
      </c>
      <c r="H83" s="44" t="n">
        <f aca="false">VLOOKUP($B83,'[3]Delta Monthly'!$A$1:$AW$55,6,1)</f>
        <v>0</v>
      </c>
      <c r="I83" s="44" t="n">
        <f aca="false">VLOOKUP($B83,'[3]Delta Monthly'!$A$1:$AW$55,8,1)</f>
        <v>0</v>
      </c>
      <c r="J83" s="44" t="n">
        <f aca="false">VLOOKUP($B83,'[3]Delta Monthly'!$A$1:$AW$55,10,0)</f>
        <v>0</v>
      </c>
      <c r="K83" s="44" t="n">
        <f aca="false">VLOOKUP($B83,'[3]Delta Monthly'!$A$1:$AW$55,12,0)</f>
        <v>0</v>
      </c>
      <c r="L83" s="44" t="n">
        <f aca="false">VLOOKUP($B83,'[3]Delta Monthly'!$A$1:$AW$55,14,0)</f>
        <v>0</v>
      </c>
      <c r="M83" s="44" t="n">
        <f aca="false">VLOOKUP($B83,'[3]Delta Monthly'!$A$1:$AW$55,16,0)</f>
        <v>0</v>
      </c>
      <c r="N83" s="44" t="n">
        <f aca="false">VLOOKUP($B83,'[3]Delta Monthly'!$A$1:$AW$55,18,0)</f>
        <v>0</v>
      </c>
      <c r="O83" s="44" t="n">
        <f aca="false">VLOOKUP($B83,'[3]Delta Monthly'!$A$1:$AW$72,20,FALSE())</f>
        <v>0</v>
      </c>
      <c r="P83" s="44" t="n">
        <f aca="false">VLOOKUP($B83,'[3]Delta Monthly'!$A$1:$AW$72,22,FALSE())</f>
        <v>5589.8622882417</v>
      </c>
      <c r="Q83" s="44" t="n">
        <f aca="false">VLOOKUP($B83,'[3]Delta Monthly'!$A$1:$AW$72,24,FALSE())</f>
        <v>0</v>
      </c>
      <c r="R83" s="65" t="n">
        <f aca="false">SUM(G83:Q83)</f>
        <v>5589.8622882417</v>
      </c>
      <c r="S83" s="44" t="n">
        <f aca="false">VLOOKUP($B83,'[3]Delta Monthly'!$A$1:$AW$72,26,FALSE())+VLOOKUP($B83,'[3]Delta Monthly'!$A$1:$AW$72,28,FALSE())</f>
        <v>0</v>
      </c>
      <c r="T83" s="44" t="n">
        <f aca="false">VLOOKUP($B83,'[3]Delta Monthly'!$A$1:$AW$72,30,FALSE())+VLOOKUP($B83,'[3]Delta Monthly'!$A$1:$AW$72,32,FALSE())</f>
        <v>0</v>
      </c>
      <c r="U83" s="44" t="n">
        <f aca="false">VLOOKUP($B83,'[3]Delta Monthly'!$A$1:$AW$72,34,FALSE())</f>
        <v>0</v>
      </c>
      <c r="V83" s="44" t="n">
        <f aca="false">VLOOKUP($B83,'[3]Delta Monthly'!$A$1:$AW$72,36,FALSE())</f>
        <v>0</v>
      </c>
      <c r="W83" s="44" t="n">
        <f aca="false">VLOOKUP($B83,'[3]Delta Monthly'!$A$1:$AW$72,38,FALSE())+VLOOKUP($B83,'[3]Delta Monthly'!$A$1:$AW$72,40,FALSE())</f>
        <v>0</v>
      </c>
      <c r="X83" s="44" t="n">
        <f aca="false">VLOOKUP($B83,'[3]Delta Monthly'!$A$1:$AW$72,42,FALSE())</f>
        <v>0</v>
      </c>
      <c r="Y83" s="44" t="n">
        <f aca="false">VLOOKUP($B83,'[3]Delta Monthly'!$A$1:$AW$72,44,FALSE())+VLOOKUP($B83,'[3]Delta Monthly'!$A$1:$AW$72,46,FALSE())+VLOOKUP($B83,'[3]Delta Monthly'!$A$1:$AW$72,48,FALSE())</f>
        <v>0</v>
      </c>
      <c r="Z83" s="65" t="n">
        <f aca="false">SUM(S83:Y83)</f>
        <v>0</v>
      </c>
      <c r="AA83" s="65" t="n">
        <f aca="false">VLOOKUP($B83,'[5]Delta Yearly'!$A$1:$AD$72,4,FALSE())</f>
        <v>0</v>
      </c>
      <c r="AB83" s="43" t="n">
        <f aca="false">VLOOKUP($B83,'[5]Delta Yearly'!$A$1:$AC$72,6,FALSE())+VLOOKUP($B83,'[5]Delta Yearly'!$A$1:$AC$72,8,FALSE())+VLOOKUP($B83,'[5]Delta Yearly'!$A$1:$AC$72,10,FALSE())+VLOOKUP($B83,'[5]Delta Yearly'!$A$1:$AC$72,12,FALSE())+VLOOKUP($B83,'[5]Delta Yearly'!$A$1:$AC$72,14,FALSE())+VLOOKUP($B83,'[5]Delta Yearly'!$A$1:$AC$72,16,FALSE())+VLOOKUP($B83,'[5]Delta Yearly'!$A$1:$AC$72,18,FALSE())+VLOOKUP($B83,'[5]Delta Yearly'!$A$1:$AC$72,20,FALSE())+VLOOKUP($B83,'[5]Delta Yearly'!$A$1:$AC$72,22,FALSE())+VLOOKUP($B83,'[5]Delta Yearly'!$A$1:$AC$72,24,FALSE())+VLOOKUP($B83,'[5]Delta Yearly'!$A$1:$AC$72,26,FALSE())+VLOOKUP($B83,'[5]Delta Yearly'!$A$1:$AC$72,28,FALSE())</f>
        <v>0</v>
      </c>
      <c r="AC83" s="65" t="n">
        <f aca="false">SUM(AB83,AA83,Z83,R83)</f>
        <v>5589.8622882417</v>
      </c>
      <c r="AD83" s="37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38"/>
      <c r="IL83" s="38"/>
      <c r="IM83" s="38"/>
      <c r="IN83" s="38"/>
      <c r="IO83" s="38"/>
      <c r="IP83" s="38"/>
      <c r="IQ83" s="38"/>
      <c r="IR83" s="38"/>
      <c r="IS83" s="38"/>
      <c r="IT83" s="38"/>
      <c r="IU83" s="38"/>
      <c r="IV83" s="38"/>
      <c r="IW83" s="38"/>
    </row>
    <row r="84" customFormat="false" ht="9" hidden="false" customHeight="true" outlineLevel="0" collapsed="false">
      <c r="A84" s="96"/>
      <c r="B84" s="80"/>
      <c r="C84" s="62" t="s">
        <v>157</v>
      </c>
      <c r="D84" s="65"/>
      <c r="E84" s="99"/>
      <c r="F84" s="99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65"/>
      <c r="S84" s="43"/>
      <c r="T84" s="43"/>
      <c r="U84" s="43"/>
      <c r="V84" s="43"/>
      <c r="W84" s="43"/>
      <c r="X84" s="43"/>
      <c r="Y84" s="43"/>
      <c r="Z84" s="65"/>
      <c r="AA84" s="65"/>
      <c r="AB84" s="124"/>
      <c r="AC84" s="65"/>
      <c r="AD84" s="37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  <c r="IR84" s="38"/>
      <c r="IS84" s="38"/>
      <c r="IT84" s="38"/>
      <c r="IU84" s="38"/>
      <c r="IV84" s="38"/>
      <c r="IW84" s="38"/>
    </row>
    <row r="85" customFormat="false" ht="18" hidden="false" customHeight="false" outlineLevel="0" collapsed="false">
      <c r="A85" s="96" t="s">
        <v>158</v>
      </c>
      <c r="B85" s="62" t="s">
        <v>159</v>
      </c>
      <c r="C85" s="126" t="s">
        <v>160</v>
      </c>
      <c r="D85" s="65" t="s">
        <v>161</v>
      </c>
      <c r="E85" s="91" t="n">
        <f aca="false">(VLOOKUP(C85,[4]Sheet1!$B$1:$G$65,2,0))*-1</f>
        <v>47051.7236445571</v>
      </c>
      <c r="F85" s="91" t="n">
        <f aca="false">(VLOOKUP(C85,[4]Sheet1!$B$1:$G$65,4,0))</f>
        <v>1117.2940252565</v>
      </c>
      <c r="G85" s="44" t="n">
        <f aca="false">VLOOKUP($B85,'[3]Delta Monthly'!$A$1:$AW$55,4,1)</f>
        <v>0</v>
      </c>
      <c r="H85" s="44" t="n">
        <f aca="false">VLOOKUP($B85,'[3]Delta Monthly'!$A$1:$AW$55,6,FALSE())</f>
        <v>0</v>
      </c>
      <c r="I85" s="44" t="n">
        <f aca="false">VLOOKUP($B85,'[3]Delta Monthly'!$A$1:$AW$55,8,FALSE())</f>
        <v>0</v>
      </c>
      <c r="J85" s="44" t="n">
        <f aca="false">VLOOKUP($B85,'[3]Delta Monthly'!$A$1:$AW$55,10,FALSE())</f>
        <v>0</v>
      </c>
      <c r="K85" s="44" t="n">
        <f aca="false">VLOOKUP($B85,'[3]Delta Monthly'!$A$1:$AW$55,12,FALSE())</f>
        <v>0</v>
      </c>
      <c r="L85" s="44" t="n">
        <f aca="false">VLOOKUP($B85,'[3]Delta Monthly'!$A$1:$AW$55,14,FALSE())</f>
        <v>0</v>
      </c>
      <c r="M85" s="44" t="n">
        <f aca="false">+VLOOKUP($B85,'[3]Delta Monthly'!$A$1:$AW$55,16,FALSE())</f>
        <v>0</v>
      </c>
      <c r="N85" s="44" t="n">
        <f aca="false">VLOOKUP($B85,'[3]Delta Monthly'!$A$1:$AW$55,18,FALSE())</f>
        <v>0</v>
      </c>
      <c r="O85" s="44" t="n">
        <f aca="false">VLOOKUP($B85,'[3]Delta Monthly'!$A$1:$AW$72,20,FALSE())</f>
        <v>0</v>
      </c>
      <c r="P85" s="44" t="n">
        <f aca="false">VLOOKUP($B85,'[3]Delta Monthly'!$A$1:$AW$72,22,FALSE())</f>
        <v>4.29639338734186</v>
      </c>
      <c r="Q85" s="44" t="n">
        <f aca="false">VLOOKUP($B85,'[3]Delta Monthly'!$A$1:$AW$72,24,FALSE())</f>
        <v>-4045.55430107798</v>
      </c>
      <c r="R85" s="65" t="n">
        <f aca="false">SUM(G85:Q85)</f>
        <v>-4041.25790769064</v>
      </c>
      <c r="S85" s="44" t="n">
        <f aca="false">VLOOKUP($B85,'[3]Delta Monthly'!$A$1:$AW$72,26,FALSE())+VLOOKUP($B85,'[3]Delta Monthly'!$A$1:$AW$72,28,FALSE())</f>
        <v>48348.581196156</v>
      </c>
      <c r="T85" s="44" t="n">
        <f aca="false">VLOOKUP($B85,'[3]Delta Monthly'!$A$1:$AW$72,30,FALSE())+VLOOKUP($B85,'[3]Delta Monthly'!$A$1:$AW$72,32,FALSE())</f>
        <v>-1298.60130936945</v>
      </c>
      <c r="U85" s="44" t="n">
        <f aca="false">VLOOKUP($B85,'[3]Delta Monthly'!$A$1:$AW$72,34,FALSE())</f>
        <v>7784.12992961447</v>
      </c>
      <c r="V85" s="44" t="n">
        <f aca="false">VLOOKUP($B85,'[3]Delta Monthly'!$A$1:$AW$72,36,FALSE())</f>
        <v>-15207.3171774409</v>
      </c>
      <c r="W85" s="44" t="n">
        <f aca="false">VLOOKUP($B85,'[3]Delta Monthly'!$A$1:$AW$72,38,FALSE())+VLOOKUP($B85,'[3]Delta Monthly'!$A$1:$AW$72,40,FALSE())</f>
        <v>-44724.5095348684</v>
      </c>
      <c r="X85" s="44" t="n">
        <f aca="false">VLOOKUP($B85,'[3]Delta Monthly'!$A$1:$AW$72,42,FALSE())</f>
        <v>-6371.24363225117</v>
      </c>
      <c r="Y85" s="44" t="n">
        <f aca="false">VLOOKUP($B85,'[3]Delta Monthly'!$A$1:$AW$72,44,FALSE())+VLOOKUP($B85,'[3]Delta Monthly'!$A$1:$AW$72,46,FALSE())+VLOOKUP($B85,'[3]Delta Monthly'!$A$1:$AW$72,48,FALSE())</f>
        <v>23048.4739937674</v>
      </c>
      <c r="Z85" s="65" t="n">
        <f aca="false">SUM(S85:Y85)</f>
        <v>11579.5134656081</v>
      </c>
      <c r="AA85" s="65" t="n">
        <f aca="false">VLOOKUP($B85,'[5]Delta Yearly'!$A$1:$AD$72,4,FALSE())</f>
        <v>-45600.1474675009</v>
      </c>
      <c r="AB85" s="43" t="n">
        <f aca="false">VLOOKUP($B85,'[5]Delta Yearly'!$A$1:$AC$72,6,FALSE())+VLOOKUP($B85,'[5]Delta Yearly'!$A$1:$AC$72,8,FALSE())+VLOOKUP($B85,'[5]Delta Yearly'!$A$1:$AC$72,10,FALSE())+VLOOKUP($B85,'[5]Delta Yearly'!$A$1:$AC$72,12,FALSE())+VLOOKUP($B85,'[5]Delta Yearly'!$A$1:$AC$72,14,FALSE())+VLOOKUP($B85,'[5]Delta Yearly'!$A$1:$AC$72,16,FALSE())+VLOOKUP($B85,'[5]Delta Yearly'!$A$1:$AC$72,18,FALSE())+VLOOKUP($B85,'[5]Delta Yearly'!$A$1:$AC$72,20,FALSE())+VLOOKUP($B85,'[5]Delta Yearly'!$A$1:$AC$72,22,FALSE())+VLOOKUP($B85,'[5]Delta Yearly'!$A$1:$AC$72,24,FALSE())+VLOOKUP($B85,'[5]Delta Yearly'!$A$1:$AC$72,26,FALSE())+VLOOKUP($B85,'[5]Delta Yearly'!$A$1:$AC$72,28,FALSE())</f>
        <v>0</v>
      </c>
      <c r="AC85" s="65" t="n">
        <f aca="false">SUM(AB85,AA85,Z85,R85)</f>
        <v>-38061.8919095835</v>
      </c>
      <c r="AD85" s="37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  <c r="IU85" s="38"/>
      <c r="IV85" s="38"/>
      <c r="IW85" s="38"/>
    </row>
    <row r="86" customFormat="false" ht="9" hidden="false" customHeight="true" outlineLevel="0" collapsed="false">
      <c r="A86" s="96"/>
      <c r="B86" s="62"/>
      <c r="C86" s="62"/>
      <c r="D86" s="65"/>
      <c r="E86" s="110"/>
      <c r="F86" s="110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108"/>
      <c r="S86" s="63"/>
      <c r="T86" s="63"/>
      <c r="U86" s="63"/>
      <c r="V86" s="63"/>
      <c r="W86" s="63"/>
      <c r="X86" s="63"/>
      <c r="Y86" s="63"/>
      <c r="Z86" s="108"/>
      <c r="AA86" s="108"/>
      <c r="AB86" s="128"/>
      <c r="AC86" s="65"/>
      <c r="AD86" s="37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  <c r="IU86" s="38"/>
      <c r="IV86" s="38"/>
      <c r="IW86" s="38"/>
    </row>
    <row r="87" customFormat="false" ht="18.75" hidden="false" customHeight="false" outlineLevel="0" collapsed="false">
      <c r="A87" s="111" t="s">
        <v>162</v>
      </c>
      <c r="B87" s="112" t="s">
        <v>162</v>
      </c>
      <c r="C87" s="154" t="s">
        <v>163</v>
      </c>
      <c r="D87" s="113"/>
      <c r="E87" s="118" t="n">
        <f aca="false">(VLOOKUP(C87,[4]Sheet1!$B$1:$G$65,2,0))*-1</f>
        <v>5231246.13959606</v>
      </c>
      <c r="F87" s="118" t="n">
        <f aca="false">(VLOOKUP(C87,[4]Sheet1!$B$1:$G$65,4,0))</f>
        <v>326927.97218336</v>
      </c>
      <c r="G87" s="116" t="n">
        <f aca="false">SUM(G77,G79)</f>
        <v>0</v>
      </c>
      <c r="H87" s="116" t="n">
        <f aca="false">SUM(H77,H79)</f>
        <v>0</v>
      </c>
      <c r="I87" s="116" t="n">
        <f aca="false">SUM(I77,I79)</f>
        <v>0</v>
      </c>
      <c r="J87" s="116" t="n">
        <f aca="false">SUM(J77:J83)</f>
        <v>0</v>
      </c>
      <c r="K87" s="116" t="n">
        <f aca="false">SUM(K77,K79,K81,K83,K85)</f>
        <v>0</v>
      </c>
      <c r="L87" s="116" t="n">
        <f aca="false">SUM(L77,L79,L81,L83,L85)</f>
        <v>0</v>
      </c>
      <c r="M87" s="116" t="n">
        <f aca="false">SUM(M77,M79,M81,M83,M85,M75)</f>
        <v>0</v>
      </c>
      <c r="N87" s="116" t="n">
        <f aca="false">SUM(N77,N79,N81,N83,N85,N75)</f>
        <v>0</v>
      </c>
      <c r="O87" s="116" t="n">
        <f aca="false">SUM(O77,O79,O81,O83,O85,O75)</f>
        <v>0</v>
      </c>
      <c r="P87" s="116" t="n">
        <f aca="false">SUM(P77,P79,P81,P83,P85,P75)</f>
        <v>-59195.4595909388</v>
      </c>
      <c r="Q87" s="116" t="n">
        <f aca="false">SUM(Q77,Q79,Q81,Q83,Q85,Q75)</f>
        <v>-158123.374891064</v>
      </c>
      <c r="R87" s="113" t="n">
        <f aca="false">SUM(R77,R79,R81,R83,R85,R75)</f>
        <v>-217318.834482003</v>
      </c>
      <c r="S87" s="116" t="n">
        <f aca="false">SUM(S77,S79,S81,S83,S85,S75)</f>
        <v>130869.486893494</v>
      </c>
      <c r="T87" s="116" t="n">
        <f aca="false">SUM(T77,T79,T81,T83,T85,T75)</f>
        <v>-417036.056534158</v>
      </c>
      <c r="U87" s="116" t="n">
        <f aca="false">SUM(U77,U79,U81,U83,U85,U75)</f>
        <v>-517176.321161836</v>
      </c>
      <c r="V87" s="116" t="n">
        <f aca="false">SUM(V77,V79,V81,V83,V85,V75)</f>
        <v>37115.3724677008</v>
      </c>
      <c r="W87" s="116" t="n">
        <f aca="false">SUM(W77,W79,W81,W83,W85,W75)</f>
        <v>-411995.69277651</v>
      </c>
      <c r="X87" s="116" t="n">
        <f aca="false">SUM(X77,X79,X81,X83,X85,X75)</f>
        <v>-594049.002248844</v>
      </c>
      <c r="Y87" s="116" t="n">
        <f aca="false">SUM(Y77,Y79,Y81,Y83,Y85,Y75)</f>
        <v>-501733.338364602</v>
      </c>
      <c r="Z87" s="113" t="n">
        <f aca="false">SUM(Z77,Z79,Z81,Z83,Z85,Z75)</f>
        <v>-2274005.55172476</v>
      </c>
      <c r="AA87" s="155" t="n">
        <f aca="false">SUM(AA77,AA79,AA81,AA83,AA85,AA75)</f>
        <v>635762.182999461</v>
      </c>
      <c r="AB87" s="131" t="n">
        <f aca="false">SUM(AB77,AB79,AB81,AB83,AB85,AB75)</f>
        <v>-491673.312629494</v>
      </c>
      <c r="AC87" s="113" t="n">
        <f aca="false">SUM(AC77,AC79,AC81,AC83,AC85,AC75)</f>
        <v>-2347235.51583679</v>
      </c>
      <c r="AD87" s="44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</row>
    <row r="88" customFormat="false" ht="18" hidden="false" customHeight="false" outlineLevel="0" collapsed="false">
      <c r="A88" s="160"/>
      <c r="B88" s="160"/>
      <c r="C88" s="160"/>
      <c r="D88" s="161"/>
      <c r="E88" s="160"/>
      <c r="F88" s="160"/>
      <c r="AD88" s="37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  <c r="IW88" s="38"/>
    </row>
    <row r="89" customFormat="false" ht="18" hidden="false" customHeight="false" outlineLevel="0" collapsed="false">
      <c r="A89" s="160"/>
      <c r="B89" s="160"/>
      <c r="C89" s="160"/>
      <c r="D89" s="161"/>
      <c r="E89" s="160"/>
      <c r="F89" s="160"/>
    </row>
    <row r="90" customFormat="false" ht="18" hidden="false" customHeight="false" outlineLevel="0" collapsed="false">
      <c r="A90" s="160"/>
      <c r="B90" s="160"/>
      <c r="C90" s="160"/>
      <c r="D90" s="161"/>
      <c r="E90" s="160"/>
      <c r="F90" s="160"/>
    </row>
    <row r="91" customFormat="false" ht="18.75" hidden="false" customHeight="false" outlineLevel="0" collapsed="false">
      <c r="A91" s="160"/>
      <c r="B91" s="160"/>
      <c r="C91" s="160"/>
      <c r="D91" s="161"/>
      <c r="E91" s="160"/>
      <c r="F91" s="160"/>
    </row>
    <row r="92" customFormat="false" ht="18" hidden="false" customHeight="false" outlineLevel="0" collapsed="false">
      <c r="A92" s="8" t="s">
        <v>0</v>
      </c>
      <c r="B92" s="9"/>
      <c r="C92" s="9"/>
      <c r="D92" s="10" t="s">
        <v>1</v>
      </c>
      <c r="E92" s="9"/>
      <c r="F92" s="9" t="s">
        <v>2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4"/>
      <c r="S92" s="14"/>
      <c r="T92" s="12"/>
      <c r="U92" s="12"/>
      <c r="V92" s="12"/>
      <c r="W92" s="12"/>
      <c r="X92" s="12"/>
      <c r="Y92" s="12"/>
      <c r="Z92" s="13"/>
      <c r="AA92" s="16"/>
      <c r="AB92" s="13"/>
      <c r="AC92" s="16"/>
    </row>
    <row r="93" customFormat="false" ht="18.75" hidden="false" customHeight="false" outlineLevel="0" collapsed="false">
      <c r="A93" s="17" t="s">
        <v>3</v>
      </c>
      <c r="B93" s="18"/>
      <c r="C93" s="18"/>
      <c r="D93" s="19" t="s">
        <v>3</v>
      </c>
      <c r="E93" s="18" t="s">
        <v>4</v>
      </c>
      <c r="F93" s="18" t="s">
        <v>4</v>
      </c>
      <c r="G93" s="21" t="s">
        <v>5</v>
      </c>
      <c r="H93" s="21" t="s">
        <v>6</v>
      </c>
      <c r="I93" s="21" t="s">
        <v>7</v>
      </c>
      <c r="J93" s="21" t="s">
        <v>8</v>
      </c>
      <c r="K93" s="21" t="s">
        <v>9</v>
      </c>
      <c r="L93" s="21" t="s">
        <v>10</v>
      </c>
      <c r="M93" s="21" t="s">
        <v>11</v>
      </c>
      <c r="N93" s="21" t="s">
        <v>12</v>
      </c>
      <c r="O93" s="21" t="s">
        <v>13</v>
      </c>
      <c r="P93" s="21" t="s">
        <v>14</v>
      </c>
      <c r="Q93" s="21" t="s">
        <v>15</v>
      </c>
      <c r="R93" s="23" t="s">
        <v>16</v>
      </c>
      <c r="S93" s="23" t="s">
        <v>17</v>
      </c>
      <c r="T93" s="21" t="s">
        <v>18</v>
      </c>
      <c r="U93" s="21" t="s">
        <v>19</v>
      </c>
      <c r="V93" s="21" t="s">
        <v>20</v>
      </c>
      <c r="W93" s="21" t="s">
        <v>21</v>
      </c>
      <c r="X93" s="21" t="s">
        <v>22</v>
      </c>
      <c r="Y93" s="21" t="s">
        <v>23</v>
      </c>
      <c r="Z93" s="24" t="n">
        <v>2002</v>
      </c>
      <c r="AA93" s="25" t="n">
        <v>2003</v>
      </c>
      <c r="AB93" s="22" t="s">
        <v>164</v>
      </c>
      <c r="AC93" s="26" t="s">
        <v>25</v>
      </c>
    </row>
    <row r="94" customFormat="false" ht="18.75" hidden="false" customHeight="false" outlineLevel="0" collapsed="false">
      <c r="A94" s="162"/>
      <c r="B94" s="160"/>
      <c r="C94" s="160"/>
      <c r="D94" s="161"/>
      <c r="E94" s="160"/>
      <c r="F94" s="160"/>
      <c r="AF94" s="163" t="s">
        <v>165</v>
      </c>
      <c r="AG94" s="163"/>
      <c r="AH94" s="163"/>
      <c r="AI94" s="163"/>
      <c r="AJ94" s="163"/>
    </row>
    <row r="95" customFormat="false" ht="18.75" hidden="false" customHeight="false" outlineLevel="0" collapsed="false">
      <c r="A95" s="160"/>
      <c r="B95" s="160"/>
      <c r="C95" s="160"/>
      <c r="D95" s="161"/>
      <c r="E95" s="160"/>
      <c r="F95" s="160"/>
      <c r="AF95" s="1" t="s">
        <v>166</v>
      </c>
    </row>
    <row r="96" customFormat="false" ht="38.25" hidden="false" customHeight="true" outlineLevel="0" collapsed="false">
      <c r="A96" s="164"/>
      <c r="B96" s="165"/>
      <c r="C96" s="165"/>
      <c r="D96" s="166" t="s">
        <v>167</v>
      </c>
      <c r="E96" s="167"/>
      <c r="F96" s="167"/>
      <c r="G96" s="120"/>
      <c r="H96" s="120"/>
      <c r="I96" s="120"/>
      <c r="J96" s="120" t="s">
        <v>168</v>
      </c>
      <c r="K96" s="120"/>
      <c r="L96" s="120"/>
      <c r="M96" s="120"/>
      <c r="N96" s="120"/>
      <c r="O96" s="120"/>
      <c r="P96" s="120"/>
      <c r="Q96" s="120"/>
      <c r="R96" s="168"/>
      <c r="S96" s="119"/>
      <c r="T96" s="120"/>
      <c r="U96" s="120"/>
      <c r="V96" s="120"/>
      <c r="W96" s="120"/>
      <c r="X96" s="120"/>
      <c r="Y96" s="120"/>
      <c r="Z96" s="169"/>
      <c r="AA96" s="170"/>
      <c r="AB96" s="168"/>
      <c r="AC96" s="171"/>
      <c r="AF96" s="172" t="s">
        <v>169</v>
      </c>
      <c r="AG96" s="173" t="s">
        <v>170</v>
      </c>
      <c r="AH96" s="173" t="s">
        <v>171</v>
      </c>
      <c r="AI96" s="173" t="s">
        <v>172</v>
      </c>
      <c r="AJ96" s="173" t="s">
        <v>173</v>
      </c>
      <c r="AK96" s="174"/>
      <c r="AL96" s="174"/>
    </row>
    <row r="97" customFormat="false" ht="15" hidden="false" customHeight="true" outlineLevel="0" collapsed="false">
      <c r="A97" s="175"/>
      <c r="B97" s="176"/>
      <c r="C97" s="176"/>
      <c r="D97" s="177"/>
      <c r="E97" s="178"/>
      <c r="F97" s="178"/>
      <c r="G97" s="62"/>
      <c r="H97" s="62"/>
      <c r="I97" s="62"/>
      <c r="J97" s="41"/>
      <c r="K97" s="41"/>
      <c r="L97" s="41"/>
      <c r="M97" s="41"/>
      <c r="N97" s="41"/>
      <c r="O97" s="41"/>
      <c r="P97" s="41"/>
      <c r="Q97" s="41"/>
      <c r="R97" s="179"/>
      <c r="S97" s="180"/>
      <c r="T97" s="180"/>
      <c r="U97" s="180"/>
      <c r="V97" s="180"/>
      <c r="W97" s="180"/>
      <c r="X97" s="180"/>
      <c r="Y97" s="180"/>
      <c r="Z97" s="179"/>
      <c r="AA97" s="179"/>
      <c r="AB97" s="179"/>
      <c r="AC97" s="179"/>
      <c r="AF97" s="181"/>
      <c r="AG97" s="181"/>
      <c r="AH97" s="182"/>
      <c r="AI97" s="183"/>
      <c r="AJ97" s="182"/>
      <c r="AK97" s="174"/>
      <c r="AL97" s="174"/>
    </row>
    <row r="98" customFormat="false" ht="19.5" hidden="true" customHeight="true" outlineLevel="0" collapsed="false">
      <c r="A98" s="184" t="s">
        <v>174</v>
      </c>
      <c r="B98" s="185"/>
      <c r="C98" s="185"/>
      <c r="D98" s="186" t="s">
        <v>175</v>
      </c>
      <c r="E98" s="187"/>
      <c r="F98" s="187"/>
      <c r="G98" s="188"/>
      <c r="H98" s="147"/>
      <c r="I98" s="147"/>
      <c r="J98" s="147"/>
      <c r="K98" s="147"/>
      <c r="L98" s="147"/>
      <c r="M98" s="147" t="n">
        <f aca="false">'[2]sprdoptgas positions'!D7</f>
        <v>0</v>
      </c>
      <c r="N98" s="147" t="n">
        <v>0</v>
      </c>
      <c r="O98" s="147" t="n">
        <f aca="false">'[2]sprdoptgas positions'!E8</f>
        <v>0</v>
      </c>
      <c r="P98" s="147" t="n">
        <f aca="false">'[2]sprdoptgas positions'!F8</f>
        <v>0</v>
      </c>
      <c r="Q98" s="147" t="n">
        <f aca="false">'[2]sprdoptgas positions'!G8</f>
        <v>0</v>
      </c>
      <c r="R98" s="144" t="n">
        <f aca="false">'[2]sprdoptgas positions'!H8</f>
        <v>0</v>
      </c>
      <c r="S98" s="147" t="n">
        <f aca="false">'[2]sprdoptgas positions'!I8</f>
        <v>0</v>
      </c>
      <c r="T98" s="147" t="n">
        <f aca="false">'[2]sprdoptgas positions'!J8</f>
        <v>0</v>
      </c>
      <c r="U98" s="147" t="n">
        <f aca="false">'[2]sprdoptgas positions'!K8</f>
        <v>0</v>
      </c>
      <c r="V98" s="147" t="n">
        <f aca="false">'[2]sprdoptgas positions'!L8</f>
        <v>0</v>
      </c>
      <c r="W98" s="147" t="n">
        <f aca="false">'[2]sprdoptgas positions'!M8</f>
        <v>0</v>
      </c>
      <c r="X98" s="147" t="n">
        <f aca="false">'[2]sprdoptgas positions'!N8</f>
        <v>0</v>
      </c>
      <c r="Y98" s="147" t="n">
        <f aca="false">'[2]sprdoptgas positions'!O8</f>
        <v>0</v>
      </c>
      <c r="Z98" s="145" t="n">
        <f aca="false">'[2]sprdoptgas positions'!P8</f>
        <v>0</v>
      </c>
      <c r="AA98" s="145" t="n">
        <f aca="false">'[2]sprdoptgas positions'!Q8</f>
        <v>0</v>
      </c>
      <c r="AB98" s="145" t="n">
        <f aca="false">'[2]sprdoptgas positions'!R8</f>
        <v>0</v>
      </c>
      <c r="AC98" s="144" t="n">
        <f aca="false">SUM(R98,Z98:AB98)</f>
        <v>0</v>
      </c>
      <c r="AF98" s="189"/>
      <c r="AG98" s="189"/>
      <c r="AH98" s="190"/>
      <c r="AI98" s="174"/>
      <c r="AJ98" s="190"/>
      <c r="AK98" s="174"/>
      <c r="AL98" s="174"/>
    </row>
    <row r="99" customFormat="false" ht="18" hidden="true" customHeight="false" outlineLevel="0" collapsed="false">
      <c r="A99" s="184" t="s">
        <v>174</v>
      </c>
      <c r="B99" s="191" t="s">
        <v>176</v>
      </c>
      <c r="C99" s="191"/>
      <c r="D99" s="186" t="s">
        <v>177</v>
      </c>
      <c r="E99" s="187"/>
      <c r="F99" s="187"/>
      <c r="G99" s="147"/>
      <c r="H99" s="147"/>
      <c r="I99" s="147"/>
      <c r="J99" s="147"/>
      <c r="K99" s="147"/>
      <c r="L99" s="147"/>
      <c r="M99" s="147" t="n">
        <f aca="false">VLOOKUP($B99,'[3]Delta Monthly'!$A$1:$AW$56,16,1)</f>
        <v>0</v>
      </c>
      <c r="N99" s="147" t="n">
        <f aca="false">VLOOKUP($B99,'[3]Delta Monthly'!$A$1:$AW$71,18,1)</f>
        <v>0</v>
      </c>
      <c r="O99" s="147" t="n">
        <f aca="false">VLOOKUP($B99,'[3]Delta Monthly'!$A$1:$AW$71,20,FALSE())</f>
        <v>0</v>
      </c>
      <c r="P99" s="147" t="n">
        <f aca="false">VLOOKUP($B99,'[3]Delta Monthly'!$A$1:$AW$71,22,FALSE())</f>
        <v>-1347500</v>
      </c>
      <c r="Q99" s="147" t="n">
        <f aca="false">VLOOKUP($B99,'[3]Delta Monthly'!$A$1:$AW$71,24,FALSE())</f>
        <v>-2996387.593</v>
      </c>
      <c r="R99" s="144" t="n">
        <f aca="false">SUM(G99:Q99)</f>
        <v>-4343887.593</v>
      </c>
      <c r="S99" s="147" t="n">
        <f aca="false">VLOOKUP($B99,'[3]Delta Monthly'!$A$1:$AW$71,26,FALSE())+VLOOKUP($B99,'[3]Delta Monthly'!$A$1:$AW$71,28,FALSE())</f>
        <v>-2841743.2308</v>
      </c>
      <c r="T99" s="147" t="n">
        <f aca="false">VLOOKUP($B99,'[3]Delta Monthly'!$A$1:$AW$71,30,FALSE())+VLOOKUP($B99,'[3]Delta Monthly'!$A$1:$AW$71,32,FALSE())</f>
        <v>-1007331.4234</v>
      </c>
      <c r="U99" s="147" t="n">
        <f aca="false">VLOOKUP($B99,'[3]Delta Monthly'!$A$1:$AW$71,34,FALSE())</f>
        <v>-919408.6678</v>
      </c>
      <c r="V99" s="147" t="n">
        <f aca="false">VLOOKUP($B99,'[3]Delta Monthly'!$A$1:$AW$71,36,FALSE())</f>
        <v>-816292.9198</v>
      </c>
      <c r="W99" s="147" t="n">
        <f aca="false">VLOOKUP($B99,'[3]Delta Monthly'!$A$1:$AW$71,38,FALSE())+VLOOKUP($B99,'[3]Delta Monthly'!$A$1:$AW$71,40,FALSE())</f>
        <v>-1829553.7221</v>
      </c>
      <c r="X99" s="147" t="n">
        <f aca="false">VLOOKUP($B99,'[3]Delta Monthly'!$A$1:$AW$71,42,FALSE())</f>
        <v>-2775175.5034</v>
      </c>
      <c r="Y99" s="147" t="n">
        <f aca="false">VLOOKUP($B99,'[3]Delta Monthly'!$A$1:$AW$71,44,FALSE())+VLOOKUP($B99,'[3]Delta Monthly'!$A$1:$AW$71,46,FALSE())+VLOOKUP($B99,'[3]Delta Monthly'!$A$1:$AW$71,48,FALSE())</f>
        <v>630935.1224</v>
      </c>
      <c r="Z99" s="144" t="n">
        <f aca="false">SUM(S99:Y99)</f>
        <v>-9558570.3449</v>
      </c>
      <c r="AA99" s="144" t="n">
        <f aca="false">VLOOKUP($B99,'[5]Delta Yearly'!$A$1:$AD$71,4,FALSE())</f>
        <v>-9240454.1845</v>
      </c>
      <c r="AB99" s="144" t="n">
        <f aca="false">VLOOKUP($B99,'[5]Delta Yearly'!$A$1:$AC$56,6,FALSE())+VLOOKUP($B99,'[5]Delta Yearly'!$A$1:$AC$56,8,FALSE())+VLOOKUP($B99,'[5]Delta Yearly'!$A$1:$AC$56,10,FALSE())+VLOOKUP($B99,'[5]Delta Yearly'!$A$1:$AC$56,12,FALSE())+VLOOKUP($B99,'[5]Delta Yearly'!$A$1:$AC$56,14,FALSE())+VLOOKUP($B99,'[5]Delta Yearly'!$A$1:$AC$56,16,FALSE())+VLOOKUP($B99,'[5]Delta Yearly'!$A$1:$AC$56,18,FALSE())+VLOOKUP($B99,'[5]Delta Yearly'!$A$1:$AC$56,20,FALSE())+VLOOKUP($B99,'[5]Delta Yearly'!$A$1:$AC$56,22,FALSE())+VLOOKUP($B99,'[5]Delta Yearly'!$A$1:$AC$56,24,FALSE())+VLOOKUP($B99,'[5]Delta Yearly'!$A$1:$AC$56,26,FALSE())+VLOOKUP($B99,'[5]Delta Yearly'!$A$1:$AC$56,28,FALSE())</f>
        <v>0</v>
      </c>
      <c r="AC99" s="144" t="n">
        <f aca="false">SUM(AB99,AA99,Z99,R99)</f>
        <v>-23142912.1224</v>
      </c>
      <c r="AE99" s="39"/>
      <c r="AF99" s="189"/>
      <c r="AG99" s="189"/>
      <c r="AH99" s="190"/>
      <c r="AI99" s="174"/>
      <c r="AJ99" s="190"/>
      <c r="AK99" s="174"/>
      <c r="AL99" s="174"/>
    </row>
    <row r="100" customFormat="false" ht="18" hidden="false" customHeight="false" outlineLevel="0" collapsed="false">
      <c r="A100" s="192" t="s">
        <v>174</v>
      </c>
      <c r="B100" s="160" t="s">
        <v>176</v>
      </c>
      <c r="C100" s="1" t="s">
        <v>178</v>
      </c>
      <c r="D100" s="177" t="s">
        <v>36</v>
      </c>
      <c r="E100" s="91" t="n">
        <f aca="false">(VLOOKUP(C100,[4]Sheet1!$B$1:$G$65,2,0))*-1</f>
        <v>2846731.22153956</v>
      </c>
      <c r="F100" s="91" t="n">
        <f aca="false">(VLOOKUP(C100,[4]Sheet1!$B$1:$G$65,4,0))</f>
        <v>86818.9146430502</v>
      </c>
      <c r="G100" s="44"/>
      <c r="H100" s="44"/>
      <c r="I100" s="44"/>
      <c r="J100" s="44"/>
      <c r="K100" s="44"/>
      <c r="L100" s="44"/>
      <c r="M100" s="44"/>
      <c r="N100" s="44"/>
      <c r="O100" s="44" t="n">
        <f aca="false">SUM(O98:O99)/10000</f>
        <v>0</v>
      </c>
      <c r="P100" s="44" t="n">
        <f aca="false">SUM(P98:P99)/10000</f>
        <v>-134.75</v>
      </c>
      <c r="Q100" s="44" t="n">
        <f aca="false">SUM(Q98:Q99)/10000</f>
        <v>-299.6387593</v>
      </c>
      <c r="R100" s="65" t="n">
        <f aca="false">SUM(R98:R99)/10000</f>
        <v>-434.3887593</v>
      </c>
      <c r="S100" s="44" t="n">
        <f aca="false">SUM(S98:S99)/10000</f>
        <v>-284.17432308</v>
      </c>
      <c r="T100" s="44" t="n">
        <f aca="false">SUM(T98:T99)/10000</f>
        <v>-100.73314234</v>
      </c>
      <c r="U100" s="44" t="n">
        <f aca="false">SUM(U98:U99)/10000</f>
        <v>-91.94086678</v>
      </c>
      <c r="V100" s="44" t="n">
        <f aca="false">SUM(V98:V99)/10000</f>
        <v>-81.62929198</v>
      </c>
      <c r="W100" s="44" t="n">
        <f aca="false">SUM(W98:W99)/10000</f>
        <v>-182.95537221</v>
      </c>
      <c r="X100" s="44" t="n">
        <f aca="false">SUM(X98:X99)/10000</f>
        <v>-277.51755034</v>
      </c>
      <c r="Y100" s="44" t="n">
        <f aca="false">SUM(Y98:Y99)/10000</f>
        <v>63.09351224</v>
      </c>
      <c r="Z100" s="65" t="n">
        <f aca="false">SUM(Z98:Z99)/10000</f>
        <v>-955.85703449</v>
      </c>
      <c r="AA100" s="65" t="n">
        <f aca="false">SUM(AA98:AA99)/10000</f>
        <v>-924.04541845</v>
      </c>
      <c r="AB100" s="65" t="n">
        <f aca="false">SUM(AB98:AB99)/10000</f>
        <v>0</v>
      </c>
      <c r="AC100" s="65" t="n">
        <f aca="false">SUM(AC98:AC99)/10000</f>
        <v>-2314.29121224</v>
      </c>
      <c r="AE100" s="39"/>
      <c r="AF100" s="192" t="s">
        <v>174</v>
      </c>
      <c r="AG100" s="193" t="n">
        <f aca="false">AC99/10000</f>
        <v>-2314.29121224</v>
      </c>
      <c r="AH100" s="194" t="n">
        <f aca="false">AC98/10000</f>
        <v>0</v>
      </c>
      <c r="AI100" s="195"/>
      <c r="AJ100" s="194" t="n">
        <f aca="false">SUM(AG100:AI100)</f>
        <v>-2314.29121224</v>
      </c>
      <c r="AK100" s="4"/>
      <c r="AL100" s="4"/>
    </row>
    <row r="101" customFormat="false" ht="12" hidden="false" customHeight="true" outlineLevel="0" collapsed="false">
      <c r="A101" s="192"/>
      <c r="B101" s="176"/>
      <c r="C101" s="176"/>
      <c r="D101" s="177"/>
      <c r="E101" s="196"/>
      <c r="F101" s="196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65"/>
      <c r="S101" s="43"/>
      <c r="T101" s="43"/>
      <c r="U101" s="43"/>
      <c r="V101" s="43"/>
      <c r="W101" s="43"/>
      <c r="X101" s="43"/>
      <c r="Y101" s="43"/>
      <c r="Z101" s="65"/>
      <c r="AA101" s="65"/>
      <c r="AB101" s="92"/>
      <c r="AC101" s="65"/>
      <c r="AE101" s="39"/>
      <c r="AF101" s="192"/>
      <c r="AG101" s="193"/>
      <c r="AH101" s="194"/>
      <c r="AI101" s="195"/>
      <c r="AJ101" s="194"/>
      <c r="AK101" s="4"/>
      <c r="AL101" s="4"/>
    </row>
    <row r="102" customFormat="false" ht="19.5" hidden="false" customHeight="true" outlineLevel="0" collapsed="false">
      <c r="A102" s="192" t="s">
        <v>179</v>
      </c>
      <c r="B102" s="160" t="s">
        <v>180</v>
      </c>
      <c r="C102" s="1" t="s">
        <v>181</v>
      </c>
      <c r="D102" s="177" t="s">
        <v>65</v>
      </c>
      <c r="E102" s="91" t="n">
        <f aca="false">(VLOOKUP(C102,[4]Sheet1!$B$1:$G$65,2,0))*-1</f>
        <v>3378087.1778518</v>
      </c>
      <c r="F102" s="91" t="n">
        <f aca="false">(VLOOKUP(C102,[4]Sheet1!$B$1:$G$65,4,0))</f>
        <v>745582.81187686</v>
      </c>
      <c r="G102" s="44"/>
      <c r="H102" s="44"/>
      <c r="I102" s="44"/>
      <c r="J102" s="44"/>
      <c r="K102" s="44"/>
      <c r="L102" s="44"/>
      <c r="M102" s="44"/>
      <c r="N102" s="44"/>
      <c r="O102" s="44" t="n">
        <f aca="false">VLOOKUP($B102,'[3]Delta Monthly'!$A$1:$AW$78,20,FALSE())/10000</f>
        <v>0</v>
      </c>
      <c r="P102" s="44" t="n">
        <f aca="false">VLOOKUP($B102,'[3]Delta Monthly'!$A$1:$AW$78,22,FALSE())/10000</f>
        <v>-217.25</v>
      </c>
      <c r="Q102" s="44" t="n">
        <f aca="false">VLOOKUP($B102,'[3]Delta Monthly'!$A$1:$AW$78,24,FALSE())/10000</f>
        <v>-1130.26030481</v>
      </c>
      <c r="R102" s="65" t="n">
        <f aca="false">SUM(G102:Q102)</f>
        <v>-1347.51030481</v>
      </c>
      <c r="S102" s="44" t="n">
        <f aca="false">(VLOOKUP($B102,'[3]Delta Monthly'!$A$1:$AW$78,26,FALSE())+VLOOKUP($B102,'[3]Delta Monthly'!$A$1:$AW$78,28,FALSE()))/10000</f>
        <v>1771.68307373</v>
      </c>
      <c r="T102" s="44" t="n">
        <f aca="false">(VLOOKUP($B102,'[3]Delta Monthly'!$A$1:$AW$78,30,FALSE())+VLOOKUP($B102,'[3]Delta Monthly'!$A$1:$AW$78,32,FALSE()))/10000</f>
        <v>-1044.13426643</v>
      </c>
      <c r="U102" s="44" t="n">
        <f aca="false">VLOOKUP($B102,'[3]Delta Monthly'!$A$1:$AW$78,34,FALSE())/10000</f>
        <v>-364.504417</v>
      </c>
      <c r="V102" s="44" t="n">
        <f aca="false">VLOOKUP($B102,'[3]Delta Monthly'!$A$1:$AW$78,36,FALSE())/10000</f>
        <v>-106.68189598</v>
      </c>
      <c r="W102" s="44" t="n">
        <f aca="false">(VLOOKUP($B102,'[3]Delta Monthly'!$A$1:$AW$78,38,FALSE())+VLOOKUP($B102,'[3]Delta Monthly'!$A$1:$AW$78,40,FALSE()))/10000</f>
        <v>-232.60996006</v>
      </c>
      <c r="X102" s="44" t="n">
        <f aca="false">VLOOKUP($B102,'[3]Delta Monthly'!$A$1:$AW$78,42,FALSE())/10000</f>
        <v>-105.9891806</v>
      </c>
      <c r="Y102" s="44" t="n">
        <f aca="false">(VLOOKUP($B102,'[3]Delta Monthly'!$A$1:$AW$78,44,FALSE())+VLOOKUP($B102,'[3]Delta Monthly'!$A$1:$AW$78,46,FALSE())+VLOOKUP($B102,'[3]Delta Monthly'!$A$1:$AW$78,48,FALSE()))/10000</f>
        <v>796.86227059</v>
      </c>
      <c r="Z102" s="65" t="n">
        <f aca="false">SUM(S102:Y102)</f>
        <v>714.62562425</v>
      </c>
      <c r="AA102" s="65" t="n">
        <f aca="false">VLOOKUP($B102,'[5]Delta Yearly'!$A$1:$AD$78,4,FALSE())/10000</f>
        <v>-131.64475483</v>
      </c>
      <c r="AB102" s="65" t="n">
        <f aca="false">(VLOOKUP($B102,'[5]Delta Yearly'!$A$1:$AC$78,6,FALSE())+VLOOKUP($B102,'[5]Delta Yearly'!$A$1:$AC$78,8,FALSE())+VLOOKUP($B102,'[5]Delta Yearly'!$A$1:$AC$78,10,FALSE())+VLOOKUP($B102,'[5]Delta Yearly'!$A$1:$AC$78,12,FALSE())+VLOOKUP($B102,'[5]Delta Yearly'!$A$1:$AC$78,14,FALSE())+VLOOKUP($B102,'[5]Delta Yearly'!$A$1:$AC$78,16,FALSE())+VLOOKUP($B102,'[5]Delta Yearly'!$A$1:$AC$78,18,FALSE())+VLOOKUP($B102,'[5]Delta Yearly'!$A$1:$AC$78,20,FALSE())+VLOOKUP($B102,'[5]Delta Yearly'!$A$1:$AC$78,22,FALSE())+VLOOKUP($B102,'[5]Delta Yearly'!$A$1:$AC$78,24,FALSE())+VLOOKUP($B102,'[5]Delta Yearly'!$A$1:$AC$78,26,FALSE())+VLOOKUP($B102,'[5]Delta Yearly'!$A$1:$AC$78,28,FALSE()))/10000</f>
        <v>0</v>
      </c>
      <c r="AC102" s="65" t="n">
        <f aca="false">SUM(AB102,AA102,Z102,R102)</f>
        <v>-764.52943539</v>
      </c>
      <c r="AE102" s="39"/>
      <c r="AF102" s="192" t="s">
        <v>179</v>
      </c>
      <c r="AG102" s="193" t="n">
        <f aca="false">AC102</f>
        <v>-764.52943539</v>
      </c>
      <c r="AH102" s="194"/>
      <c r="AI102" s="195"/>
      <c r="AJ102" s="194" t="n">
        <f aca="false">SUM(AG102:AI102)</f>
        <v>-764.52943539</v>
      </c>
      <c r="AK102" s="4"/>
      <c r="AL102" s="4"/>
    </row>
    <row r="103" customFormat="false" ht="9" hidden="false" customHeight="true" outlineLevel="0" collapsed="false">
      <c r="A103" s="192"/>
      <c r="B103" s="160"/>
      <c r="D103" s="177"/>
      <c r="E103" s="91"/>
      <c r="F103" s="91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65"/>
      <c r="S103" s="44"/>
      <c r="T103" s="44"/>
      <c r="U103" s="44"/>
      <c r="V103" s="44"/>
      <c r="W103" s="44"/>
      <c r="X103" s="44"/>
      <c r="Y103" s="44"/>
      <c r="Z103" s="65"/>
      <c r="AA103" s="65"/>
      <c r="AB103" s="65"/>
      <c r="AC103" s="65"/>
      <c r="AE103" s="39"/>
      <c r="AF103" s="192"/>
      <c r="AG103" s="193"/>
      <c r="AH103" s="194"/>
      <c r="AI103" s="195"/>
      <c r="AJ103" s="194"/>
      <c r="AK103" s="4"/>
      <c r="AL103" s="4"/>
    </row>
    <row r="104" customFormat="false" ht="19.5" hidden="false" customHeight="true" outlineLevel="0" collapsed="false">
      <c r="A104" s="192" t="s">
        <v>182</v>
      </c>
      <c r="B104" s="160" t="s">
        <v>183</v>
      </c>
      <c r="C104" s="1" t="s">
        <v>184</v>
      </c>
      <c r="D104" s="177" t="s">
        <v>65</v>
      </c>
      <c r="E104" s="91" t="n">
        <f aca="false">(VLOOKUP(C104,[4]Sheet1!$B$1:$G$65,2,0))*-1</f>
        <v>4308626.10675268</v>
      </c>
      <c r="F104" s="91" t="n">
        <f aca="false">(VLOOKUP(C104,[4]Sheet1!$B$1:$G$65,4,0))</f>
        <v>117181.673027301</v>
      </c>
      <c r="G104" s="44"/>
      <c r="H104" s="44"/>
      <c r="I104" s="44"/>
      <c r="J104" s="44"/>
      <c r="K104" s="44"/>
      <c r="L104" s="44"/>
      <c r="M104" s="44"/>
      <c r="N104" s="44"/>
      <c r="O104" s="44" t="n">
        <f aca="false">VLOOKUP($B104,'[3]Delta Monthly'!$A$1:$AW$78,20,FALSE())/10000</f>
        <v>0</v>
      </c>
      <c r="P104" s="44" t="n">
        <f aca="false">VLOOKUP($B104,'[3]Delta Monthly'!$A$1:$AW$78,22,FALSE())/10000</f>
        <v>-258.5</v>
      </c>
      <c r="Q104" s="44" t="n">
        <f aca="false">VLOOKUP($B104,'[3]Delta Monthly'!$A$1:$AW$78,24,FALSE())/10000</f>
        <v>0</v>
      </c>
      <c r="R104" s="65" t="n">
        <f aca="false">SUM(G104:Q104)</f>
        <v>-258.5</v>
      </c>
      <c r="S104" s="44" t="n">
        <f aca="false">(VLOOKUP($B104,'[3]Delta Monthly'!$A$1:$AW$78,26,FALSE())+VLOOKUP($B104,'[3]Delta Monthly'!$A$1:$AW$78,28,FALSE()))/10000</f>
        <v>0</v>
      </c>
      <c r="T104" s="44" t="n">
        <f aca="false">(VLOOKUP($B104,'[3]Delta Monthly'!$A$1:$AW$78,30,FALSE())+VLOOKUP($B104,'[3]Delta Monthly'!$A$1:$AW$78,32,FALSE()))/10000</f>
        <v>-302.91076166</v>
      </c>
      <c r="U104" s="44" t="n">
        <f aca="false">VLOOKUP($B104,'[3]Delta Monthly'!$A$1:$AW$78,34,FALSE())/10000</f>
        <v>0</v>
      </c>
      <c r="V104" s="44" t="n">
        <f aca="false">VLOOKUP($B104,'[3]Delta Monthly'!$A$1:$AW$78,36,FALSE())/10000</f>
        <v>0</v>
      </c>
      <c r="W104" s="44" t="n">
        <f aca="false">(VLOOKUP($B104,'[3]Delta Monthly'!$A$1:$AW$78,38,FALSE())+VLOOKUP($B104,'[3]Delta Monthly'!$A$1:$AW$78,40,FALSE()))/10000</f>
        <v>274.94125638</v>
      </c>
      <c r="X104" s="44" t="n">
        <f aca="false">VLOOKUP($B104,'[3]Delta Monthly'!$A$1:$AW$78,42,FALSE())/10000</f>
        <v>0</v>
      </c>
      <c r="Y104" s="44" t="n">
        <f aca="false">(VLOOKUP($B104,'[3]Delta Monthly'!$A$1:$AW$78,44,FALSE())+VLOOKUP($B104,'[3]Delta Monthly'!$A$1:$AW$78,46,FALSE())+VLOOKUP($B104,'[3]Delta Monthly'!$A$1:$AW$78,48,FALSE()))/10000</f>
        <v>-1759.00441621</v>
      </c>
      <c r="Z104" s="65" t="n">
        <f aca="false">SUM(S104:Y104)</f>
        <v>-1786.97392149</v>
      </c>
      <c r="AA104" s="65" t="n">
        <f aca="false">VLOOKUP($B104,'[5]Delta Yearly'!$A$1:$AD$78,4,FALSE())/10000</f>
        <v>-1497.51244779</v>
      </c>
      <c r="AB104" s="65" t="n">
        <f aca="false">(VLOOKUP($B104,'[5]Delta Yearly'!$A$1:$AC$78,6,FALSE())+VLOOKUP($B104,'[5]Delta Yearly'!$A$1:$AC$78,8,FALSE())+VLOOKUP($B104,'[5]Delta Yearly'!$A$1:$AC$78,10,FALSE())+VLOOKUP($B104,'[5]Delta Yearly'!$A$1:$AC$78,12,FALSE())+VLOOKUP($B104,'[5]Delta Yearly'!$A$1:$AC$78,14,FALSE())+VLOOKUP($B104,'[5]Delta Yearly'!$A$1:$AC$78,16,FALSE())+VLOOKUP($B104,'[5]Delta Yearly'!$A$1:$AC$78,18,FALSE())+VLOOKUP($B104,'[5]Delta Yearly'!$A$1:$AC$78,20,FALSE())+VLOOKUP($B104,'[5]Delta Yearly'!$A$1:$AC$78,22,FALSE())+VLOOKUP($B104,'[5]Delta Yearly'!$A$1:$AC$78,24,FALSE())+VLOOKUP($B104,'[5]Delta Yearly'!$A$1:$AC$78,26,FALSE())+VLOOKUP($B104,'[5]Delta Yearly'!$A$1:$AC$78,28,FALSE()))/10000</f>
        <v>0</v>
      </c>
      <c r="AC104" s="65" t="n">
        <f aca="false">SUM(AB104,AA104,Z104,R104)</f>
        <v>-3542.98636928</v>
      </c>
      <c r="AE104" s="39"/>
      <c r="AF104" s="192" t="s">
        <v>182</v>
      </c>
      <c r="AG104" s="193" t="n">
        <f aca="false">AC104</f>
        <v>-3542.98636928</v>
      </c>
      <c r="AH104" s="194"/>
      <c r="AI104" s="195"/>
      <c r="AJ104" s="194" t="n">
        <f aca="false">SUM(AG104:AI104)</f>
        <v>-3542.98636928</v>
      </c>
      <c r="AK104" s="4"/>
      <c r="AL104" s="4"/>
    </row>
    <row r="105" customFormat="false" ht="9" hidden="false" customHeight="true" outlineLevel="0" collapsed="false">
      <c r="A105" s="192"/>
      <c r="B105" s="176"/>
      <c r="C105" s="176"/>
      <c r="D105" s="177"/>
      <c r="E105" s="196"/>
      <c r="F105" s="196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65"/>
      <c r="S105" s="43"/>
      <c r="T105" s="43"/>
      <c r="U105" s="43"/>
      <c r="V105" s="43"/>
      <c r="W105" s="43"/>
      <c r="X105" s="43"/>
      <c r="Y105" s="43"/>
      <c r="Z105" s="65"/>
      <c r="AA105" s="65"/>
      <c r="AB105" s="65"/>
      <c r="AC105" s="65"/>
      <c r="AE105" s="39"/>
      <c r="AF105" s="192"/>
      <c r="AG105" s="193"/>
      <c r="AH105" s="194"/>
      <c r="AI105" s="195"/>
      <c r="AJ105" s="194"/>
      <c r="AK105" s="4"/>
      <c r="AL105" s="4"/>
    </row>
    <row r="106" customFormat="false" ht="21" hidden="true" customHeight="true" outlineLevel="0" collapsed="false">
      <c r="A106" s="184" t="s">
        <v>185</v>
      </c>
      <c r="B106" s="185"/>
      <c r="C106" s="185"/>
      <c r="D106" s="186" t="s">
        <v>186</v>
      </c>
      <c r="E106" s="197"/>
      <c r="F106" s="197"/>
      <c r="G106" s="188"/>
      <c r="H106" s="147"/>
      <c r="I106" s="147"/>
      <c r="J106" s="147"/>
      <c r="K106" s="147"/>
      <c r="L106" s="147"/>
      <c r="M106" s="147"/>
      <c r="N106" s="147"/>
      <c r="O106" s="147" t="n">
        <f aca="false">'[2]sprdoptgas positions'!E9+'[2]sprdoptgas positions'!E10+'[2]sprdoptgas positions'!E11+'[2]sprdoptgas positions'!E12+'[2]sprdoptgas positions'!E13</f>
        <v>0</v>
      </c>
      <c r="P106" s="147" t="n">
        <f aca="false">'[2]sprdoptgas positions'!F9+'[2]sprdoptgas positions'!F10+'[2]sprdoptgas positions'!F11+'[2]sprdoptgas positions'!F12+'[2]sprdoptgas positions'!F13</f>
        <v>0</v>
      </c>
      <c r="Q106" s="147" t="n">
        <f aca="false">'[2]sprdoptgas positions'!G9+'[2]sprdoptgas positions'!G10+'[2]sprdoptgas positions'!G11+'[2]sprdoptgas positions'!G12+'[2]sprdoptgas positions'!G13</f>
        <v>0</v>
      </c>
      <c r="R106" s="144" t="n">
        <f aca="false">'[2]sprdoptgas positions'!H9+'[2]sprdoptgas positions'!H10+'[2]sprdoptgas positions'!H11+'[2]sprdoptgas positions'!H12+'[2]sprdoptgas positions'!H13</f>
        <v>0</v>
      </c>
      <c r="S106" s="147" t="n">
        <f aca="false">'[2]sprdoptgas positions'!I9+'[2]sprdoptgas positions'!I10+'[2]sprdoptgas positions'!I11+'[2]sprdoptgas positions'!I12+'[2]sprdoptgas positions'!I13</f>
        <v>-943569.751107833</v>
      </c>
      <c r="T106" s="147" t="n">
        <f aca="false">'[2]sprdoptgas positions'!J9+'[2]sprdoptgas positions'!J10+'[2]sprdoptgas positions'!J11+'[2]sprdoptgas positions'!J12+'[2]sprdoptgas positions'!J13</f>
        <v>-974141.202886372</v>
      </c>
      <c r="U106" s="147" t="n">
        <f aca="false">'[2]sprdoptgas positions'!K9+'[2]sprdoptgas positions'!K10+'[2]sprdoptgas positions'!K11+'[2]sprdoptgas positions'!K12+'[2]sprdoptgas positions'!K13</f>
        <v>-542349.311483224</v>
      </c>
      <c r="V106" s="147" t="n">
        <f aca="false">'[2]sprdoptgas positions'!L9+'[2]sprdoptgas positions'!L10+'[2]sprdoptgas positions'!L11+'[2]sprdoptgas positions'!L12+'[2]sprdoptgas positions'!L13</f>
        <v>-562886.587801333</v>
      </c>
      <c r="W106" s="147" t="n">
        <f aca="false">'[2]sprdoptgas positions'!M9+'[2]sprdoptgas positions'!M10+'[2]sprdoptgas positions'!M11+'[2]sprdoptgas positions'!M12+'[2]sprdoptgas positions'!M13</f>
        <v>-1180573.389714</v>
      </c>
      <c r="X106" s="147" t="n">
        <f aca="false">'[2]sprdoptgas positions'!N9+'[2]sprdoptgas positions'!N10+'[2]sprdoptgas positions'!N11+'[2]sprdoptgas positions'!N12+'[2]sprdoptgas positions'!N13</f>
        <v>-518219.146798726</v>
      </c>
      <c r="Y106" s="147" t="n">
        <f aca="false">'[2]sprdoptgas positions'!O9+'[2]sprdoptgas positions'!O10+'[2]sprdoptgas positions'!O11+'[2]sprdoptgas positions'!O12+'[2]sprdoptgas positions'!O13</f>
        <v>-1414195.80932253</v>
      </c>
      <c r="Z106" s="144" t="n">
        <f aca="false">'[2]sprdoptgas positions'!P9+'[2]sprdoptgas positions'!P10+'[2]sprdoptgas positions'!P11+'[2]sprdoptgas positions'!P12+'[2]sprdoptgas positions'!P13</f>
        <v>-6135935.19911402</v>
      </c>
      <c r="AA106" s="144" t="n">
        <f aca="false">'[2]sprdoptgas positions'!Q9+'[2]sprdoptgas positions'!Q10+'[2]sprdoptgas positions'!Q11+'[2]sprdoptgas positions'!Q12+'[2]sprdoptgas positions'!Q13</f>
        <v>-5334068.40916847</v>
      </c>
      <c r="AB106" s="144" t="n">
        <f aca="false">'[2]sprdoptgas positions'!R9+'[2]sprdoptgas positions'!R10+'[2]sprdoptgas positions'!R11+'[2]sprdoptgas positions'!S9+'[2]sprdoptgas positions'!S10+'[2]sprdoptgas positions'!S11+'[2]sprdoptgas positions'!R12+'[2]sprdoptgas positions'!S12+'[2]sprdoptgas positions'!R13+'[2]sprdoptgas positions'!S13</f>
        <v>-12566267.7737711</v>
      </c>
      <c r="AC106" s="144" t="n">
        <f aca="false">SUM(AB106,AA106,Z106,R106)</f>
        <v>-24036271.3820536</v>
      </c>
      <c r="AE106" s="39"/>
      <c r="AF106" s="184" t="s">
        <v>185</v>
      </c>
      <c r="AG106" s="193"/>
      <c r="AH106" s="194"/>
      <c r="AI106" s="195"/>
      <c r="AJ106" s="194"/>
      <c r="AK106" s="4"/>
      <c r="AL106" s="4"/>
    </row>
    <row r="107" customFormat="false" ht="18" hidden="true" customHeight="false" outlineLevel="0" collapsed="false">
      <c r="A107" s="184" t="s">
        <v>185</v>
      </c>
      <c r="B107" s="191" t="s">
        <v>187</v>
      </c>
      <c r="C107" s="191"/>
      <c r="D107" s="186" t="s">
        <v>177</v>
      </c>
      <c r="E107" s="197"/>
      <c r="F107" s="197"/>
      <c r="G107" s="147"/>
      <c r="H107" s="147"/>
      <c r="I107" s="147"/>
      <c r="J107" s="147"/>
      <c r="K107" s="147"/>
      <c r="L107" s="147"/>
      <c r="M107" s="147"/>
      <c r="N107" s="147"/>
      <c r="O107" s="147" t="n">
        <f aca="false">VLOOKUP($B107,'[3]Delta Monthly'!$A$1:$AW$78,20,1)</f>
        <v>0</v>
      </c>
      <c r="P107" s="147" t="n">
        <f aca="false">VLOOKUP($B107,'[3]Delta Monthly'!$A$1:$AW$78,22,1)</f>
        <v>-550000</v>
      </c>
      <c r="Q107" s="147" t="n">
        <f aca="false">VLOOKUP($B107,'[3]Delta Monthly'!$A$1:$AW$78,24,1)</f>
        <v>1169184.7182</v>
      </c>
      <c r="R107" s="144" t="n">
        <f aca="false">SUM(G107:Q107)</f>
        <v>619184.7182</v>
      </c>
      <c r="S107" s="147" t="n">
        <f aca="false">VLOOKUP($B107,'[3]Delta Monthly'!$A$1:$AW$78,26,FALSE())+VLOOKUP($B107,'[3]Delta Monthly'!$A$1:$AW$78,28,FALSE())</f>
        <v>1350690.8842</v>
      </c>
      <c r="T107" s="147" t="n">
        <f aca="false">VLOOKUP($B107,'[3]Delta Monthly'!$A$1:$AW$78,30,FALSE())+VLOOKUP($B107,'[3]Delta Monthly'!$A$1:$AW$78,32,FALSE())</f>
        <v>824843.7321</v>
      </c>
      <c r="U107" s="147" t="n">
        <f aca="false">VLOOKUP($B107,'[3]Delta Monthly'!$A$1:$AW$78,34,FALSE())</f>
        <v>-198088.4382</v>
      </c>
      <c r="V107" s="147" t="n">
        <f aca="false">VLOOKUP($B107,'[3]Delta Monthly'!$A$1:$AW$78,36,FALSE())</f>
        <v>88965.9156</v>
      </c>
      <c r="W107" s="147" t="n">
        <f aca="false">VLOOKUP($B107,'[3]Delta Monthly'!$A$1:$AW$78,38,FALSE())+VLOOKUP($B107,'[3]Delta Monthly'!$A$1:$AW$78,40,FALSE())</f>
        <v>463162.6898</v>
      </c>
      <c r="X107" s="147" t="n">
        <f aca="false">VLOOKUP($B107,'[3]Delta Monthly'!$A$1:$AW$78,42,FALSE())</f>
        <v>78567.3201</v>
      </c>
      <c r="Y107" s="147" t="n">
        <f aca="false">VLOOKUP($B107,'[3]Delta Monthly'!$A$1:$AW$78,44,FALSE())+VLOOKUP($B107,'[3]Delta Monthly'!$A$1:$AW$78,46,FALSE())+VLOOKUP($B107,'[3]Delta Monthly'!$A$1:$AW$78,48,FALSE())</f>
        <v>-1240283.9853</v>
      </c>
      <c r="Z107" s="144" t="n">
        <f aca="false">SUM(S107:Y107)</f>
        <v>1367858.1183</v>
      </c>
      <c r="AA107" s="144" t="n">
        <f aca="false">VLOOKUP($B107,'[5]Delta Yearly'!$A$1:$AD$78,4,FALSE())</f>
        <v>3660859.9342</v>
      </c>
      <c r="AB107" s="144" t="n">
        <f aca="false">VLOOKUP($B107,'[5]Delta Yearly'!$A$1:$AC$78,6,FALSE())+VLOOKUP($B107,'[5]Delta Yearly'!$A$1:$AC$78,8,FALSE())+VLOOKUP($B107,'[5]Delta Yearly'!$A$1:$AC$78,10,FALSE())+VLOOKUP($B107,'[5]Delta Yearly'!$A$1:$AC$78,12,FALSE())+VLOOKUP($B107,'[5]Delta Yearly'!$A$1:$AC$78,14,FALSE())+VLOOKUP($B107,'[5]Delta Yearly'!$A$1:$AC$78,16,FALSE())+VLOOKUP($B107,'[5]Delta Yearly'!$A$1:$AC$78,18,FALSE())+VLOOKUP($B107,'[5]Delta Yearly'!$A$1:$AC$78,20,FALSE())+VLOOKUP($B107,'[5]Delta Yearly'!$A$1:$AC$78,22,FALSE())+VLOOKUP($B107,'[5]Delta Yearly'!$A$1:$AC$78,24,FALSE())+VLOOKUP($B107,'[5]Delta Yearly'!$A$1:$AC$78,26,FALSE())+VLOOKUP($B107,'[5]Delta Yearly'!$A$1:$AC$78,28,FALSE())</f>
        <v>12643042.8865</v>
      </c>
      <c r="AC107" s="144" t="n">
        <f aca="false">SUM(AB107,AA107,Z107,R107)</f>
        <v>18290945.6572</v>
      </c>
      <c r="AE107" s="39"/>
      <c r="AF107" s="184" t="s">
        <v>185</v>
      </c>
      <c r="AG107" s="193"/>
      <c r="AH107" s="194"/>
      <c r="AI107" s="195"/>
      <c r="AJ107" s="194"/>
      <c r="AK107" s="4"/>
      <c r="AL107" s="4"/>
    </row>
    <row r="108" customFormat="false" ht="21" hidden="false" customHeight="true" outlineLevel="0" collapsed="false">
      <c r="A108" s="192" t="s">
        <v>185</v>
      </c>
      <c r="B108" s="160" t="s">
        <v>187</v>
      </c>
      <c r="C108" s="1" t="s">
        <v>188</v>
      </c>
      <c r="D108" s="177" t="s">
        <v>140</v>
      </c>
      <c r="E108" s="91" t="n">
        <f aca="false">(VLOOKUP(C108,[4]Sheet1!$B$1:$G$65,2,0))*-1</f>
        <v>1455491.04046605</v>
      </c>
      <c r="F108" s="91" t="n">
        <f aca="false">(VLOOKUP(C108,[4]Sheet1!$B$1:$G$65,4,0))</f>
        <v>-126109.57306751</v>
      </c>
      <c r="G108" s="44"/>
      <c r="H108" s="44"/>
      <c r="I108" s="44"/>
      <c r="J108" s="44"/>
      <c r="K108" s="44"/>
      <c r="L108" s="44"/>
      <c r="M108" s="44"/>
      <c r="N108" s="44"/>
      <c r="O108" s="44" t="n">
        <f aca="false">SUM(O106:O107)/10000</f>
        <v>0</v>
      </c>
      <c r="P108" s="44" t="n">
        <f aca="false">SUM(P106:P107)/10000</f>
        <v>-55</v>
      </c>
      <c r="Q108" s="44" t="n">
        <f aca="false">SUM(Q106:Q107)/10000</f>
        <v>116.91847182</v>
      </c>
      <c r="R108" s="65" t="n">
        <f aca="false">SUM(R106:R107)/10000</f>
        <v>61.91847182</v>
      </c>
      <c r="S108" s="44" t="n">
        <f aca="false">SUM(S106:S107)/10000</f>
        <v>40.7121133092167</v>
      </c>
      <c r="T108" s="44" t="n">
        <f aca="false">SUM(T106:T107)/10000</f>
        <v>-14.9297470786372</v>
      </c>
      <c r="U108" s="44" t="n">
        <f aca="false">SUM(U106:U107)/10000</f>
        <v>-74.0437749683224</v>
      </c>
      <c r="V108" s="44" t="n">
        <f aca="false">SUM(V106:V107)/10000</f>
        <v>-47.3920672201333</v>
      </c>
      <c r="W108" s="44" t="n">
        <f aca="false">SUM(W106:W107)/10000</f>
        <v>-71.7410699914001</v>
      </c>
      <c r="X108" s="44" t="n">
        <f aca="false">SUM(X106:X107)/10000</f>
        <v>-43.9651826698726</v>
      </c>
      <c r="Y108" s="44" t="n">
        <f aca="false">SUM(Y106:Y107)/10000</f>
        <v>-265.447979462253</v>
      </c>
      <c r="Z108" s="65" t="n">
        <f aca="false">SUM(Z106:Z107)/10000</f>
        <v>-476.807708081402</v>
      </c>
      <c r="AA108" s="65" t="n">
        <f aca="false">SUM(AA106:AA107)/10000</f>
        <v>-167.320847496847</v>
      </c>
      <c r="AB108" s="65" t="n">
        <f aca="false">SUM(AB106:AB107)/10000</f>
        <v>7.67751127289254</v>
      </c>
      <c r="AC108" s="65" t="n">
        <f aca="false">SUM(AC106:AC107)/10000</f>
        <v>-574.532572485356</v>
      </c>
      <c r="AE108" s="39"/>
      <c r="AF108" s="192" t="s">
        <v>185</v>
      </c>
      <c r="AG108" s="193" t="n">
        <f aca="false">AC107/10000</f>
        <v>1829.09456572</v>
      </c>
      <c r="AH108" s="194"/>
      <c r="AI108" s="195" t="n">
        <f aca="false">AC106/10000</f>
        <v>-2403.62713820536</v>
      </c>
      <c r="AJ108" s="194" t="n">
        <f aca="false">SUM(AG108:AI108)</f>
        <v>-574.532572485356</v>
      </c>
      <c r="AK108" s="4"/>
      <c r="AL108" s="4"/>
    </row>
    <row r="109" customFormat="false" ht="10.5" hidden="false" customHeight="true" outlineLevel="0" collapsed="false">
      <c r="A109" s="192"/>
      <c r="B109" s="176"/>
      <c r="C109" s="176"/>
      <c r="D109" s="177"/>
      <c r="E109" s="196"/>
      <c r="F109" s="196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65"/>
      <c r="S109" s="43"/>
      <c r="T109" s="43"/>
      <c r="U109" s="43"/>
      <c r="V109" s="43"/>
      <c r="W109" s="43"/>
      <c r="X109" s="43"/>
      <c r="Y109" s="43"/>
      <c r="Z109" s="65"/>
      <c r="AA109" s="65"/>
      <c r="AB109" s="92"/>
      <c r="AC109" s="65"/>
      <c r="AE109" s="39"/>
      <c r="AF109" s="192"/>
      <c r="AG109" s="193"/>
      <c r="AH109" s="194"/>
      <c r="AI109" s="195"/>
      <c r="AJ109" s="194"/>
      <c r="AK109" s="4"/>
      <c r="AL109" s="4"/>
    </row>
    <row r="110" customFormat="false" ht="18" hidden="true" customHeight="false" outlineLevel="0" collapsed="false">
      <c r="A110" s="184" t="s">
        <v>189</v>
      </c>
      <c r="B110" s="191" t="s">
        <v>190</v>
      </c>
      <c r="C110" s="191"/>
      <c r="D110" s="186" t="s">
        <v>191</v>
      </c>
      <c r="E110" s="197"/>
      <c r="F110" s="197"/>
      <c r="G110" s="147"/>
      <c r="H110" s="147"/>
      <c r="I110" s="147"/>
      <c r="J110" s="147"/>
      <c r="K110" s="147"/>
      <c r="L110" s="147"/>
      <c r="M110" s="147"/>
      <c r="N110" s="147"/>
      <c r="O110" s="147" t="n">
        <f aca="false">VLOOKUP($B110,'[3]Delta Monthly'!$A$1:$AW$72,20,1)</f>
        <v>0</v>
      </c>
      <c r="P110" s="147" t="n">
        <f aca="false">VLOOKUP($B110,'[3]Delta Monthly'!$A$1:$AW$72,22,1)</f>
        <v>0</v>
      </c>
      <c r="Q110" s="147" t="n">
        <f aca="false">VLOOKUP($B110,'[3]Delta Monthly'!$A$1:$AW$72,24,1)</f>
        <v>-4596794.6178</v>
      </c>
      <c r="R110" s="144" t="n">
        <f aca="false">SUM(G110:Q110)</f>
        <v>-4596794.6178</v>
      </c>
      <c r="S110" s="147" t="n">
        <f aca="false">VLOOKUP($B110,'[3]Delta Monthly'!$A$1:$AW$72,26,FALSE())+VLOOKUP($B110,'[3]Delta Monthly'!$A$1:$AW$72,28,FALSE())</f>
        <v>-2356978.2186</v>
      </c>
      <c r="T110" s="147" t="n">
        <f aca="false">VLOOKUP($B110,'[3]Delta Monthly'!$A$1:$AW$72,30,FALSE())+VLOOKUP($B110,'[3]Delta Monthly'!$A$1:$AW$72,32,FALSE())</f>
        <v>-1294077.8228</v>
      </c>
      <c r="U110" s="147" t="n">
        <f aca="false">VLOOKUP($B110,'[3]Delta Monthly'!$A$1:$AW$72,34,FALSE())</f>
        <v>-1980.8843</v>
      </c>
      <c r="V110" s="147" t="n">
        <f aca="false">VLOOKUP($B110,'[3]Delta Monthly'!$A$1:$AW$72,36,FALSE())</f>
        <v>-59310.6105</v>
      </c>
      <c r="W110" s="147" t="n">
        <f aca="false">VLOOKUP($B110,'[3]Delta Monthly'!$A$1:$AW$72,38,FALSE())+VLOOKUP($B110,'[3]Delta Monthly'!$A$1:$AW$72,40,FALSE())</f>
        <v>-3941.8103</v>
      </c>
      <c r="X110" s="147" t="n">
        <f aca="false">VLOOKUP($B110,'[3]Delta Monthly'!$A$1:$AW$72,42,FALSE())</f>
        <v>-58925.4901</v>
      </c>
      <c r="Y110" s="147" t="n">
        <f aca="false">VLOOKUP($B110,'[3]Delta Monthly'!$A$1:$AW$72,44,FALSE())+VLOOKUP($B110,'[3]Delta Monthly'!$A$1:$AW$72,46,FALSE())+VLOOKUP($B110,'[3]Delta Monthly'!$A$1:$AW$72,48,FALSE())</f>
        <v>532773.1094</v>
      </c>
      <c r="Z110" s="144" t="n">
        <f aca="false">SUM(S110:Y110)</f>
        <v>-3242441.7272</v>
      </c>
      <c r="AA110" s="144" t="n">
        <f aca="false">VLOOKUP($B110,'[5]Delta Yearly'!$A$1:$AD$72,4,FALSE())</f>
        <v>-2089552.253</v>
      </c>
      <c r="AB110" s="144" t="n">
        <f aca="false">VLOOKUP($B110,'[5]Delta Yearly'!$A$1:$AC$72,6,FALSE())+VLOOKUP($B110,'[5]Delta Yearly'!$A$1:$AC$72,8,FALSE())+VLOOKUP($B110,'[5]Delta Yearly'!$A$1:$AC$72,10,FALSE())+VLOOKUP($B110,'[5]Delta Yearly'!$A$1:$AC$72,12,FALSE())+VLOOKUP($B110,'[5]Delta Yearly'!$A$1:$AC$72,14,FALSE())+VLOOKUP($B110,'[5]Delta Yearly'!$A$1:$AC$72,16,FALSE())+VLOOKUP($B110,'[5]Delta Yearly'!$A$1:$AC$72,18,FALSE())+VLOOKUP($B110,'[5]Delta Yearly'!$A$1:$AC$72,20,FALSE())+VLOOKUP($B110,'[5]Delta Yearly'!$A$1:$AC$72,22,FALSE())+VLOOKUP($B110,'[5]Delta Yearly'!$A$1:$AC$72,24,FALSE())+VLOOKUP($B110,'[5]Delta Yearly'!$A$1:$AC$72,26,FALSE())+VLOOKUP($B110,'[5]Delta Yearly'!$A$1:$AC$72,28,FALSE())</f>
        <v>95643.4017000001</v>
      </c>
      <c r="AC110" s="144" t="n">
        <f aca="false">SUM(AB110,AA110,Z110,R110)</f>
        <v>-9833145.1963</v>
      </c>
      <c r="AE110" s="39"/>
      <c r="AF110" s="184" t="s">
        <v>189</v>
      </c>
      <c r="AG110" s="193"/>
      <c r="AH110" s="194"/>
      <c r="AI110" s="195"/>
      <c r="AJ110" s="194"/>
      <c r="AK110" s="4"/>
      <c r="AL110" s="4"/>
    </row>
    <row r="111" customFormat="false" ht="18" hidden="true" customHeight="false" outlineLevel="0" collapsed="false">
      <c r="A111" s="184" t="s">
        <v>189</v>
      </c>
      <c r="B111" s="191" t="s">
        <v>190</v>
      </c>
      <c r="C111" s="191"/>
      <c r="D111" s="186" t="s">
        <v>175</v>
      </c>
      <c r="E111" s="197"/>
      <c r="F111" s="197"/>
      <c r="G111" s="147"/>
      <c r="H111" s="147"/>
      <c r="I111" s="147"/>
      <c r="J111" s="147"/>
      <c r="K111" s="147"/>
      <c r="L111" s="147"/>
      <c r="M111" s="147"/>
      <c r="N111" s="147"/>
      <c r="O111" s="147" t="n">
        <f aca="false">'[2]sprdoptgas positions'!E4</f>
        <v>0</v>
      </c>
      <c r="P111" s="147" t="n">
        <f aca="false">'[2]sprdoptgas positions'!F4</f>
        <v>-49517.774942059</v>
      </c>
      <c r="Q111" s="147" t="n">
        <f aca="false">'[2]sprdoptgas positions'!G4</f>
        <v>-65258.3689448671</v>
      </c>
      <c r="R111" s="144" t="n">
        <f aca="false">'[2]sprdoptgas positions'!H4</f>
        <v>-114776.143886926</v>
      </c>
      <c r="S111" s="147" t="n">
        <f aca="false">'[2]sprdoptgas positions'!I4</f>
        <v>0</v>
      </c>
      <c r="T111" s="147" t="n">
        <f aca="false">'[2]sprdoptgas positions'!J4</f>
        <v>0</v>
      </c>
      <c r="U111" s="147" t="n">
        <f aca="false">'[2]sprdoptgas positions'!K4</f>
        <v>0</v>
      </c>
      <c r="V111" s="147" t="n">
        <f aca="false">'[2]sprdoptgas positions'!L4</f>
        <v>0</v>
      </c>
      <c r="W111" s="147" t="n">
        <f aca="false">'[2]sprdoptgas positions'!M4</f>
        <v>0</v>
      </c>
      <c r="X111" s="147" t="n">
        <f aca="false">'[2]sprdoptgas positions'!N4</f>
        <v>0</v>
      </c>
      <c r="Y111" s="147" t="n">
        <f aca="false">'[2]sprdoptgas positions'!O4</f>
        <v>0</v>
      </c>
      <c r="Z111" s="144" t="n">
        <f aca="false">'[2]sprdoptgas positions'!P4</f>
        <v>0</v>
      </c>
      <c r="AA111" s="144" t="n">
        <f aca="false">'[2]sprdoptgas positions'!Q4</f>
        <v>0</v>
      </c>
      <c r="AB111" s="144" t="n">
        <f aca="false">'[2]sprdoptgas positions'!S4+'[2]sprdoptgas positions'!R4</f>
        <v>0</v>
      </c>
      <c r="AC111" s="144" t="n">
        <f aca="false">SUM(AB111,AA111,Z111,R111)</f>
        <v>-114776.143886926</v>
      </c>
      <c r="AE111" s="39"/>
      <c r="AF111" s="184" t="s">
        <v>189</v>
      </c>
      <c r="AG111" s="193"/>
      <c r="AH111" s="194"/>
      <c r="AI111" s="195"/>
      <c r="AJ111" s="194"/>
      <c r="AK111" s="4"/>
      <c r="AL111" s="4"/>
    </row>
    <row r="112" customFormat="false" ht="18" hidden="false" customHeight="false" outlineLevel="0" collapsed="false">
      <c r="A112" s="192" t="s">
        <v>189</v>
      </c>
      <c r="B112" s="160" t="s">
        <v>190</v>
      </c>
      <c r="C112" s="1" t="s">
        <v>192</v>
      </c>
      <c r="D112" s="177" t="s">
        <v>86</v>
      </c>
      <c r="E112" s="91" t="n">
        <f aca="false">(VLOOKUP(C112,[4]Sheet1!$B$1:$G$65,2,0))*-1</f>
        <v>1656383.65887976</v>
      </c>
      <c r="F112" s="91" t="n">
        <f aca="false">(VLOOKUP(C112,[4]Sheet1!$B$1:$G$65,4,0))</f>
        <v>-621775.93521028</v>
      </c>
      <c r="G112" s="44"/>
      <c r="H112" s="44"/>
      <c r="I112" s="44"/>
      <c r="J112" s="44"/>
      <c r="K112" s="44"/>
      <c r="L112" s="44"/>
      <c r="M112" s="44"/>
      <c r="N112" s="44"/>
      <c r="O112" s="44" t="n">
        <f aca="false">SUM(O110:O111)/10000</f>
        <v>0</v>
      </c>
      <c r="P112" s="44" t="n">
        <f aca="false">SUM(P110:P111)/10000</f>
        <v>-4.9517774942059</v>
      </c>
      <c r="Q112" s="44" t="n">
        <f aca="false">SUM(Q110:Q111)/10000</f>
        <v>-466.205298674487</v>
      </c>
      <c r="R112" s="65" t="n">
        <f aca="false">SUM(R110:R111)/10000</f>
        <v>-471.157076168693</v>
      </c>
      <c r="S112" s="44" t="n">
        <f aca="false">SUM(S110:S111)/10000</f>
        <v>-235.69782186</v>
      </c>
      <c r="T112" s="44" t="n">
        <f aca="false">SUM(T110:T111)/10000</f>
        <v>-129.40778228</v>
      </c>
      <c r="U112" s="44" t="n">
        <f aca="false">SUM(U110:U111)/10000</f>
        <v>-0.19808843</v>
      </c>
      <c r="V112" s="44" t="n">
        <f aca="false">SUM(V110:V111)/10000</f>
        <v>-5.93106105</v>
      </c>
      <c r="W112" s="44" t="n">
        <f aca="false">SUM(W110:W111)/10000</f>
        <v>-0.39418103</v>
      </c>
      <c r="X112" s="44" t="n">
        <f aca="false">SUM(X110:X111)/10000</f>
        <v>-5.89254901</v>
      </c>
      <c r="Y112" s="44" t="n">
        <f aca="false">SUM(Y110:Y111)/10000</f>
        <v>53.27731094</v>
      </c>
      <c r="Z112" s="65" t="n">
        <f aca="false">SUM(Z110:Z111)/10000</f>
        <v>-324.24417272</v>
      </c>
      <c r="AA112" s="65" t="n">
        <f aca="false">SUM(AA110:AA111)/10000</f>
        <v>-208.9552253</v>
      </c>
      <c r="AB112" s="65" t="n">
        <f aca="false">SUM(AB110:AB111)/10000</f>
        <v>9.56434017000001</v>
      </c>
      <c r="AC112" s="65" t="n">
        <f aca="false">SUM(AC110:AC111)/10000</f>
        <v>-994.792134018693</v>
      </c>
      <c r="AE112" s="39"/>
      <c r="AF112" s="192" t="s">
        <v>189</v>
      </c>
      <c r="AG112" s="193" t="n">
        <f aca="false">AC110/10000</f>
        <v>-983.31451963</v>
      </c>
      <c r="AH112" s="194" t="n">
        <f aca="false">AC111/10000</f>
        <v>-11.4776143886926</v>
      </c>
      <c r="AI112" s="195"/>
      <c r="AJ112" s="194" t="n">
        <f aca="false">SUM(AG112:AI112)</f>
        <v>-994.792134018693</v>
      </c>
      <c r="AK112" s="4"/>
      <c r="AL112" s="4"/>
    </row>
    <row r="113" customFormat="false" ht="10.5" hidden="false" customHeight="true" outlineLevel="0" collapsed="false">
      <c r="A113" s="192"/>
      <c r="B113" s="176"/>
      <c r="C113" s="176"/>
      <c r="D113" s="177"/>
      <c r="E113" s="196"/>
      <c r="F113" s="196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65"/>
      <c r="S113" s="43"/>
      <c r="T113" s="43"/>
      <c r="U113" s="43"/>
      <c r="V113" s="43"/>
      <c r="W113" s="43"/>
      <c r="X113" s="43"/>
      <c r="Y113" s="43"/>
      <c r="Z113" s="65"/>
      <c r="AA113" s="65"/>
      <c r="AB113" s="92"/>
      <c r="AC113" s="65"/>
      <c r="AE113" s="39"/>
      <c r="AF113" s="192"/>
      <c r="AG113" s="193"/>
      <c r="AH113" s="194"/>
      <c r="AI113" s="195"/>
      <c r="AJ113" s="194"/>
      <c r="AK113" s="4"/>
      <c r="AL113" s="4"/>
    </row>
    <row r="114" customFormat="false" ht="19.5" hidden="false" customHeight="true" outlineLevel="0" collapsed="false">
      <c r="A114" s="192" t="s">
        <v>193</v>
      </c>
      <c r="B114" s="176" t="s">
        <v>194</v>
      </c>
      <c r="C114" s="198" t="s">
        <v>195</v>
      </c>
      <c r="D114" s="177" t="s">
        <v>156</v>
      </c>
      <c r="E114" s="91" t="n">
        <f aca="false">(VLOOKUP(C114,[4]Sheet1!$B$1:$G$65,2,0))*-1</f>
        <v>3.74443667150788E-005</v>
      </c>
      <c r="F114" s="91" t="n">
        <f aca="false">(VLOOKUP(C114,[4]Sheet1!$B$1:$G$65,4,0))</f>
        <v>1.96795144817053E-005</v>
      </c>
      <c r="G114" s="44"/>
      <c r="H114" s="44"/>
      <c r="I114" s="44"/>
      <c r="J114" s="44"/>
      <c r="K114" s="44"/>
      <c r="L114" s="44"/>
      <c r="M114" s="44"/>
      <c r="N114" s="44"/>
      <c r="O114" s="44" t="n">
        <f aca="false">VLOOKUP($B114,'[3]Delta Monthly'!$A$1:$AW$80,20,1)/10000</f>
        <v>0</v>
      </c>
      <c r="P114" s="44" t="n">
        <f aca="false">VLOOKUP($B114,'[3]Delta Monthly'!$A$1:$AW$80,22,1)/10000</f>
        <v>-5</v>
      </c>
      <c r="Q114" s="44" t="n">
        <f aca="false">VLOOKUP($B114,'[3]Delta Monthly'!$A$1:$AW$80,24,1)/10000</f>
        <v>0</v>
      </c>
      <c r="R114" s="65" t="n">
        <f aca="false">SUM(G114:Q114)</f>
        <v>-5</v>
      </c>
      <c r="S114" s="44" t="n">
        <f aca="false">(VLOOKUP($B114,'[3]Delta Monthly'!$A$1:$AW$80,26,FALSE())+VLOOKUP($B114,'[3]Delta Monthly'!$A$1:$AW$80,28,FALSE()))/10000</f>
        <v>0</v>
      </c>
      <c r="T114" s="44" t="n">
        <f aca="false">(VLOOKUP($B114,'[3]Delta Monthly'!$A$1:$AW$80,30,FALSE())+VLOOKUP($B114,'[3]Delta Monthly'!$A$1:$AW$80,32,FALSE()))/10000</f>
        <v>0</v>
      </c>
      <c r="U114" s="44" t="n">
        <f aca="false">VLOOKUP($B114,'[3]Delta Monthly'!$A$1:$AW$80,34,FALSE())/10000</f>
        <v>0</v>
      </c>
      <c r="V114" s="44" t="n">
        <f aca="false">VLOOKUP($B114,'[3]Delta Monthly'!$A$1:$AW$80,36,FALSE())/10000</f>
        <v>0</v>
      </c>
      <c r="W114" s="44" t="n">
        <f aca="false">(VLOOKUP($B114,'[3]Delta Monthly'!$A$1:$AW$80,38,FALSE())+VLOOKUP($B114,'[3]Delta Monthly'!$A$1:$AW$80,40,FALSE()))/10000</f>
        <v>0</v>
      </c>
      <c r="X114" s="44" t="n">
        <f aca="false">VLOOKUP($B114,'[3]Delta Monthly'!$A$1:$AW$80,42,FALSE())/10000</f>
        <v>0</v>
      </c>
      <c r="Y114" s="44" t="n">
        <f aca="false">(VLOOKUP($B114,'[3]Delta Monthly'!$A$1:$AW$80,44,FALSE())+VLOOKUP($B114,'[3]Delta Monthly'!$A$1:$AW$80,46,FALSE())+VLOOKUP($B114,'[3]Delta Monthly'!$A$1:$AW$80,48,FALSE()))/10000</f>
        <v>0</v>
      </c>
      <c r="Z114" s="65" t="n">
        <f aca="false">SUM(S114:Y114)</f>
        <v>0</v>
      </c>
      <c r="AA114" s="65" t="n">
        <f aca="false">VLOOKUP($B114,'[5]Delta Yearly'!$A$1:$AD$80,4,FALSE())/10000</f>
        <v>0</v>
      </c>
      <c r="AB114" s="65" t="n">
        <f aca="false">(VLOOKUP($B114,'[5]Delta Yearly'!$A$1:$AC$80,6,FALSE())+VLOOKUP($B114,'[5]Delta Yearly'!$A$1:$AC$80,8,FALSE())+VLOOKUP($B114,'[5]Delta Yearly'!$A$1:$AC$80,10,FALSE())+VLOOKUP($B114,'[5]Delta Yearly'!$A$1:$AC$80,12,FALSE())+VLOOKUP($B114,'[5]Delta Yearly'!$A$1:$AC$80,14,FALSE())+VLOOKUP($B114,'[5]Delta Yearly'!$A$1:$AC$80,16,FALSE())+VLOOKUP($B114,'[5]Delta Yearly'!$A$1:$AC$80,18,FALSE())+VLOOKUP($B114,'[5]Delta Yearly'!$A$1:$AC$80,20,FALSE())+VLOOKUP($B114,'[5]Delta Yearly'!$A$1:$AC$80,22,FALSE())+VLOOKUP($B114,'[5]Delta Yearly'!$A$1:$AC$80,24,FALSE())+VLOOKUP($B114,'[5]Delta Yearly'!$A$1:$AC$80,26,FALSE())+VLOOKUP($B114,'[5]Delta Yearly'!$A$1:$AC$80,28,FALSE()))/10000</f>
        <v>0</v>
      </c>
      <c r="AC114" s="65" t="n">
        <f aca="false">SUM(AB114,AA114,Z114,R114)</f>
        <v>-5</v>
      </c>
      <c r="AE114" s="39"/>
      <c r="AF114" s="192" t="s">
        <v>193</v>
      </c>
      <c r="AG114" s="193" t="n">
        <f aca="false">AC114</f>
        <v>-5</v>
      </c>
      <c r="AH114" s="194"/>
      <c r="AI114" s="195"/>
      <c r="AJ114" s="194" t="n">
        <f aca="false">SUM(AG114:AI114)</f>
        <v>-5</v>
      </c>
      <c r="AK114" s="4"/>
      <c r="AL114" s="4"/>
    </row>
    <row r="115" customFormat="false" ht="8.1" hidden="false" customHeight="true" outlineLevel="0" collapsed="false">
      <c r="A115" s="192"/>
      <c r="B115" s="176"/>
      <c r="C115" s="176"/>
      <c r="D115" s="177"/>
      <c r="E115" s="196"/>
      <c r="F115" s="196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65"/>
      <c r="S115" s="43"/>
      <c r="T115" s="43"/>
      <c r="U115" s="43"/>
      <c r="V115" s="43"/>
      <c r="W115" s="43"/>
      <c r="X115" s="43"/>
      <c r="Y115" s="43"/>
      <c r="Z115" s="65"/>
      <c r="AA115" s="65"/>
      <c r="AB115" s="92"/>
      <c r="AC115" s="65"/>
      <c r="AE115" s="39"/>
      <c r="AF115" s="192"/>
      <c r="AG115" s="193"/>
      <c r="AH115" s="194"/>
      <c r="AI115" s="195"/>
      <c r="AJ115" s="194"/>
      <c r="AK115" s="4"/>
      <c r="AL115" s="4"/>
    </row>
    <row r="116" customFormat="false" ht="19.5" hidden="false" customHeight="true" outlineLevel="0" collapsed="false">
      <c r="A116" s="192" t="s">
        <v>196</v>
      </c>
      <c r="B116" s="160" t="s">
        <v>197</v>
      </c>
      <c r="C116" s="1" t="s">
        <v>198</v>
      </c>
      <c r="D116" s="177" t="s">
        <v>148</v>
      </c>
      <c r="E116" s="91" t="n">
        <f aca="false">(VLOOKUP(C116,[4]Sheet1!$B$1:$G$65,2,0))*-1</f>
        <v>0.000112333100145236</v>
      </c>
      <c r="F116" s="91" t="n">
        <f aca="false">(VLOOKUP(C116,[4]Sheet1!$B$1:$G$65,4,0))</f>
        <v>4.12736912117422E-005</v>
      </c>
      <c r="G116" s="44"/>
      <c r="H116" s="44"/>
      <c r="I116" s="44"/>
      <c r="J116" s="44"/>
      <c r="K116" s="44"/>
      <c r="L116" s="44"/>
      <c r="M116" s="44"/>
      <c r="N116" s="44"/>
      <c r="O116" s="44" t="n">
        <f aca="false">VLOOKUP($B116,'[3]Delta Monthly'!$A$1:$AW$76,20,1)/10000</f>
        <v>0</v>
      </c>
      <c r="P116" s="44" t="n">
        <f aca="false">VLOOKUP($B116,'[3]Delta Monthly'!$A$1:$AW$76,22,1)/10000</f>
        <v>0</v>
      </c>
      <c r="Q116" s="44" t="n">
        <f aca="false">VLOOKUP($B116,'[3]Delta Monthly'!$A$1:$AW$76,24,1)/10000</f>
        <v>170.38119175</v>
      </c>
      <c r="R116" s="65" t="n">
        <f aca="false">SUM(G116:Q116)</f>
        <v>170.38119175</v>
      </c>
      <c r="S116" s="44" t="n">
        <f aca="false">(VLOOKUP($B116,'[3]Delta Monthly'!$A$1:$AW$76,26,FALSE())+VLOOKUP($B116,'[3]Delta Monthly'!$A$1:$AW$76,28,FALSE()))/10000</f>
        <v>-443.69627532</v>
      </c>
      <c r="T116" s="44" t="n">
        <f aca="false">(VLOOKUP($B116,'[3]Delta Monthly'!$A$1:$AW$76,30,FALSE())+VLOOKUP($B116,'[3]Delta Monthly'!$A$1:$AW$76,32,FALSE()))/10000</f>
        <v>-35.48817952</v>
      </c>
      <c r="U116" s="44" t="n">
        <f aca="false">VLOOKUP($B116,'[3]Delta Monthly'!$A$1:$AW$76,34,FALSE())/10000</f>
        <v>1.53518539</v>
      </c>
      <c r="V116" s="44" t="n">
        <f aca="false">VLOOKUP($B116,'[3]Delta Monthly'!$A$1:$AW$76,36,FALSE())/10000</f>
        <v>1.48276526</v>
      </c>
      <c r="W116" s="44" t="n">
        <f aca="false">(VLOOKUP($B116,'[3]Delta Monthly'!$A$1:$AW$76,38,FALSE())+VLOOKUP($B116,'[3]Delta Monthly'!$A$1:$AW$76,40,FALSE()))/10000</f>
        <v>3.05490286</v>
      </c>
      <c r="X116" s="44" t="n">
        <f aca="false">VLOOKUP($B116,'[3]Delta Monthly'!$A$1:$AW$76,42,FALSE())/10000</f>
        <v>1.47313727</v>
      </c>
      <c r="Y116" s="44" t="n">
        <f aca="false">(VLOOKUP($B116,'[3]Delta Monthly'!$A$1:$AW$76,44,FALSE())+VLOOKUP($B116,'[3]Delta Monthly'!$A$1:$AW$76,46,FALSE())+VLOOKUP($B116,'[3]Delta Monthly'!$A$1:$AW$76,48,FALSE()))/10000</f>
        <v>4.49523333</v>
      </c>
      <c r="Z116" s="65" t="n">
        <f aca="false">SUM(S116:Y116)</f>
        <v>-467.14323073</v>
      </c>
      <c r="AA116" s="65" t="n">
        <f aca="false">VLOOKUP($B116,'[5]Delta Yearly'!$A$1:$AD$76,4,FALSE())/10000</f>
        <v>69.65174175</v>
      </c>
      <c r="AB116" s="65" t="n">
        <f aca="false">VLOOKUP($B116,'[5]Delta Yearly'!$A$1:$AC$76,6,FALSE())+VLOOKUP($B116,'[5]Delta Yearly'!$A$1:$AC$76,8,FALSE())+VLOOKUP($B116,'[5]Delta Yearly'!$A$1:$AC$76,10,FALSE())+VLOOKUP($B116,'[5]Delta Yearly'!$A$1:$AC$76,12,FALSE())+VLOOKUP($B116,'[5]Delta Yearly'!$A$1:$AC$76,14,FALSE())+VLOOKUP($B116,'[5]Delta Yearly'!$A$1:$AC$76,16,FALSE())+VLOOKUP($B116,'[5]Delta Yearly'!$A$1:$AC$76,18,FALSE())+VLOOKUP($B116,'[5]Delta Yearly'!$A$1:$AC$76,20,FALSE())+VLOOKUP($B116,'[5]Delta Yearly'!$A$1:$AC$76,22,FALSE())+VLOOKUP($B116,'[5]Delta Yearly'!$A$1:$AC$76,24,FALSE())+VLOOKUP($B116,'[5]Delta Yearly'!$A$1:$AC$76,26,FALSE())+VLOOKUP($B116,'[5]Delta Yearly'!$A$1:$AC$76,28,FALSE())</f>
        <v>0</v>
      </c>
      <c r="AC116" s="65" t="n">
        <f aca="false">SUM(AB116,AA116,Z116,R116)</f>
        <v>-227.11029723</v>
      </c>
      <c r="AE116" s="39"/>
      <c r="AF116" s="192" t="s">
        <v>196</v>
      </c>
      <c r="AG116" s="193" t="n">
        <f aca="false">AC116</f>
        <v>-227.11029723</v>
      </c>
      <c r="AH116" s="194"/>
      <c r="AI116" s="195"/>
      <c r="AJ116" s="194" t="n">
        <f aca="false">SUM(AG116:AI116)</f>
        <v>-227.11029723</v>
      </c>
      <c r="AK116" s="4"/>
      <c r="AL116" s="4"/>
    </row>
    <row r="117" customFormat="false" ht="8.1" hidden="false" customHeight="true" outlineLevel="0" collapsed="false">
      <c r="A117" s="192"/>
      <c r="B117" s="176"/>
      <c r="C117" s="176"/>
      <c r="D117" s="177"/>
      <c r="E117" s="196"/>
      <c r="F117" s="196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65"/>
      <c r="S117" s="43"/>
      <c r="T117" s="43"/>
      <c r="U117" s="43"/>
      <c r="V117" s="43"/>
      <c r="W117" s="43"/>
      <c r="X117" s="43"/>
      <c r="Y117" s="43"/>
      <c r="Z117" s="65"/>
      <c r="AA117" s="65"/>
      <c r="AB117" s="65"/>
      <c r="AC117" s="65"/>
      <c r="AE117" s="39"/>
      <c r="AF117" s="192"/>
      <c r="AG117" s="193"/>
      <c r="AH117" s="194"/>
      <c r="AI117" s="195"/>
      <c r="AJ117" s="194"/>
      <c r="AK117" s="4"/>
      <c r="AL117" s="4"/>
    </row>
    <row r="118" customFormat="false" ht="19.5" hidden="true" customHeight="true" outlineLevel="0" collapsed="false">
      <c r="A118" s="184" t="s">
        <v>199</v>
      </c>
      <c r="B118" s="185"/>
      <c r="C118" s="185"/>
      <c r="D118" s="186" t="s">
        <v>175</v>
      </c>
      <c r="E118" s="197"/>
      <c r="F118" s="197"/>
      <c r="G118" s="147"/>
      <c r="H118" s="147"/>
      <c r="I118" s="147"/>
      <c r="J118" s="147"/>
      <c r="K118" s="147"/>
      <c r="L118" s="147"/>
      <c r="M118" s="147"/>
      <c r="N118" s="147"/>
      <c r="O118" s="147" t="n">
        <f aca="false">'[2]sprdoptgas positions'!E3+'[2]sprdoptgas positions'!E5+'[2]sprdoptgas positions'!E6+'[2]sprdoptgas positions'!E7</f>
        <v>0</v>
      </c>
      <c r="P118" s="147" t="n">
        <f aca="false">'[2]sprdoptgas positions'!F3+'[2]sprdoptgas positions'!F5+'[2]sprdoptgas positions'!F6+'[2]sprdoptgas positions'!F7</f>
        <v>-26.2200387867428</v>
      </c>
      <c r="Q118" s="147" t="n">
        <f aca="false">'[2]sprdoptgas positions'!G3+'[2]sprdoptgas positions'!G5+'[2]sprdoptgas positions'!G6+'[2]sprdoptgas positions'!G7</f>
        <v>-26914.7744886302</v>
      </c>
      <c r="R118" s="144" t="n">
        <f aca="false">'[2]sprdoptgas positions'!H3+'[2]sprdoptgas positions'!H5+'[2]sprdoptgas positions'!H6+'[2]sprdoptgas positions'!H7</f>
        <v>-26940.994527417</v>
      </c>
      <c r="S118" s="147" t="n">
        <f aca="false">'[2]sprdoptgas positions'!I3+'[2]sprdoptgas positions'!I5+'[2]sprdoptgas positions'!I6+'[2]sprdoptgas positions'!I7</f>
        <v>17774.1744559666</v>
      </c>
      <c r="T118" s="147" t="n">
        <f aca="false">'[2]sprdoptgas positions'!J3+'[2]sprdoptgas positions'!J5+'[2]sprdoptgas positions'!J6+'[2]sprdoptgas positions'!J7</f>
        <v>16334.2300199127</v>
      </c>
      <c r="U118" s="147" t="n">
        <f aca="false">'[2]sprdoptgas positions'!K3+'[2]sprdoptgas positions'!K5+'[2]sprdoptgas positions'!K6+'[2]sprdoptgas positions'!K7</f>
        <v>9400.01673941525</v>
      </c>
      <c r="V118" s="147" t="n">
        <f aca="false">'[2]sprdoptgas positions'!L3+'[2]sprdoptgas positions'!L5+'[2]sprdoptgas positions'!L6+'[2]sprdoptgas positions'!L7</f>
        <v>120664.388646459</v>
      </c>
      <c r="W118" s="147" t="n">
        <f aca="false">'[2]sprdoptgas positions'!M3+'[2]sprdoptgas positions'!M5+'[2]sprdoptgas positions'!M6+'[2]sprdoptgas positions'!M7</f>
        <v>476207.989524345</v>
      </c>
      <c r="X118" s="147" t="n">
        <f aca="false">'[2]sprdoptgas positions'!N3+'[2]sprdoptgas positions'!N5+'[2]sprdoptgas positions'!N6+'[2]sprdoptgas positions'!N7</f>
        <v>128368.02036564</v>
      </c>
      <c r="Y118" s="147" t="n">
        <f aca="false">'[2]sprdoptgas positions'!O3+'[2]sprdoptgas positions'!O5+'[2]sprdoptgas positions'!O6+'[2]sprdoptgas positions'!O7</f>
        <v>20679.1659979933</v>
      </c>
      <c r="Z118" s="144" t="n">
        <f aca="false">'[2]sprdoptgas positions'!P3+'[2]sprdoptgas positions'!P5+'[2]sprdoptgas positions'!P6+'[2]sprdoptgas positions'!P7</f>
        <v>789427.985749731</v>
      </c>
      <c r="AA118" s="144" t="n">
        <f aca="false">'[2]sprdoptgas positions'!Q3+'[2]sprdoptgas positions'!Q5+'[2]sprdoptgas positions'!Q6+'[2]sprdoptgas positions'!Q7</f>
        <v>-826351.564414916</v>
      </c>
      <c r="AB118" s="144" t="n">
        <f aca="false">'[2]sprdoptgas positions'!R3+'[2]sprdoptgas positions'!R5+'[2]sprdoptgas positions'!R6+'[2]sprdoptgas positions'!R7</f>
        <v>0</v>
      </c>
      <c r="AC118" s="144" t="n">
        <f aca="false">SUM(AB118,AA118,Z118,R118)</f>
        <v>-63864.5731926015</v>
      </c>
      <c r="AE118" s="39"/>
      <c r="AF118" s="184" t="s">
        <v>199</v>
      </c>
      <c r="AG118" s="193"/>
      <c r="AH118" s="194"/>
      <c r="AI118" s="195"/>
      <c r="AJ118" s="194"/>
      <c r="AK118" s="4"/>
      <c r="AL118" s="4"/>
    </row>
    <row r="119" customFormat="false" ht="18" hidden="true" customHeight="false" outlineLevel="0" collapsed="false">
      <c r="A119" s="184" t="s">
        <v>199</v>
      </c>
      <c r="B119" s="185" t="s">
        <v>200</v>
      </c>
      <c r="C119" s="185"/>
      <c r="D119" s="186" t="s">
        <v>201</v>
      </c>
      <c r="E119" s="197"/>
      <c r="F119" s="197"/>
      <c r="G119" s="147"/>
      <c r="H119" s="147"/>
      <c r="I119" s="147"/>
      <c r="J119" s="147"/>
      <c r="K119" s="147"/>
      <c r="L119" s="147"/>
      <c r="M119" s="147"/>
      <c r="N119" s="147"/>
      <c r="O119" s="147" t="n">
        <f aca="false">VLOOKUP($B119,'[3]Delta Monthly'!$A$1:$AW$80,20,1)</f>
        <v>0</v>
      </c>
      <c r="P119" s="147" t="n">
        <f aca="false">VLOOKUP($B119,'[3]Delta Monthly'!$A$1:$AW$80,22,1)</f>
        <v>0</v>
      </c>
      <c r="Q119" s="147" t="n">
        <f aca="false">VLOOKUP($B119,'[3]Delta Monthly'!$A$1:$AW$80,24,1)</f>
        <v>-162386.7664</v>
      </c>
      <c r="R119" s="144" t="n">
        <f aca="false">SUM(G119:Q119)</f>
        <v>-162386.7664</v>
      </c>
      <c r="S119" s="147" t="n">
        <f aca="false">VLOOKUP($B119,'[3]Delta Monthly'!$A$1:$AW$80,26,FALSE())+VLOOKUP($B119,'[3]Delta Monthly'!$A$1:$AW$80,28,FALSE())</f>
        <v>92453.2686</v>
      </c>
      <c r="T119" s="147" t="n">
        <f aca="false">VLOOKUP($B119,'[3]Delta Monthly'!$A$1:$AW$80,30,FALSE())+VLOOKUP($B119,'[3]Delta Monthly'!$A$1:$AW$80,32,FALSE())</f>
        <v>-399610.5901</v>
      </c>
      <c r="U119" s="147" t="n">
        <f aca="false">VLOOKUP($B119,'[3]Delta Monthly'!$A$1:$AW$80,34,FALSE())</f>
        <v>-279799.9189</v>
      </c>
      <c r="V119" s="147" t="n">
        <f aca="false">VLOOKUP($B119,'[3]Delta Monthly'!$A$1:$AW$80,36,FALSE())</f>
        <v>-261955.1959</v>
      </c>
      <c r="W119" s="147" t="n">
        <f aca="false">VLOOKUP($B119,'[3]Delta Monthly'!$A$1:$AW$80,38,FALSE())+VLOOKUP($B119,'[3]Delta Monthly'!$A$1:$AW$80,40,FALSE())</f>
        <v>-497653.5284</v>
      </c>
      <c r="X119" s="147" t="n">
        <f aca="false">VLOOKUP($B119,'[3]Delta Monthly'!$A$1:$AW$80,42,FALSE())</f>
        <v>-250433.3328</v>
      </c>
      <c r="Y119" s="147" t="n">
        <f aca="false">VLOOKUP($B119,'[3]Delta Monthly'!$A$1:$AW$80,44,FALSE())+VLOOKUP($B119,'[3]Delta Monthly'!$A$1:$AW$80,46,FALSE())+VLOOKUP($B119,'[3]Delta Monthly'!$A$1:$AW$80,48,FALSE())</f>
        <v>-315748.4453</v>
      </c>
      <c r="Z119" s="144" t="n">
        <f aca="false">SUM(S119:Y119)</f>
        <v>-1912747.7428</v>
      </c>
      <c r="AA119" s="144" t="n">
        <f aca="false">VLOOKUP($B119,'[5]Delta Yearly'!$A$1:$AD$80,4,FALSE())</f>
        <v>966789.937</v>
      </c>
      <c r="AB119" s="144" t="n">
        <f aca="false">VLOOKUP($B119,'[5]Delta Yearly'!$A$1:$AC$80,6,FALSE())+VLOOKUP($B119,'[5]Delta Yearly'!$A$1:$AC$80,8,FALSE())+VLOOKUP($B119,'[5]Delta Yearly'!$A$1:$AC$80,10,FALSE())+VLOOKUP($B119,'[5]Delta Yearly'!$A$1:$AC$80,12,FALSE())+VLOOKUP($B119,'[5]Delta Yearly'!$A$1:$AC$80,14,FALSE())+VLOOKUP($B119,'[5]Delta Yearly'!$A$1:$AC$80,16,FALSE())+VLOOKUP($B119,'[5]Delta Yearly'!$A$1:$AC$80,18,FALSE())+VLOOKUP($B119,'[5]Delta Yearly'!$A$1:$AC$80,20,FALSE())+VLOOKUP($B119,'[5]Delta Yearly'!$A$1:$AC$80,22,FALSE())+VLOOKUP($B119,'[5]Delta Yearly'!$A$1:$AC$80,24,FALSE())+VLOOKUP($B119,'[5]Delta Yearly'!$A$1:$AC$80,26,FALSE())+VLOOKUP($B119,'[5]Delta Yearly'!$A$1:$AC$80,28,FALSE())</f>
        <v>0</v>
      </c>
      <c r="AC119" s="144" t="n">
        <f aca="false">SUM(AB119,AA119,Z119,R119)</f>
        <v>-1108344.5722</v>
      </c>
      <c r="AE119" s="39"/>
      <c r="AF119" s="184" t="s">
        <v>199</v>
      </c>
      <c r="AG119" s="193"/>
      <c r="AH119" s="194"/>
      <c r="AI119" s="195"/>
      <c r="AJ119" s="194"/>
      <c r="AK119" s="4"/>
      <c r="AL119" s="4"/>
    </row>
    <row r="120" customFormat="false" ht="18" hidden="false" customHeight="false" outlineLevel="0" collapsed="false">
      <c r="A120" s="192" t="s">
        <v>199</v>
      </c>
      <c r="B120" s="176" t="s">
        <v>200</v>
      </c>
      <c r="C120" s="1" t="s">
        <v>202</v>
      </c>
      <c r="D120" s="65" t="s">
        <v>161</v>
      </c>
      <c r="E120" s="91" t="n">
        <f aca="false">(VLOOKUP(C120,[4]Sheet1!$B$1:$G$65,2,0))*-1</f>
        <v>142408.362980314</v>
      </c>
      <c r="F120" s="91" t="n">
        <f aca="false">(VLOOKUP(C120,[4]Sheet1!$B$1:$G$65,4,0))</f>
        <v>5751.38426999102</v>
      </c>
      <c r="G120" s="44"/>
      <c r="H120" s="44"/>
      <c r="I120" s="44"/>
      <c r="J120" s="44"/>
      <c r="K120" s="44"/>
      <c r="L120" s="44"/>
      <c r="M120" s="44"/>
      <c r="N120" s="44"/>
      <c r="O120" s="44" t="n">
        <f aca="false">SUM(O118:O119)/10000</f>
        <v>0</v>
      </c>
      <c r="P120" s="44" t="n">
        <f aca="false">SUM(P118:P119)/10000</f>
        <v>-0.00262200387867428</v>
      </c>
      <c r="Q120" s="44" t="n">
        <f aca="false">SUM(Q118:Q119)/10000</f>
        <v>-18.930154088863</v>
      </c>
      <c r="R120" s="65" t="n">
        <f aca="false">SUM(R118:R119)/10000</f>
        <v>-18.9327760927417</v>
      </c>
      <c r="S120" s="44" t="n">
        <f aca="false">SUM(S118:S119)/10000</f>
        <v>11.0227443055967</v>
      </c>
      <c r="T120" s="44" t="n">
        <f aca="false">SUM(T118:T119)/10000</f>
        <v>-38.3276360080087</v>
      </c>
      <c r="U120" s="44" t="n">
        <f aca="false">SUM(U118:U119)/10000</f>
        <v>-27.0399902160585</v>
      </c>
      <c r="V120" s="44" t="n">
        <f aca="false">SUM(V118:V119)/10000</f>
        <v>-14.1290807253541</v>
      </c>
      <c r="W120" s="44" t="n">
        <f aca="false">SUM(W118:W119)/10000</f>
        <v>-2.14455388756552</v>
      </c>
      <c r="X120" s="44" t="n">
        <f aca="false">SUM(X118:X119)/10000</f>
        <v>-12.206531243436</v>
      </c>
      <c r="Y120" s="44" t="n">
        <f aca="false">SUM(Y118:Y119)/10000</f>
        <v>-29.5069279302007</v>
      </c>
      <c r="Z120" s="65" t="n">
        <f aca="false">SUM(Z118:Z119)/10000</f>
        <v>-112.331975705027</v>
      </c>
      <c r="AA120" s="65" t="n">
        <f aca="false">SUM(AA118:AA119)/10000</f>
        <v>14.0438372585084</v>
      </c>
      <c r="AB120" s="65" t="n">
        <f aca="false">SUM(AB118:AB119)/10000</f>
        <v>0</v>
      </c>
      <c r="AC120" s="65" t="n">
        <f aca="false">SUM(AC118:AC119)/10000</f>
        <v>-117.22091453926</v>
      </c>
      <c r="AF120" s="192" t="s">
        <v>199</v>
      </c>
      <c r="AG120" s="193" t="n">
        <f aca="false">AC119/10000</f>
        <v>-110.83445722</v>
      </c>
      <c r="AH120" s="194" t="n">
        <f aca="false">AC118/10000</f>
        <v>-6.38645731926015</v>
      </c>
      <c r="AI120" s="195"/>
      <c r="AJ120" s="194" t="n">
        <f aca="false">SUM(AG120:AI120)</f>
        <v>-117.22091453926</v>
      </c>
      <c r="AK120" s="4"/>
      <c r="AL120" s="4"/>
    </row>
    <row r="121" customFormat="false" ht="8.1" hidden="false" customHeight="true" outlineLevel="0" collapsed="false">
      <c r="A121" s="192"/>
      <c r="B121" s="176"/>
      <c r="C121" s="176"/>
      <c r="D121" s="177"/>
      <c r="E121" s="196"/>
      <c r="F121" s="196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65"/>
      <c r="S121" s="43"/>
      <c r="T121" s="43"/>
      <c r="U121" s="43"/>
      <c r="V121" s="43"/>
      <c r="W121" s="43"/>
      <c r="X121" s="43"/>
      <c r="Y121" s="43"/>
      <c r="Z121" s="65"/>
      <c r="AA121" s="65"/>
      <c r="AB121" s="65"/>
      <c r="AC121" s="65"/>
      <c r="AF121" s="192"/>
      <c r="AG121" s="193"/>
      <c r="AH121" s="194"/>
      <c r="AI121" s="195"/>
      <c r="AJ121" s="194"/>
      <c r="AK121" s="4"/>
      <c r="AL121" s="4"/>
    </row>
    <row r="122" customFormat="false" ht="18" hidden="false" customHeight="false" outlineLevel="0" collapsed="false">
      <c r="A122" s="192" t="s">
        <v>203</v>
      </c>
      <c r="B122" s="160" t="s">
        <v>204</v>
      </c>
      <c r="C122" s="1" t="s">
        <v>205</v>
      </c>
      <c r="D122" s="177" t="s">
        <v>90</v>
      </c>
      <c r="E122" s="91" t="n">
        <f aca="false">(VLOOKUP(C122,[4]Sheet1!$B$1:$G$65,2,0))*-1</f>
        <v>1712901.14820056</v>
      </c>
      <c r="F122" s="91" t="n">
        <f aca="false">(VLOOKUP(C122,[4]Sheet1!$B$1:$G$65,4,0))</f>
        <v>1082920.02425974</v>
      </c>
      <c r="G122" s="44"/>
      <c r="H122" s="44"/>
      <c r="I122" s="44"/>
      <c r="J122" s="44"/>
      <c r="K122" s="44"/>
      <c r="L122" s="44"/>
      <c r="M122" s="44"/>
      <c r="N122" s="44"/>
      <c r="O122" s="44" t="n">
        <f aca="false">VLOOKUP($B122,'[3]Delta Monthly'!$A$1:$AW$80,20,1)/10000</f>
        <v>0</v>
      </c>
      <c r="P122" s="44" t="n">
        <f aca="false">VLOOKUP($B122,'[3]Delta Monthly'!$A$1:$AW$80,22,1)/10000</f>
        <v>22.1842</v>
      </c>
      <c r="Q122" s="44" t="n">
        <f aca="false">VLOOKUP($B122,'[3]Delta Monthly'!$A$1:$AW$80,24,1)/10000</f>
        <v>-1316.58193626</v>
      </c>
      <c r="R122" s="65" t="n">
        <f aca="false">SUM(G122:Q122)</f>
        <v>-1294.39773626</v>
      </c>
      <c r="S122" s="44" t="n">
        <f aca="false">(VLOOKUP($B122,'[3]Delta Monthly'!$A$1:$AW$80,26,2)+VLOOKUP($B122,'[3]Delta Monthly'!$A$1:$AW$80,28,2))/10000</f>
        <v>0</v>
      </c>
      <c r="T122" s="44" t="n">
        <f aca="false">(VLOOKUP($B122,'[3]Delta Monthly'!$A$1:$AW$80,30,FALSE())+VLOOKUP($B122,'[3]Delta Monthly'!$A$1:$AW$80,32,FALSE()))/10000</f>
        <v>0</v>
      </c>
      <c r="U122" s="44" t="n">
        <f aca="false">(VLOOKUP($B122,'[3]Delta Monthly'!$A$1:$AW$80,34,FALSE()))/10000</f>
        <v>0</v>
      </c>
      <c r="V122" s="44" t="n">
        <f aca="false">(VLOOKUP($B122,'[3]Delta Monthly'!$A$1:$AW$80,36,FALSE()))/10000</f>
        <v>0</v>
      </c>
      <c r="W122" s="44" t="n">
        <f aca="false">(VLOOKUP($B122,'[3]Delta Monthly'!$A$1:$AW$80,38,FALSE())+VLOOKUP($B122,'[3]Delta Monthly'!$A$1:$AW$80,40,FALSE()))/10000</f>
        <v>0</v>
      </c>
      <c r="X122" s="44" t="n">
        <f aca="false">(VLOOKUP($B122,'[3]Delta Monthly'!$A$1:$AW$80,42,FALSE()))/10000</f>
        <v>0</v>
      </c>
      <c r="Y122" s="44" t="n">
        <f aca="false">(VLOOKUP($B122,'[3]Delta Monthly'!$A$1:$AW$80,44,FALSE())+VLOOKUP($B122,'[3]Delta Monthly'!$A$1:$AW$80,46,FALSE())+VLOOKUP($B122,'[3]Delta Monthly'!$A$1:$AW$80,48,FALSE()))/10000</f>
        <v>0</v>
      </c>
      <c r="Z122" s="65" t="n">
        <f aca="false">SUM(S122:Y122)</f>
        <v>0</v>
      </c>
      <c r="AA122" s="65" t="n">
        <f aca="false">VLOOKUP($B122,'[5]Delta Yearly'!$A$1:$AD$80,4,FALSE())/10000</f>
        <v>-1393.03483513</v>
      </c>
      <c r="AB122" s="65" t="n">
        <f aca="false">(VLOOKUP($B122,'[5]Delta Yearly'!$A$1:$AC$80,6,FALSE())+VLOOKUP($B122,'[5]Delta Yearly'!$A$1:$AC$80,8,FALSE())+VLOOKUP($B122,'[5]Delta Yearly'!$A$1:$AC$80,10,FALSE())+VLOOKUP($B122,'[5]Delta Yearly'!$A$1:$AC$80,12,FALSE())+VLOOKUP($B122,'[5]Delta Yearly'!$A$1:$AC$80,14,FALSE())+VLOOKUP($B122,'[5]Delta Yearly'!$A$1:$AC$80,16,FALSE())+VLOOKUP($B122,'[5]Delta Yearly'!$A$1:$AC$80,18,FALSE())+VLOOKUP($B122,'[5]Delta Yearly'!$A$1:$AC$80,20,FALSE())+VLOOKUP($B122,'[5]Delta Yearly'!$A$1:$AC$80,22,FALSE())+VLOOKUP($B122,'[5]Delta Yearly'!$A$1:$AC$80,24,FALSE())+VLOOKUP($B122,'[5]Delta Yearly'!$A$1:$AC$80,26,FALSE())+VLOOKUP($B122,'[5]Delta Yearly'!$A$1:$AC$80,28,FALSE()))/10000</f>
        <v>0</v>
      </c>
      <c r="AC122" s="65" t="n">
        <f aca="false">SUM(AB122,AA122,Z122,R122)</f>
        <v>-2687.43257139</v>
      </c>
      <c r="AF122" s="192" t="s">
        <v>203</v>
      </c>
      <c r="AG122" s="199" t="n">
        <f aca="false">AC122</f>
        <v>-2687.43257139</v>
      </c>
      <c r="AH122" s="200"/>
      <c r="AI122" s="201"/>
      <c r="AJ122" s="200" t="n">
        <f aca="false">SUM(AG122:AI122)</f>
        <v>-2687.43257139</v>
      </c>
      <c r="AK122" s="4"/>
      <c r="AL122" s="4"/>
    </row>
    <row r="123" customFormat="false" ht="8.1" hidden="false" customHeight="true" outlineLevel="0" collapsed="false">
      <c r="A123" s="192"/>
      <c r="B123" s="160"/>
      <c r="C123" s="160"/>
      <c r="D123" s="177"/>
      <c r="E123" s="196"/>
      <c r="F123" s="196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65"/>
      <c r="S123" s="43"/>
      <c r="T123" s="43"/>
      <c r="U123" s="43"/>
      <c r="V123" s="43"/>
      <c r="W123" s="43"/>
      <c r="X123" s="43"/>
      <c r="Y123" s="43"/>
      <c r="Z123" s="65"/>
      <c r="AA123" s="65"/>
      <c r="AB123" s="65"/>
      <c r="AC123" s="65"/>
      <c r="AF123" s="192"/>
      <c r="AG123" s="193"/>
      <c r="AH123" s="194"/>
      <c r="AI123" s="195"/>
      <c r="AJ123" s="194"/>
      <c r="AK123" s="4"/>
      <c r="AL123" s="4"/>
    </row>
    <row r="124" customFormat="false" ht="18" hidden="false" customHeight="false" outlineLevel="0" collapsed="false">
      <c r="A124" s="192" t="s">
        <v>206</v>
      </c>
      <c r="B124" s="160" t="s">
        <v>207</v>
      </c>
      <c r="C124" s="1" t="s">
        <v>208</v>
      </c>
      <c r="D124" s="177" t="s">
        <v>77</v>
      </c>
      <c r="E124" s="91" t="n">
        <f aca="false">(VLOOKUP(C124,[4]Sheet1!$B$1:$G$65,2,0))*-1</f>
        <v>-0</v>
      </c>
      <c r="F124" s="91" t="n">
        <f aca="false">(VLOOKUP(C124,[4]Sheet1!$B$1:$G$65,4,0))</f>
        <v>0</v>
      </c>
      <c r="G124" s="44"/>
      <c r="H124" s="44"/>
      <c r="I124" s="44"/>
      <c r="J124" s="44"/>
      <c r="K124" s="44"/>
      <c r="L124" s="44"/>
      <c r="M124" s="44"/>
      <c r="N124" s="44"/>
      <c r="O124" s="44" t="n">
        <f aca="false">VLOOKUP($B124,'[3]Delta Monthly'!$A$1:$AW$80,20,1)/10000</f>
        <v>0</v>
      </c>
      <c r="P124" s="44" t="n">
        <f aca="false">VLOOKUP($B124,'[3]Delta Monthly'!$A$1:$AW$80,22,1)/10000</f>
        <v>0</v>
      </c>
      <c r="Q124" s="44" t="n">
        <f aca="false">VLOOKUP($B124,'[3]Delta Monthly'!$A$1:$AW$80,24,1)/10000</f>
        <v>0</v>
      </c>
      <c r="R124" s="65" t="n">
        <f aca="false">SUM(G124:Q124)</f>
        <v>0</v>
      </c>
      <c r="S124" s="44" t="n">
        <f aca="false">VLOOKUP($B124,'[3]Delta Monthly'!$A$1:$AW$80,26,FALSE())+VLOOKUP($B124,'[3]Delta Monthly'!$A$1:$AW$80,28,FALSE())</f>
        <v>0</v>
      </c>
      <c r="T124" s="44" t="n">
        <f aca="false">VLOOKUP($B124,'[3]Delta Monthly'!$A$1:$AW$80,30,FALSE())+VLOOKUP($B124,'[3]Delta Monthly'!$A$1:$AW$80,32,FALSE())</f>
        <v>0</v>
      </c>
      <c r="U124" s="44" t="n">
        <f aca="false">VLOOKUP($B124,'[3]Delta Monthly'!$A$1:$AW$80,34,FALSE())</f>
        <v>0</v>
      </c>
      <c r="V124" s="44" t="n">
        <f aca="false">VLOOKUP($B124,'[3]Delta Monthly'!$A$1:$AW$80,36,FALSE())</f>
        <v>0</v>
      </c>
      <c r="W124" s="44" t="n">
        <f aca="false">VLOOKUP($B124,'[3]Delta Monthly'!$A$1:$AW$80,38,FALSE())+VLOOKUP($B124,'[3]Delta Monthly'!$A$1:$AW$80,40,FALSE())</f>
        <v>0</v>
      </c>
      <c r="X124" s="44" t="n">
        <f aca="false">VLOOKUP($B124,'[3]Delta Monthly'!$A$1:$AW$80,42,FALSE())</f>
        <v>0</v>
      </c>
      <c r="Y124" s="44" t="n">
        <f aca="false">VLOOKUP($B124,'[3]Delta Monthly'!$A$1:$AW$80,44,FALSE())+VLOOKUP($B124,'[3]Delta Monthly'!$A$1:$AW$80,46,FALSE())+VLOOKUP($B124,'[3]Delta Monthly'!$A$1:$AW$80,48,FALSE())</f>
        <v>0</v>
      </c>
      <c r="Z124" s="65" t="n">
        <f aca="false">SUM(S124:Y124)</f>
        <v>0</v>
      </c>
      <c r="AA124" s="65" t="n">
        <f aca="false">VLOOKUP($B124,'[5]Delta Yearly'!$A$1:$AD$80,4,FALSE())/10000</f>
        <v>0</v>
      </c>
      <c r="AB124" s="65" t="n">
        <f aca="false">VLOOKUP($B124,'[5]Delta Yearly'!$A$1:$AC$80,6,FALSE())+VLOOKUP($B124,'[5]Delta Yearly'!$A$1:$AC$80,8,FALSE())+VLOOKUP($B124,'[5]Delta Yearly'!$A$1:$AC$80,10,FALSE())+VLOOKUP($B124,'[5]Delta Yearly'!$A$1:$AC$80,12,FALSE())+VLOOKUP($B124,'[5]Delta Yearly'!$A$1:$AC$80,14,FALSE())+VLOOKUP($B124,'[5]Delta Yearly'!$A$1:$AC$80,16,FALSE())+VLOOKUP($B124,'[5]Delta Yearly'!$A$1:$AC$80,18,FALSE())+VLOOKUP($B124,'[5]Delta Yearly'!$A$1:$AC$80,20,FALSE())+VLOOKUP($B124,'[5]Delta Yearly'!$A$1:$AC$80,22,FALSE())+VLOOKUP($B124,'[5]Delta Yearly'!$A$1:$AC$80,24,FALSE())+VLOOKUP($B124,'[5]Delta Yearly'!$A$1:$AC$80,26,FALSE())+VLOOKUP($B124,'[5]Delta Yearly'!$A$1:$AC$80,28,FALSE())</f>
        <v>0</v>
      </c>
      <c r="AC124" s="65" t="n">
        <f aca="false">SUM(AB124,AA124,Z124,R124)</f>
        <v>0</v>
      </c>
      <c r="AF124" s="192" t="s">
        <v>206</v>
      </c>
      <c r="AG124" s="193" t="n">
        <f aca="false">AC124</f>
        <v>0</v>
      </c>
      <c r="AH124" s="194"/>
      <c r="AI124" s="195"/>
      <c r="AJ124" s="194" t="n">
        <f aca="false">SUM(AG124:AI124)</f>
        <v>0</v>
      </c>
      <c r="AK124" s="4"/>
      <c r="AL124" s="4"/>
    </row>
    <row r="125" customFormat="false" ht="8.1" hidden="false" customHeight="true" outlineLevel="0" collapsed="false">
      <c r="A125" s="192"/>
      <c r="B125" s="160"/>
      <c r="C125" s="160"/>
      <c r="D125" s="177"/>
      <c r="E125" s="196"/>
      <c r="F125" s="196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65"/>
      <c r="S125" s="43"/>
      <c r="T125" s="43"/>
      <c r="U125" s="43"/>
      <c r="V125" s="43"/>
      <c r="W125" s="43"/>
      <c r="X125" s="43"/>
      <c r="Y125" s="43"/>
      <c r="Z125" s="65"/>
      <c r="AA125" s="65"/>
      <c r="AB125" s="65"/>
      <c r="AC125" s="65"/>
      <c r="AF125" s="192"/>
      <c r="AG125" s="193"/>
      <c r="AH125" s="194"/>
      <c r="AI125" s="195"/>
      <c r="AJ125" s="194"/>
      <c r="AK125" s="4"/>
      <c r="AL125" s="4"/>
    </row>
    <row r="126" customFormat="false" ht="18" hidden="false" customHeight="false" outlineLevel="0" collapsed="false">
      <c r="A126" s="192" t="s">
        <v>209</v>
      </c>
      <c r="B126" s="160" t="s">
        <v>210</v>
      </c>
      <c r="C126" s="1" t="s">
        <v>211</v>
      </c>
      <c r="D126" s="177" t="s">
        <v>121</v>
      </c>
      <c r="E126" s="91" t="n">
        <f aca="false">(VLOOKUP(C126,[4]Sheet1!$B$1:$G$65,2,0))*-1</f>
        <v>0.000114778741801386</v>
      </c>
      <c r="F126" s="91" t="n">
        <f aca="false">(VLOOKUP(C126,[4]Sheet1!$B$1:$G$65,4,0))</f>
        <v>-0.00010032900450488</v>
      </c>
      <c r="G126" s="44"/>
      <c r="H126" s="44"/>
      <c r="I126" s="44"/>
      <c r="J126" s="44"/>
      <c r="K126" s="44"/>
      <c r="L126" s="44"/>
      <c r="M126" s="44"/>
      <c r="N126" s="44"/>
      <c r="O126" s="44" t="n">
        <f aca="false">VLOOKUP($B126,'[3]Delta Monthly'!$A$1:$AW$80,20,1)/10000</f>
        <v>0</v>
      </c>
      <c r="P126" s="44" t="n">
        <f aca="false">VLOOKUP($B126,'[3]Delta Monthly'!$A$1:$AW$80,22,1)/10000</f>
        <v>0</v>
      </c>
      <c r="Q126" s="44" t="n">
        <f aca="false">VLOOKUP($B126,'[3]Delta Monthly'!$A$1:$AW$80,24,1)/10000</f>
        <v>0</v>
      </c>
      <c r="R126" s="65" t="n">
        <f aca="false">SUM(G126:Q126)</f>
        <v>0</v>
      </c>
      <c r="S126" s="44" t="n">
        <f aca="false">(VLOOKUP($B126,'[3]Delta Monthly'!$A$1:$AW$80,26,FALSE())+VLOOKUP($B126,'[3]Delta Monthly'!$A$1:$AW$80,28,FALSE()))/10000</f>
        <v>0</v>
      </c>
      <c r="T126" s="44" t="n">
        <f aca="false">(VLOOKUP($B126,'[3]Delta Monthly'!$A$1:$AW$80,30,FALSE())+VLOOKUP($B126,'[3]Delta Monthly'!$A$1:$AW$80,32,FALSE()))/10000</f>
        <v>0</v>
      </c>
      <c r="U126" s="44" t="n">
        <f aca="false">(VLOOKUP($B126,'[3]Delta Monthly'!$A$1:$AW$80,34,FALSE()))/10000</f>
        <v>0</v>
      </c>
      <c r="V126" s="44" t="n">
        <f aca="false">(VLOOKUP($B126,'[3]Delta Monthly'!$A$1:$AW$80,36,FALSE()))/10000</f>
        <v>0</v>
      </c>
      <c r="W126" s="44" t="n">
        <f aca="false">(VLOOKUP($B126,'[3]Delta Monthly'!$A$1:$AW$80,38,FALSE())+VLOOKUP($B126,'[3]Delta Monthly'!$A$1:$AW$80,40,FALSE()))/10000</f>
        <v>0</v>
      </c>
      <c r="X126" s="44" t="n">
        <f aca="false">(VLOOKUP($B126,'[3]Delta Monthly'!$A$1:$AW$80,42,FALSE()))/10000</f>
        <v>0</v>
      </c>
      <c r="Y126" s="44" t="n">
        <f aca="false">(VLOOKUP($B126,'[3]Delta Monthly'!$A$1:$AW$80,44,FALSE())+VLOOKUP($B126,'[3]Delta Monthly'!$A$1:$AW$80,46,FALSE())+VLOOKUP($B126,'[3]Delta Monthly'!$A$1:$AW$80,48,FALSE()))/10000</f>
        <v>0</v>
      </c>
      <c r="Z126" s="65" t="n">
        <f aca="false">SUM(S126:Y126)</f>
        <v>0</v>
      </c>
      <c r="AA126" s="65" t="n">
        <f aca="false">(VLOOKUP($B126,'[5]Delta Yearly'!$A$1:$AD$80,4,FALSE()))/10000</f>
        <v>0</v>
      </c>
      <c r="AB126" s="65" t="n">
        <f aca="false">(VLOOKUP($B126,'[5]Delta Yearly'!$A$1:$AC$80,6,FALSE())+VLOOKUP($B126,'[5]Delta Yearly'!$A$1:$AC$80,8,FALSE())+VLOOKUP($B126,'[5]Delta Yearly'!$A$1:$AC$80,10,FALSE())+VLOOKUP($B126,'[5]Delta Yearly'!$A$1:$AC$80,12,FALSE())+VLOOKUP($B126,'[5]Delta Yearly'!$A$1:$AC$80,14,FALSE())+VLOOKUP($B126,'[5]Delta Yearly'!$A$1:$AC$80,16,FALSE())+VLOOKUP($B126,'[5]Delta Yearly'!$A$1:$AC$80,18,FALSE())+VLOOKUP($B126,'[5]Delta Yearly'!$A$1:$AC$80,20,FALSE())+VLOOKUP($B126,'[5]Delta Yearly'!$A$1:$AC$80,22,FALSE())+VLOOKUP($B126,'[5]Delta Yearly'!$A$1:$AC$80,24,FALSE())+VLOOKUP($B126,'[5]Delta Yearly'!$A$1:$AC$80,26,FALSE())+VLOOKUP($B126,'[5]Delta Yearly'!$A$1:$AC$80,28,FALSE()))/10000</f>
        <v>0</v>
      </c>
      <c r="AC126" s="65" t="n">
        <f aca="false">SUM(AB126,AA126,Z126,R126)</f>
        <v>0</v>
      </c>
      <c r="AF126" s="192" t="s">
        <v>209</v>
      </c>
      <c r="AG126" s="193" t="n">
        <f aca="false">AC126</f>
        <v>0</v>
      </c>
      <c r="AH126" s="194"/>
      <c r="AI126" s="195"/>
      <c r="AJ126" s="194" t="n">
        <f aca="false">SUM(AG126:AI126)</f>
        <v>0</v>
      </c>
      <c r="AK126" s="4"/>
      <c r="AL126" s="4"/>
    </row>
    <row r="127" customFormat="false" ht="9" hidden="false" customHeight="true" outlineLevel="0" collapsed="false">
      <c r="A127" s="192"/>
      <c r="B127" s="160"/>
      <c r="D127" s="177"/>
      <c r="E127" s="91"/>
      <c r="F127" s="91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65"/>
      <c r="S127" s="44"/>
      <c r="T127" s="44"/>
      <c r="U127" s="44"/>
      <c r="V127" s="44"/>
      <c r="W127" s="44"/>
      <c r="X127" s="44"/>
      <c r="Y127" s="44"/>
      <c r="Z127" s="65"/>
      <c r="AA127" s="65"/>
      <c r="AB127" s="65"/>
      <c r="AC127" s="65"/>
      <c r="AF127" s="192"/>
      <c r="AG127" s="193"/>
      <c r="AH127" s="194"/>
      <c r="AI127" s="195"/>
      <c r="AJ127" s="194"/>
      <c r="AK127" s="4"/>
      <c r="AL127" s="4"/>
    </row>
    <row r="128" customFormat="false" ht="18" hidden="false" customHeight="false" outlineLevel="0" collapsed="false">
      <c r="A128" s="192" t="s">
        <v>212</v>
      </c>
      <c r="B128" s="160" t="s">
        <v>213</v>
      </c>
      <c r="C128" s="1" t="s">
        <v>214</v>
      </c>
      <c r="D128" s="177" t="s">
        <v>125</v>
      </c>
      <c r="E128" s="91" t="n">
        <f aca="false">(VLOOKUP(C128,[4]Sheet1!$B$1:$G$65,2,0))*-1</f>
        <v>1716885.32980429</v>
      </c>
      <c r="F128" s="91" t="n">
        <f aca="false">(VLOOKUP(C128,[4]Sheet1!$B$1:$G$65,4,0))</f>
        <v>130927.65311918</v>
      </c>
      <c r="G128" s="44"/>
      <c r="H128" s="44"/>
      <c r="I128" s="44"/>
      <c r="J128" s="44"/>
      <c r="K128" s="44"/>
      <c r="L128" s="44"/>
      <c r="M128" s="44"/>
      <c r="N128" s="44"/>
      <c r="O128" s="44" t="n">
        <f aca="false">VLOOKUP($B128,'[3]Delta Monthly'!$A$1:$AW$80,20,1)/10000</f>
        <v>0</v>
      </c>
      <c r="P128" s="44" t="n">
        <f aca="false">VLOOKUP($B128,'[3]Delta Monthly'!$A$1:$AW$80,22,1)/10000</f>
        <v>0</v>
      </c>
      <c r="Q128" s="44" t="n">
        <f aca="false">VLOOKUP($B128,'[3]Delta Monthly'!$A$1:$AW$80,24,1)/10000</f>
        <v>-108.42439474</v>
      </c>
      <c r="R128" s="65" t="n">
        <f aca="false">SUM(G128:Q128)</f>
        <v>-108.42439474</v>
      </c>
      <c r="S128" s="44" t="n">
        <f aca="false">(VLOOKUP($B128,'[3]Delta Monthly'!$A$1:$AW$80,26,FALSE())+VLOOKUP($B128,'[3]Delta Monthly'!$A$1:$AW$80,28,FALSE()))/10000</f>
        <v>-328.84226951</v>
      </c>
      <c r="T128" s="44" t="n">
        <f aca="false">(VLOOKUP($B128,'[3]Delta Monthly'!$A$1:$AW$80,30,FALSE())+VLOOKUP($B128,'[3]Delta Monthly'!$A$1:$AW$80,32,FALSE()))/10000</f>
        <v>-90.35047494</v>
      </c>
      <c r="U128" s="44" t="n">
        <f aca="false">(VLOOKUP($B128,'[3]Delta Monthly'!$A$1:$AW$80,34,FALSE()))/10000</f>
        <v>-61.40741584</v>
      </c>
      <c r="V128" s="44" t="n">
        <f aca="false">(VLOOKUP($B128,'[3]Delta Monthly'!$A$1:$AW$80,36,FALSE()))/10000</f>
        <v>-59.3106104</v>
      </c>
      <c r="W128" s="44" t="n">
        <f aca="false">(VLOOKUP($B128,'[3]Delta Monthly'!$A$1:$AW$80,38,FALSE())+VLOOKUP($B128,'[3]Delta Monthly'!$A$1:$AW$80,40,FALSE()))/10000</f>
        <v>-122.19611392</v>
      </c>
      <c r="X128" s="44" t="n">
        <f aca="false">(VLOOKUP($B128,'[3]Delta Monthly'!$A$1:$AW$80,42,FALSE()))/10000</f>
        <v>-58.92549005</v>
      </c>
      <c r="Y128" s="44" t="n">
        <f aca="false">(VLOOKUP($B128,'[3]Delta Monthly'!$A$1:$AW$80,44,FALSE())+VLOOKUP($B128,'[3]Delta Monthly'!$A$1:$AW$80,46,FALSE())+VLOOKUP($B128,'[3]Delta Monthly'!$A$1:$AW$80,48,FALSE()))/10000</f>
        <v>-179.80933304</v>
      </c>
      <c r="Z128" s="65" t="n">
        <f aca="false">SUM(S128:Y128)</f>
        <v>-900.8417077</v>
      </c>
      <c r="AA128" s="65" t="n">
        <f aca="false">(VLOOKUP($B128,'[5]Delta Yearly'!$A$1:$AD$80,4,FALSE()))/10000</f>
        <v>87.0646772</v>
      </c>
      <c r="AB128" s="65" t="n">
        <f aca="false">(VLOOKUP($B128,'[5]Delta Yearly'!$A$1:$AC$80,6,FALSE())+VLOOKUP($B128,'[5]Delta Yearly'!$A$1:$AC$80,8,FALSE())+VLOOKUP($B128,'[5]Delta Yearly'!$A$1:$AC$80,10,FALSE())+VLOOKUP($B128,'[5]Delta Yearly'!$A$1:$AC$80,12,FALSE())+VLOOKUP($B128,'[5]Delta Yearly'!$A$1:$AC$80,14,FALSE())+VLOOKUP($B128,'[5]Delta Yearly'!$A$1:$AC$80,16,FALSE())+VLOOKUP($B128,'[5]Delta Yearly'!$A$1:$AC$80,18,FALSE())+VLOOKUP($B128,'[5]Delta Yearly'!$A$1:$AC$80,20,FALSE())+VLOOKUP($B128,'[5]Delta Yearly'!$A$1:$AC$80,22,FALSE())+VLOOKUP($B128,'[5]Delta Yearly'!$A$1:$AC$80,24,FALSE())+VLOOKUP($B128,'[5]Delta Yearly'!$A$1:$AC$80,26,FALSE())+VLOOKUP($B128,'[5]Delta Yearly'!$A$1:$AC$80,28,FALSE()))/10000</f>
        <v>0</v>
      </c>
      <c r="AC128" s="65" t="n">
        <f aca="false">SUM(AB128,AA128,Z128,R128)</f>
        <v>-922.20142524</v>
      </c>
      <c r="AF128" s="192" t="s">
        <v>212</v>
      </c>
      <c r="AG128" s="193" t="n">
        <f aca="false">AC128</f>
        <v>-922.20142524</v>
      </c>
      <c r="AH128" s="194"/>
      <c r="AI128" s="195"/>
      <c r="AJ128" s="194" t="n">
        <f aca="false">SUM(AG128:AI128)</f>
        <v>-922.20142524</v>
      </c>
      <c r="AK128" s="4"/>
      <c r="AL128" s="4"/>
    </row>
    <row r="129" customFormat="false" ht="8.1" hidden="false" customHeight="true" outlineLevel="0" collapsed="false">
      <c r="A129" s="192"/>
      <c r="B129" s="160"/>
      <c r="C129" s="160"/>
      <c r="D129" s="177"/>
      <c r="E129" s="196"/>
      <c r="F129" s="196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65"/>
      <c r="S129" s="43"/>
      <c r="T129" s="43"/>
      <c r="U129" s="43"/>
      <c r="V129" s="43"/>
      <c r="W129" s="43"/>
      <c r="X129" s="43"/>
      <c r="Y129" s="43"/>
      <c r="Z129" s="65"/>
      <c r="AA129" s="65"/>
      <c r="AB129" s="65"/>
      <c r="AC129" s="65"/>
      <c r="AF129" s="192"/>
      <c r="AG129" s="193"/>
      <c r="AH129" s="194"/>
      <c r="AI129" s="195"/>
      <c r="AJ129" s="194"/>
      <c r="AK129" s="4"/>
      <c r="AL129" s="4"/>
    </row>
    <row r="130" customFormat="false" ht="18" hidden="false" customHeight="false" outlineLevel="0" collapsed="false">
      <c r="A130" s="192" t="s">
        <v>215</v>
      </c>
      <c r="B130" s="160" t="s">
        <v>216</v>
      </c>
      <c r="C130" s="1" t="s">
        <v>217</v>
      </c>
      <c r="D130" s="177" t="s">
        <v>73</v>
      </c>
      <c r="E130" s="91" t="n">
        <f aca="false">(VLOOKUP(C130,[4]Sheet1!$B$1:$G$65,2,0))*-1</f>
        <v>10090.7552137123</v>
      </c>
      <c r="F130" s="91" t="n">
        <f aca="false">(VLOOKUP(C130,[4]Sheet1!$B$1:$G$65,4,0))</f>
        <v>-55588.5297916976</v>
      </c>
      <c r="G130" s="44"/>
      <c r="H130" s="44"/>
      <c r="I130" s="44"/>
      <c r="J130" s="44"/>
      <c r="K130" s="44"/>
      <c r="L130" s="44"/>
      <c r="M130" s="44"/>
      <c r="N130" s="44"/>
      <c r="O130" s="44" t="n">
        <f aca="false">VLOOKUP($B130,'[3]Delta Monthly'!$A$1:$AW$80,20,1)/10000</f>
        <v>0</v>
      </c>
      <c r="P130" s="44" t="n">
        <f aca="false">VLOOKUP($B130,'[3]Delta Monthly'!$A$1:$AW$80,22,1)/10000</f>
        <v>-7.5</v>
      </c>
      <c r="Q130" s="44" t="n">
        <f aca="false">VLOOKUP($B130,'[3]Delta Monthly'!$A$1:$AW$80,24,1)/10000</f>
        <v>15.48919925</v>
      </c>
      <c r="R130" s="65" t="n">
        <f aca="false">SUM(G130:Q130)</f>
        <v>7.98919925</v>
      </c>
      <c r="S130" s="44" t="n">
        <f aca="false">VLOOKUP($B130,'[3]Delta Monthly'!$A$1:$AW$80,26,FALSE())+VLOOKUP($B130,'[3]Delta Monthly'!$A$1:$AW$80,28,FALSE())</f>
        <v>0</v>
      </c>
      <c r="T130" s="44" t="n">
        <f aca="false">VLOOKUP($B130,'[3]Delta Monthly'!$A$1:$AW$80,30,FALSE())+VLOOKUP($B130,'[3]Delta Monthly'!$A$1:$AW$80,32,FALSE())</f>
        <v>0</v>
      </c>
      <c r="U130" s="44" t="n">
        <f aca="false">VLOOKUP($B130,'[3]Delta Monthly'!$A$1:$AW$80,34,FALSE())</f>
        <v>0</v>
      </c>
      <c r="V130" s="44" t="n">
        <f aca="false">VLOOKUP($B130,'[3]Delta Monthly'!$A$1:$AW$80,36,FALSE())</f>
        <v>0</v>
      </c>
      <c r="W130" s="44" t="n">
        <f aca="false">VLOOKUP($B130,'[3]Delta Monthly'!$A$1:$AW$80,38,FALSE())+VLOOKUP($B130,'[3]Delta Monthly'!$A$1:$AW$80,40,FALSE())</f>
        <v>0</v>
      </c>
      <c r="X130" s="44" t="n">
        <f aca="false">VLOOKUP($B130,'[3]Delta Monthly'!$A$1:$AW$80,42,FALSE())</f>
        <v>0</v>
      </c>
      <c r="Y130" s="44" t="n">
        <f aca="false">VLOOKUP($B130,'[3]Delta Monthly'!$A$1:$AW$80,44,FALSE())+VLOOKUP($B130,'[3]Delta Monthly'!$A$1:$AW$80,46,FALSE())+VLOOKUP($B130,'[3]Delta Monthly'!$A$1:$AW$80,48,FALSE())</f>
        <v>0</v>
      </c>
      <c r="Z130" s="65" t="n">
        <f aca="false">SUM(S130:Y130)</f>
        <v>0</v>
      </c>
      <c r="AA130" s="65" t="n">
        <f aca="false">VLOOKUP($B130,'[5]Delta Yearly'!$A$1:$AD$80,4,FALSE())/10000</f>
        <v>0</v>
      </c>
      <c r="AB130" s="65" t="n">
        <f aca="false">VLOOKUP($B130,'[5]Delta Yearly'!$A$1:$AC$80,6,FALSE())+VLOOKUP($B130,'[5]Delta Yearly'!$A$1:$AC$80,8,FALSE())+VLOOKUP($B130,'[5]Delta Yearly'!$A$1:$AC$80,10,FALSE())+VLOOKUP($B130,'[5]Delta Yearly'!$A$1:$AC$80,12,FALSE())+VLOOKUP($B130,'[5]Delta Yearly'!$A$1:$AC$80,14,FALSE())+VLOOKUP($B130,'[5]Delta Yearly'!$A$1:$AC$80,16,FALSE())+VLOOKUP($B130,'[5]Delta Yearly'!$A$1:$AC$80,18,FALSE())+VLOOKUP($B130,'[5]Delta Yearly'!$A$1:$AC$80,20,FALSE())+VLOOKUP($B130,'[5]Delta Yearly'!$A$1:$AC$80,22,FALSE())+VLOOKUP($B130,'[5]Delta Yearly'!$A$1:$AC$80,24,FALSE())+VLOOKUP($B130,'[5]Delta Yearly'!$A$1:$AC$80,26,FALSE())+VLOOKUP($B130,'[5]Delta Yearly'!$A$1:$AC$80,28,FALSE())</f>
        <v>0</v>
      </c>
      <c r="AC130" s="65" t="n">
        <f aca="false">SUM(AB130,AA130,Z130,R130)</f>
        <v>7.98919925</v>
      </c>
      <c r="AF130" s="192" t="s">
        <v>215</v>
      </c>
      <c r="AG130" s="199" t="n">
        <f aca="false">AC130</f>
        <v>7.98919925</v>
      </c>
      <c r="AH130" s="200"/>
      <c r="AI130" s="201"/>
      <c r="AJ130" s="200" t="n">
        <f aca="false">SUM(AG130:AI130)</f>
        <v>7.98919925</v>
      </c>
      <c r="AK130" s="4"/>
      <c r="AL130" s="4"/>
    </row>
    <row r="131" customFormat="false" ht="8.1" hidden="false" customHeight="true" outlineLevel="0" collapsed="false">
      <c r="A131" s="192"/>
      <c r="B131" s="160"/>
      <c r="C131" s="160"/>
      <c r="D131" s="177"/>
      <c r="E131" s="196"/>
      <c r="F131" s="196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65"/>
      <c r="S131" s="43"/>
      <c r="T131" s="43"/>
      <c r="U131" s="43"/>
      <c r="V131" s="43"/>
      <c r="W131" s="43"/>
      <c r="X131" s="43"/>
      <c r="Y131" s="43"/>
      <c r="Z131" s="65"/>
      <c r="AA131" s="65"/>
      <c r="AB131" s="65"/>
      <c r="AC131" s="65"/>
      <c r="AF131" s="192"/>
      <c r="AG131" s="199"/>
      <c r="AH131" s="200"/>
      <c r="AI131" s="201"/>
      <c r="AJ131" s="200"/>
      <c r="AK131" s="4"/>
      <c r="AL131" s="4"/>
    </row>
    <row r="132" customFormat="false" ht="18" hidden="false" customHeight="false" outlineLevel="0" collapsed="false">
      <c r="A132" s="192" t="s">
        <v>218</v>
      </c>
      <c r="B132" s="1" t="s">
        <v>219</v>
      </c>
      <c r="C132" s="1" t="s">
        <v>220</v>
      </c>
      <c r="D132" s="177" t="s">
        <v>41</v>
      </c>
      <c r="E132" s="91" t="n">
        <f aca="false">(VLOOKUP(C132,[4]Sheet1!$B$1:$G$65,2,0))*-1</f>
        <v>-0</v>
      </c>
      <c r="F132" s="91" t="n">
        <f aca="false">(VLOOKUP(C132,[4]Sheet1!$B$1:$G$65,4,0))</f>
        <v>0</v>
      </c>
      <c r="G132" s="44"/>
      <c r="H132" s="44"/>
      <c r="I132" s="44"/>
      <c r="J132" s="44"/>
      <c r="K132" s="44"/>
      <c r="L132" s="44"/>
      <c r="M132" s="44"/>
      <c r="N132" s="44"/>
      <c r="O132" s="44" t="n">
        <f aca="false">VLOOKUP($B132,'[3]Delta Monthly'!$A$1:$AW$80,20,1)/10000</f>
        <v>0</v>
      </c>
      <c r="P132" s="44" t="n">
        <f aca="false">VLOOKUP($B132,'[3]Delta Monthly'!$A$1:$AW$80,22,1)/10000</f>
        <v>0</v>
      </c>
      <c r="Q132" s="44" t="n">
        <f aca="false">VLOOKUP($B132,'[3]Delta Monthly'!$A$1:$AW$80,24,1)/10000</f>
        <v>0</v>
      </c>
      <c r="R132" s="65" t="n">
        <f aca="false">SUM(G132:Q132)</f>
        <v>0</v>
      </c>
      <c r="S132" s="44" t="n">
        <f aca="false">VLOOKUP($B132,'[3]Delta Monthly'!$A$1:$AW$80,26,FALSE())+VLOOKUP($B132,'[3]Delta Monthly'!$A$1:$AW$80,28,FALSE())</f>
        <v>0</v>
      </c>
      <c r="T132" s="44" t="n">
        <f aca="false">VLOOKUP($B132,'[3]Delta Monthly'!$A$1:$AW$80,30,FALSE())+VLOOKUP($B132,'[3]Delta Monthly'!$A$1:$AW$80,32,FALSE())</f>
        <v>0</v>
      </c>
      <c r="U132" s="44" t="n">
        <f aca="false">VLOOKUP($B132,'[3]Delta Monthly'!$A$1:$AW$80,34,FALSE())</f>
        <v>0</v>
      </c>
      <c r="V132" s="44" t="n">
        <f aca="false">VLOOKUP($B132,'[3]Delta Monthly'!$A$1:$AW$80,36,FALSE())</f>
        <v>0</v>
      </c>
      <c r="W132" s="44" t="n">
        <f aca="false">VLOOKUP($B132,'[3]Delta Monthly'!$A$1:$AW$80,38,FALSE())+VLOOKUP($B132,'[3]Delta Monthly'!$A$1:$AW$80,40,FALSE())</f>
        <v>0</v>
      </c>
      <c r="X132" s="44" t="n">
        <f aca="false">VLOOKUP($B132,'[3]Delta Monthly'!$A$1:$AW$80,42,FALSE())</f>
        <v>0</v>
      </c>
      <c r="Y132" s="44" t="n">
        <f aca="false">VLOOKUP($B132,'[3]Delta Monthly'!$A$1:$AW$80,44,FALSE())+VLOOKUP($B132,'[3]Delta Monthly'!$A$1:$AW$80,46,FALSE())+VLOOKUP($B132,'[3]Delta Monthly'!$A$1:$AW$80,48,FALSE())</f>
        <v>0</v>
      </c>
      <c r="Z132" s="65" t="n">
        <f aca="false">SUM(S132:Y132)</f>
        <v>0</v>
      </c>
      <c r="AA132" s="65" t="n">
        <f aca="false">VLOOKUP($B132,'[5]Delta Yearly'!$A$1:$AD$80,4,FALSE())/10000</f>
        <v>0</v>
      </c>
      <c r="AB132" s="65" t="n">
        <f aca="false">VLOOKUP($B132,'[5]Delta Yearly'!$A$1:$AC$80,6,FALSE())+VLOOKUP($B132,'[5]Delta Yearly'!$A$1:$AC$80,8,FALSE())+VLOOKUP($B132,'[5]Delta Yearly'!$A$1:$AC$80,10,FALSE())+VLOOKUP($B132,'[5]Delta Yearly'!$A$1:$AC$80,12,FALSE())+VLOOKUP($B132,'[5]Delta Yearly'!$A$1:$AC$80,14,FALSE())+VLOOKUP($B132,'[5]Delta Yearly'!$A$1:$AC$80,16,FALSE())+VLOOKUP($B132,'[5]Delta Yearly'!$A$1:$AC$80,18,FALSE())+VLOOKUP($B132,'[5]Delta Yearly'!$A$1:$AC$80,20,FALSE())+VLOOKUP($B132,'[5]Delta Yearly'!$A$1:$AC$80,22,FALSE())+VLOOKUP($B132,'[5]Delta Yearly'!$A$1:$AC$80,24,FALSE())+VLOOKUP($B132,'[5]Delta Yearly'!$A$1:$AC$80,26,FALSE())+VLOOKUP($B132,'[5]Delta Yearly'!$A$1:$AC$80,28,FALSE())</f>
        <v>0</v>
      </c>
      <c r="AC132" s="65" t="n">
        <f aca="false">SUM(AB132,AA132,Z132,R132)</f>
        <v>0</v>
      </c>
      <c r="AF132" s="192" t="s">
        <v>218</v>
      </c>
      <c r="AG132" s="199" t="n">
        <f aca="false">AC132</f>
        <v>0</v>
      </c>
      <c r="AH132" s="194"/>
      <c r="AI132" s="195"/>
      <c r="AJ132" s="194"/>
      <c r="AK132" s="4"/>
      <c r="AL132" s="4"/>
    </row>
    <row r="133" customFormat="false" ht="8.1" hidden="false" customHeight="true" outlineLevel="0" collapsed="false">
      <c r="A133" s="192"/>
      <c r="B133" s="160"/>
      <c r="C133" s="160"/>
      <c r="D133" s="177"/>
      <c r="E133" s="196"/>
      <c r="F133" s="196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65"/>
      <c r="S133" s="43"/>
      <c r="T133" s="43"/>
      <c r="U133" s="43"/>
      <c r="V133" s="43"/>
      <c r="W133" s="43"/>
      <c r="X133" s="43"/>
      <c r="Y133" s="43"/>
      <c r="Z133" s="65"/>
      <c r="AA133" s="65"/>
      <c r="AB133" s="65"/>
      <c r="AC133" s="65"/>
      <c r="AF133" s="192"/>
      <c r="AG133" s="193"/>
      <c r="AH133" s="194"/>
      <c r="AI133" s="195"/>
      <c r="AJ133" s="194"/>
      <c r="AK133" s="4"/>
      <c r="AL133" s="4"/>
    </row>
    <row r="134" customFormat="false" ht="18" hidden="false" customHeight="false" outlineLevel="0" collapsed="false">
      <c r="A134" s="192" t="s">
        <v>221</v>
      </c>
      <c r="B134" s="202" t="s">
        <v>222</v>
      </c>
      <c r="C134" s="1" t="s">
        <v>223</v>
      </c>
      <c r="D134" s="177" t="s">
        <v>50</v>
      </c>
      <c r="E134" s="91" t="n">
        <f aca="false">(VLOOKUP(C134,[4]Sheet1!$B$1:$G$65,2,0))*-1</f>
        <v>68416.2647419043</v>
      </c>
      <c r="F134" s="91" t="n">
        <f aca="false">(VLOOKUP(C134,[4]Sheet1!$B$1:$G$65,4,0))</f>
        <v>4877.25257535679</v>
      </c>
      <c r="G134" s="44"/>
      <c r="H134" s="44"/>
      <c r="I134" s="44"/>
      <c r="J134" s="44"/>
      <c r="K134" s="44"/>
      <c r="L134" s="44"/>
      <c r="M134" s="44"/>
      <c r="N134" s="44"/>
      <c r="O134" s="44" t="n">
        <f aca="false">VLOOKUP($B134,'[3]Delta Monthly'!$A$1:$AW$80,20,1)/10000</f>
        <v>0</v>
      </c>
      <c r="P134" s="44" t="n">
        <f aca="false">VLOOKUP($B134,'[3]Delta Monthly'!$A$1:$AW$80,22,1)/10000</f>
        <v>0</v>
      </c>
      <c r="Q134" s="44" t="n">
        <f aca="false">VLOOKUP($B134,'[3]Delta Monthly'!$A$1:$AW$80,24,1)/10000</f>
        <v>-77.44599625</v>
      </c>
      <c r="R134" s="65" t="n">
        <f aca="false">SUM(G134:Q134)</f>
        <v>-77.44599625</v>
      </c>
      <c r="S134" s="44" t="n">
        <f aca="false">(VLOOKUP($B134,'[3]Delta Monthly'!$A$1:$AW$80,26,FALSE())+VLOOKUP($B134,'[3]Delta Monthly'!$A$1:$AW$80,28,FALSE()))/10000</f>
        <v>61.84376184</v>
      </c>
      <c r="T134" s="44" t="n">
        <f aca="false">(VLOOKUP($B134,'[3]Delta Monthly'!$A$1:$AW$80,30,FALSE())+VLOOKUP($B134,'[3]Delta Monthly'!$A$1:$AW$80,32,FALSE()))/10000</f>
        <v>-15.40691486</v>
      </c>
      <c r="U134" s="44" t="n">
        <f aca="false">(VLOOKUP($B134,'[3]Delta Monthly'!$A$1:$AW$80,34,FALSE()))/10000</f>
        <v>0</v>
      </c>
      <c r="V134" s="44" t="n">
        <f aca="false">(VLOOKUP($B134,'[3]Delta Monthly'!$A$1:$AW$80,36,FALSE()))/10000</f>
        <v>0</v>
      </c>
      <c r="W134" s="44" t="n">
        <f aca="false">(VLOOKUP($B134,'[3]Delta Monthly'!$A$1:$AW$80,38,FALSE())+VLOOKUP($B134,'[3]Delta Monthly'!$A$1:$AW$80,40,FALSE()))/10000</f>
        <v>0</v>
      </c>
      <c r="X134" s="44" t="n">
        <f aca="false">(VLOOKUP($B134,'[3]Delta Monthly'!$A$1:$AW$80,42,FALSE()))/10000</f>
        <v>0</v>
      </c>
      <c r="Y134" s="44" t="n">
        <f aca="false">(VLOOKUP($B134,'[3]Delta Monthly'!$A$1:$AW$80,44,FALSE())+VLOOKUP($B134,'[3]Delta Monthly'!$A$1:$AW$80,46,FALSE())+VLOOKUP($B134,'[3]Delta Monthly'!$A$1:$AW$80,48,FALSE()))/10000</f>
        <v>0</v>
      </c>
      <c r="Z134" s="65" t="n">
        <f aca="false">SUM(S134:Y134)</f>
        <v>46.43684698</v>
      </c>
      <c r="AA134" s="65" t="n">
        <f aca="false">VLOOKUP($B134,'[5]Delta Yearly'!$A$1:$AD$80,4,FALSE())/10000</f>
        <v>0</v>
      </c>
      <c r="AB134" s="65" t="n">
        <f aca="false">(VLOOKUP($B134,'[5]Delta Yearly'!$A$1:$AC$80,6,FALSE())+VLOOKUP($B134,'[5]Delta Yearly'!$A$1:$AC$80,8,FALSE())+VLOOKUP($B134,'[5]Delta Yearly'!$A$1:$AC$80,10,FALSE())+VLOOKUP($B134,'[5]Delta Yearly'!$A$1:$AC$80,12,FALSE())+VLOOKUP($B134,'[5]Delta Yearly'!$A$1:$AC$80,14,FALSE())+VLOOKUP($B134,'[5]Delta Yearly'!$A$1:$AC$80,16,FALSE())+VLOOKUP($B134,'[5]Delta Yearly'!$A$1:$AC$80,18,FALSE())+VLOOKUP($B134,'[5]Delta Yearly'!$A$1:$AC$80,20,FALSE())+VLOOKUP($B134,'[5]Delta Yearly'!$A$1:$AC$80,22,FALSE())+VLOOKUP($B134,'[5]Delta Yearly'!$A$1:$AC$80,24,FALSE())+VLOOKUP($B134,'[5]Delta Yearly'!$A$1:$AC$80,26,FALSE())+VLOOKUP($B134,'[5]Delta Yearly'!$A$1:$AC$80,28,FALSE()))/10000</f>
        <v>0</v>
      </c>
      <c r="AC134" s="65" t="n">
        <f aca="false">SUM(AB134,AA134,Z134,R134)</f>
        <v>-31.00914927</v>
      </c>
      <c r="AF134" s="192" t="s">
        <v>221</v>
      </c>
      <c r="AG134" s="193" t="n">
        <f aca="false">AC134</f>
        <v>-31.00914927</v>
      </c>
      <c r="AH134" s="194"/>
      <c r="AI134" s="195"/>
      <c r="AJ134" s="194" t="n">
        <f aca="false">SUM(AG134:AI134)</f>
        <v>-31.00914927</v>
      </c>
      <c r="AK134" s="4"/>
      <c r="AL134" s="4"/>
    </row>
    <row r="135" customFormat="false" ht="8.1" hidden="false" customHeight="true" outlineLevel="0" collapsed="false">
      <c r="A135" s="192"/>
      <c r="B135" s="202"/>
      <c r="D135" s="177"/>
      <c r="E135" s="91"/>
      <c r="F135" s="91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65"/>
      <c r="S135" s="44"/>
      <c r="T135" s="44"/>
      <c r="U135" s="44"/>
      <c r="V135" s="44"/>
      <c r="W135" s="44"/>
      <c r="X135" s="44"/>
      <c r="Y135" s="44"/>
      <c r="Z135" s="65"/>
      <c r="AA135" s="65"/>
      <c r="AB135" s="65"/>
      <c r="AC135" s="65"/>
      <c r="AF135" s="192"/>
      <c r="AG135" s="193"/>
      <c r="AH135" s="194"/>
      <c r="AI135" s="195"/>
      <c r="AJ135" s="194"/>
      <c r="AK135" s="4"/>
      <c r="AL135" s="4"/>
    </row>
    <row r="136" customFormat="false" ht="18" hidden="false" customHeight="false" outlineLevel="0" collapsed="false">
      <c r="A136" s="192" t="s">
        <v>224</v>
      </c>
      <c r="B136" s="202" t="s">
        <v>225</v>
      </c>
      <c r="C136" s="202" t="s">
        <v>226</v>
      </c>
      <c r="D136" s="177" t="s">
        <v>41</v>
      </c>
      <c r="E136" s="91" t="n">
        <f aca="false">(VLOOKUP(C136,[4]Sheet1!$B$1:$G$65,2,0))*-1</f>
        <v>125115.989667378</v>
      </c>
      <c r="F136" s="91" t="n">
        <f aca="false">(VLOOKUP(C136,[4]Sheet1!$B$1:$G$65,4,0))</f>
        <v>-4635.06280611301</v>
      </c>
      <c r="G136" s="44"/>
      <c r="H136" s="44"/>
      <c r="I136" s="44"/>
      <c r="J136" s="44"/>
      <c r="K136" s="44"/>
      <c r="L136" s="44"/>
      <c r="M136" s="44"/>
      <c r="N136" s="44"/>
      <c r="O136" s="44" t="n">
        <f aca="false">VLOOKUP($B136,'[3]Delta Monthly'!$A$1:$AW$80,20,1)/10000</f>
        <v>0</v>
      </c>
      <c r="P136" s="44" t="n">
        <f aca="false">VLOOKUP($B136,'[3]Delta Monthly'!$A$1:$AW$80,22,1)/10000</f>
        <v>0</v>
      </c>
      <c r="Q136" s="44" t="n">
        <f aca="false">VLOOKUP($B136,'[3]Delta Monthly'!$A$1:$AW$80,24,1)/10000</f>
        <v>0</v>
      </c>
      <c r="R136" s="65" t="n">
        <f aca="false">SUM(G136:Q136)</f>
        <v>0</v>
      </c>
      <c r="S136" s="44" t="n">
        <f aca="false">(VLOOKUP($B136,'[3]Delta Monthly'!$A$1:$AW$80,26,FALSE())+VLOOKUP($B136,'[3]Delta Monthly'!$A$1:$AW$80,28,FALSE()))/10000</f>
        <v>8.19823756</v>
      </c>
      <c r="T136" s="44" t="n">
        <f aca="false">(VLOOKUP($B136,'[3]Delta Monthly'!$A$1:$AW$80,30,FALSE())+VLOOKUP($B136,'[3]Delta Monthly'!$A$1:$AW$80,32,FALSE()))/10000</f>
        <v>8.44683922</v>
      </c>
      <c r="U136" s="44" t="n">
        <f aca="false">(VLOOKUP($B136,'[3]Delta Monthly'!$A$1:$AW$80,34,FALSE()))/10000</f>
        <v>4.28095198</v>
      </c>
      <c r="V136" s="44" t="n">
        <f aca="false">(VLOOKUP($B136,'[3]Delta Monthly'!$A$1:$AW$80,36,FALSE()))/10000</f>
        <v>4.13477544</v>
      </c>
      <c r="W136" s="44" t="n">
        <f aca="false">(VLOOKUP($B136,'[3]Delta Monthly'!$A$1:$AW$80,38,FALSE())+VLOOKUP($B136,'[3]Delta Monthly'!$A$1:$AW$80,40,FALSE()))/10000</f>
        <v>8.51877071</v>
      </c>
      <c r="X136" s="44" t="n">
        <f aca="false">(VLOOKUP($B136,'[3]Delta Monthly'!$A$1:$AW$80,42,FALSE()))/10000</f>
        <v>4.1079272</v>
      </c>
      <c r="Y136" s="44" t="n">
        <f aca="false">(VLOOKUP($B136,'[3]Delta Monthly'!$A$1:$AW$80,44,FALSE())+VLOOKUP($B136,'[3]Delta Monthly'!$A$1:$AW$80,46,FALSE())+VLOOKUP($B136,'[3]Delta Monthly'!$A$1:$AW$80,48,FALSE()))/10000</f>
        <v>12.53521436</v>
      </c>
      <c r="Z136" s="65" t="n">
        <f aca="false">SUM(S136:Y136)</f>
        <v>50.22271647</v>
      </c>
      <c r="AA136" s="65" t="n">
        <f aca="false">VLOOKUP($B136,'[5]Delta Yearly'!$A$1:$AD$80,4,FALSE())/10000</f>
        <v>24.53385707</v>
      </c>
      <c r="AB136" s="65" t="n">
        <f aca="false">(VLOOKUP($B136,'[5]Delta Yearly'!$A$1:$AC$80,6,FALSE())+VLOOKUP($B136,'[5]Delta Yearly'!$A$1:$AC$80,8,FALSE())+VLOOKUP($B136,'[5]Delta Yearly'!$A$1:$AC$80,10,FALSE())+VLOOKUP($B136,'[5]Delta Yearly'!$A$1:$AC$80,12,FALSE())+VLOOKUP($B136,'[5]Delta Yearly'!$A$1:$AC$80,14,FALSE())+VLOOKUP($B136,'[5]Delta Yearly'!$A$1:$AC$80,16,FALSE())+VLOOKUP($B136,'[5]Delta Yearly'!$A$1:$AC$80,18,FALSE())+VLOOKUP($B136,'[5]Delta Yearly'!$A$1:$AC$80,20,FALSE())+VLOOKUP($B136,'[5]Delta Yearly'!$A$1:$AC$80,22,FALSE())+VLOOKUP($B136,'[5]Delta Yearly'!$A$1:$AC$80,24,FALSE())+VLOOKUP($B136,'[5]Delta Yearly'!$A$1:$AC$80,26,FALSE())+VLOOKUP($B136,'[5]Delta Yearly'!$A$1:$AC$80,28,FALSE()))/10000</f>
        <v>0</v>
      </c>
      <c r="AC136" s="65" t="n">
        <f aca="false">SUM(AB136,AA136,Z136,R136)</f>
        <v>74.75657354</v>
      </c>
      <c r="AF136" s="192" t="s">
        <v>224</v>
      </c>
      <c r="AG136" s="193" t="n">
        <f aca="false">AC136</f>
        <v>74.75657354</v>
      </c>
      <c r="AH136" s="194"/>
      <c r="AI136" s="195"/>
      <c r="AJ136" s="194" t="n">
        <f aca="false">AC136</f>
        <v>74.75657354</v>
      </c>
      <c r="AK136" s="4"/>
      <c r="AL136" s="4"/>
    </row>
    <row r="137" customFormat="false" ht="8.1" hidden="false" customHeight="true" outlineLevel="0" collapsed="false">
      <c r="A137" s="192"/>
      <c r="B137" s="202"/>
      <c r="C137" s="202"/>
      <c r="D137" s="65"/>
      <c r="E137" s="91"/>
      <c r="F137" s="91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65"/>
      <c r="S137" s="44"/>
      <c r="T137" s="44"/>
      <c r="U137" s="44"/>
      <c r="V137" s="44"/>
      <c r="W137" s="44"/>
      <c r="X137" s="44"/>
      <c r="Y137" s="44"/>
      <c r="Z137" s="65"/>
      <c r="AA137" s="65"/>
      <c r="AB137" s="65"/>
      <c r="AC137" s="65"/>
      <c r="AF137" s="192"/>
      <c r="AG137" s="193"/>
      <c r="AH137" s="194"/>
      <c r="AI137" s="195"/>
      <c r="AJ137" s="194"/>
      <c r="AK137" s="4"/>
      <c r="AL137" s="4"/>
    </row>
    <row r="138" customFormat="false" ht="18" hidden="false" customHeight="false" outlineLevel="0" collapsed="false">
      <c r="A138" s="192" t="s">
        <v>227</v>
      </c>
      <c r="B138" s="202" t="s">
        <v>228</v>
      </c>
      <c r="C138" s="202" t="s">
        <v>229</v>
      </c>
      <c r="D138" s="177" t="s">
        <v>45</v>
      </c>
      <c r="E138" s="91" t="n">
        <f aca="false">(VLOOKUP(C138,[4]Sheet1!$B$1:$G$65,2,0))*-1</f>
        <v>-0</v>
      </c>
      <c r="F138" s="91" t="n">
        <f aca="false">(VLOOKUP(C138,[4]Sheet1!$B$1:$G$65,4,0))</f>
        <v>0</v>
      </c>
      <c r="G138" s="44"/>
      <c r="H138" s="44"/>
      <c r="I138" s="44"/>
      <c r="J138" s="44"/>
      <c r="K138" s="44"/>
      <c r="L138" s="44"/>
      <c r="M138" s="44"/>
      <c r="N138" s="44"/>
      <c r="O138" s="44" t="n">
        <f aca="false">VLOOKUP($B138,'[3]Delta Monthly'!$A$1:$AW$80,20,1)/10000</f>
        <v>0</v>
      </c>
      <c r="P138" s="44" t="n">
        <f aca="false">VLOOKUP($B138,'[3]Delta Monthly'!$A$1:$AW$80,22,1)/10000</f>
        <v>0</v>
      </c>
      <c r="Q138" s="44" t="n">
        <f aca="false">VLOOKUP($B138,'[3]Delta Monthly'!$A$1:$AW$80,24,1)/10000</f>
        <v>0</v>
      </c>
      <c r="R138" s="65" t="n">
        <f aca="false">SUM(G138:Q138)</f>
        <v>0</v>
      </c>
      <c r="S138" s="44" t="n">
        <f aca="false">(VLOOKUP($B138,'[3]Delta Monthly'!$A$1:$AW$80,26,2)+VLOOKUP($B138,'[3]Delta Monthly'!$A$1:$AW$80,28,2))/10000</f>
        <v>0</v>
      </c>
      <c r="T138" s="44" t="n">
        <f aca="false">(VLOOKUP($B138,'[3]Delta Monthly'!$A$1:$AW$80,30,FALSE())+VLOOKUP($B138,'[3]Delta Monthly'!$A$1:$AW$80,32,FALSE()))/10000</f>
        <v>0</v>
      </c>
      <c r="U138" s="44" t="n">
        <f aca="false">(VLOOKUP($B138,'[3]Delta Monthly'!$A$1:$AW$80,34,FALSE()))/10000</f>
        <v>0</v>
      </c>
      <c r="V138" s="44" t="n">
        <f aca="false">(VLOOKUP($B138,'[3]Delta Monthly'!$A$1:$AW$80,36,FALSE()))/10000</f>
        <v>0</v>
      </c>
      <c r="W138" s="44" t="n">
        <f aca="false">(VLOOKUP($B138,'[3]Delta Monthly'!$A$1:$AW$80,38,FALSE())+VLOOKUP($B138,'[3]Delta Monthly'!$A$1:$AW$80,40,FALSE()))/10000</f>
        <v>0</v>
      </c>
      <c r="X138" s="44" t="n">
        <f aca="false">(VLOOKUP($B138,'[3]Delta Monthly'!$A$1:$AW$80,42,FALSE()))/10000</f>
        <v>0</v>
      </c>
      <c r="Y138" s="44" t="n">
        <f aca="false">(VLOOKUP($B138,'[3]Delta Monthly'!$A$1:$AW$80,44,FALSE())+VLOOKUP($B138,'[3]Delta Monthly'!$A$1:$AW$80,46,FALSE())+VLOOKUP($B138,'[3]Delta Monthly'!$A$1:$AW$80,48,FALSE()))/10000</f>
        <v>0</v>
      </c>
      <c r="Z138" s="65" t="n">
        <f aca="false">SUM(S138:Y138)</f>
        <v>0</v>
      </c>
      <c r="AA138" s="65" t="n">
        <f aca="false">VLOOKUP($B138,'[5]Delta Yearly'!$A$1:$AD$80,4,FALSE())/10000</f>
        <v>0</v>
      </c>
      <c r="AB138" s="65" t="n">
        <f aca="false">(VLOOKUP($B138,'[5]Delta Yearly'!$A$1:$AC$80,6,FALSE())+VLOOKUP($B138,'[5]Delta Yearly'!$A$1:$AC$80,8,FALSE())+VLOOKUP($B138,'[5]Delta Yearly'!$A$1:$AC$80,10,FALSE())+VLOOKUP($B138,'[5]Delta Yearly'!$A$1:$AC$80,12,FALSE())+VLOOKUP($B138,'[5]Delta Yearly'!$A$1:$AC$80,14,FALSE())+VLOOKUP($B138,'[5]Delta Yearly'!$A$1:$AC$80,16,FALSE())+VLOOKUP($B138,'[5]Delta Yearly'!$A$1:$AC$80,18,FALSE())+VLOOKUP($B138,'[5]Delta Yearly'!$A$1:$AC$80,20,FALSE())+VLOOKUP($B138,'[5]Delta Yearly'!$A$1:$AC$80,22,FALSE())+VLOOKUP($B138,'[5]Delta Yearly'!$A$1:$AC$80,24,FALSE())+VLOOKUP($B138,'[5]Delta Yearly'!$A$1:$AC$80,26,FALSE())+VLOOKUP($B138,'[5]Delta Yearly'!$A$1:$AC$80,28,FALSE()))/10000</f>
        <v>0</v>
      </c>
      <c r="AC138" s="65" t="n">
        <f aca="false">SUM(AB138,AA138,Z138,R138)</f>
        <v>0</v>
      </c>
      <c r="AF138" s="192" t="s">
        <v>227</v>
      </c>
      <c r="AG138" s="193" t="n">
        <f aca="false">AC138</f>
        <v>0</v>
      </c>
      <c r="AH138" s="194"/>
      <c r="AI138" s="195"/>
      <c r="AJ138" s="194" t="n">
        <f aca="false">AC138</f>
        <v>0</v>
      </c>
      <c r="AK138" s="4"/>
      <c r="AL138" s="4"/>
    </row>
    <row r="139" customFormat="false" ht="8.1" hidden="false" customHeight="true" outlineLevel="0" collapsed="false">
      <c r="A139" s="192"/>
      <c r="B139" s="202"/>
      <c r="C139" s="202"/>
      <c r="D139" s="177"/>
      <c r="E139" s="91"/>
      <c r="F139" s="91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65"/>
      <c r="S139" s="44"/>
      <c r="T139" s="44"/>
      <c r="U139" s="44"/>
      <c r="V139" s="44"/>
      <c r="W139" s="44"/>
      <c r="X139" s="44"/>
      <c r="Y139" s="44"/>
      <c r="Z139" s="65"/>
      <c r="AA139" s="65"/>
      <c r="AB139" s="65"/>
      <c r="AC139" s="65"/>
      <c r="AF139" s="192"/>
      <c r="AG139" s="193"/>
      <c r="AH139" s="194"/>
      <c r="AI139" s="195"/>
      <c r="AJ139" s="194"/>
      <c r="AK139" s="4"/>
      <c r="AL139" s="4"/>
    </row>
    <row r="140" customFormat="false" ht="18" hidden="false" customHeight="false" outlineLevel="0" collapsed="false">
      <c r="A140" s="192" t="s">
        <v>230</v>
      </c>
      <c r="B140" s="202" t="s">
        <v>231</v>
      </c>
      <c r="C140" s="202" t="s">
        <v>232</v>
      </c>
      <c r="D140" s="177" t="s">
        <v>54</v>
      </c>
      <c r="E140" s="91" t="n">
        <f aca="false">(VLOOKUP(C140,[4]Sheet1!$B$1:$G$65,2,0))*-1</f>
        <v>59046.2293939578</v>
      </c>
      <c r="F140" s="91" t="n">
        <f aca="false">(VLOOKUP(C140,[4]Sheet1!$B$1:$G$65,4,0))</f>
        <v>29994.5231878124</v>
      </c>
      <c r="G140" s="44"/>
      <c r="H140" s="44"/>
      <c r="I140" s="44"/>
      <c r="J140" s="44"/>
      <c r="K140" s="44"/>
      <c r="L140" s="44"/>
      <c r="M140" s="44"/>
      <c r="N140" s="44"/>
      <c r="O140" s="44" t="n">
        <f aca="false">VLOOKUP($B140,'[3]Delta Monthly'!$A$1:$AW$80,20,1)/10000</f>
        <v>0</v>
      </c>
      <c r="P140" s="44" t="n">
        <f aca="false">VLOOKUP($B140,'[3]Delta Monthly'!$A$1:$AW$80,22,1)/10000</f>
        <v>0</v>
      </c>
      <c r="Q140" s="44" t="n">
        <f aca="false">VLOOKUP($B140,'[3]Delta Monthly'!$A$1:$AW$80,24,1)/10000</f>
        <v>-30.97839852</v>
      </c>
      <c r="R140" s="65" t="n">
        <f aca="false">SUM(G140:Q140)</f>
        <v>-30.97839852</v>
      </c>
      <c r="S140" s="44" t="n">
        <f aca="false">(VLOOKUP($B140,'[3]Delta Monthly'!$A$1:$AW$80,26,2)+VLOOKUP($B140,'[3]Delta Monthly'!$A$1:$AW$80,28,2))/10000</f>
        <v>-0.037273179999998</v>
      </c>
      <c r="T140" s="44" t="n">
        <f aca="false">(VLOOKUP($B140,'[3]Delta Monthly'!$A$1:$AW$80,30,FALSE())+VLOOKUP($B140,'[3]Delta Monthly'!$A$1:$AW$80,32,FALSE()))/10000</f>
        <v>0</v>
      </c>
      <c r="U140" s="44" t="n">
        <f aca="false">(VLOOKUP($B140,'[3]Delta Monthly'!$A$1:$AW$80,34,FALSE()))/10000</f>
        <v>0</v>
      </c>
      <c r="V140" s="44" t="n">
        <f aca="false">(VLOOKUP($B140,'[3]Delta Monthly'!$A$1:$AW$80,36,FALSE()))/10000</f>
        <v>0</v>
      </c>
      <c r="W140" s="44" t="n">
        <f aca="false">(VLOOKUP($B140,'[3]Delta Monthly'!$A$1:$AW$80,38,FALSE())+VLOOKUP($B140,'[3]Delta Monthly'!$A$1:$AW$80,40,FALSE()))/10000</f>
        <v>0</v>
      </c>
      <c r="X140" s="44" t="n">
        <f aca="false">(VLOOKUP($B140,'[3]Delta Monthly'!$A$1:$AW$80,42,FALSE()))/10000</f>
        <v>0</v>
      </c>
      <c r="Y140" s="44" t="n">
        <f aca="false">(VLOOKUP($B140,'[3]Delta Monthly'!$A$1:$AW$80,44,FALSE())+VLOOKUP($B140,'[3]Delta Monthly'!$A$1:$AW$80,46,FALSE())+VLOOKUP($B140,'[3]Delta Monthly'!$A$1:$AW$80,48,FALSE()))/10000</f>
        <v>0</v>
      </c>
      <c r="Z140" s="65" t="n">
        <f aca="false">SUM(S140:Y140)</f>
        <v>-0.037273179999998</v>
      </c>
      <c r="AA140" s="65" t="n">
        <f aca="false">VLOOKUP($B140,'[5]Delta Yearly'!$A$1:$AD$80,4,FALSE())/10000</f>
        <v>0</v>
      </c>
      <c r="AB140" s="65" t="n">
        <f aca="false">(VLOOKUP($B140,'[5]Delta Yearly'!$A$1:$AC$80,6,FALSE())+VLOOKUP($B140,'[5]Delta Yearly'!$A$1:$AC$80,8,FALSE())+VLOOKUP($B140,'[5]Delta Yearly'!$A$1:$AC$80,10,FALSE())+VLOOKUP($B140,'[5]Delta Yearly'!$A$1:$AC$80,12,FALSE())+VLOOKUP($B140,'[5]Delta Yearly'!$A$1:$AC$80,14,FALSE())+VLOOKUP($B140,'[5]Delta Yearly'!$A$1:$AC$80,16,FALSE())+VLOOKUP($B140,'[5]Delta Yearly'!$A$1:$AC$80,18,FALSE())+VLOOKUP($B140,'[5]Delta Yearly'!$A$1:$AC$80,20,FALSE())+VLOOKUP($B140,'[5]Delta Yearly'!$A$1:$AC$80,22,FALSE())+VLOOKUP($B140,'[5]Delta Yearly'!$A$1:$AC$80,24,FALSE())+VLOOKUP($B140,'[5]Delta Yearly'!$A$1:$AC$80,26,FALSE())+VLOOKUP($B140,'[5]Delta Yearly'!$A$1:$AC$80,28,FALSE()))/10000</f>
        <v>0</v>
      </c>
      <c r="AC140" s="65" t="n">
        <f aca="false">SUM(AB140,AA140,Z140,R140)</f>
        <v>-31.0156717</v>
      </c>
      <c r="AF140" s="192" t="s">
        <v>227</v>
      </c>
      <c r="AG140" s="193" t="n">
        <f aca="false">AC140</f>
        <v>-31.0156717</v>
      </c>
      <c r="AH140" s="194"/>
      <c r="AI140" s="195"/>
      <c r="AJ140" s="194" t="n">
        <f aca="false">AC140</f>
        <v>-31.0156717</v>
      </c>
      <c r="AK140" s="4"/>
      <c r="AL140" s="4"/>
    </row>
    <row r="141" customFormat="false" ht="8.1" hidden="false" customHeight="true" outlineLevel="0" collapsed="false">
      <c r="A141" s="192"/>
      <c r="B141" s="202"/>
      <c r="C141" s="202"/>
      <c r="D141" s="177"/>
      <c r="E141" s="91"/>
      <c r="F141" s="91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65"/>
      <c r="S141" s="44"/>
      <c r="T141" s="44"/>
      <c r="U141" s="44"/>
      <c r="V141" s="44"/>
      <c r="W141" s="44"/>
      <c r="X141" s="44"/>
      <c r="Y141" s="44"/>
      <c r="Z141" s="65"/>
      <c r="AA141" s="65"/>
      <c r="AB141" s="65"/>
      <c r="AC141" s="65"/>
      <c r="AF141" s="192"/>
      <c r="AG141" s="193"/>
      <c r="AH141" s="194"/>
      <c r="AI141" s="195"/>
      <c r="AJ141" s="194"/>
      <c r="AK141" s="4"/>
      <c r="AL141" s="4"/>
    </row>
    <row r="142" customFormat="false" ht="18" hidden="false" customHeight="false" outlineLevel="0" collapsed="false">
      <c r="A142" s="192" t="s">
        <v>233</v>
      </c>
      <c r="B142" s="202" t="s">
        <v>234</v>
      </c>
      <c r="C142" s="202" t="s">
        <v>235</v>
      </c>
      <c r="D142" s="65" t="s">
        <v>58</v>
      </c>
      <c r="E142" s="91" t="n">
        <f aca="false">(VLOOKUP(C142,[4]Sheet1!$B$1:$G$65,2,0))*-1</f>
        <v>28993.915313556</v>
      </c>
      <c r="F142" s="91" t="n">
        <f aca="false">(VLOOKUP(C142,[4]Sheet1!$B$1:$G$65,4,0))</f>
        <v>28993.9152959767</v>
      </c>
      <c r="G142" s="44"/>
      <c r="H142" s="44"/>
      <c r="I142" s="44"/>
      <c r="J142" s="44"/>
      <c r="K142" s="44"/>
      <c r="L142" s="44"/>
      <c r="M142" s="44"/>
      <c r="N142" s="44"/>
      <c r="O142" s="44" t="n">
        <f aca="false">VLOOKUP($B142,'[3]Delta Monthly'!$A$1:$AW$80,20,1)/10000</f>
        <v>0</v>
      </c>
      <c r="P142" s="44" t="n">
        <f aca="false">VLOOKUP($B142,'[3]Delta Monthly'!$A$1:$AW$80,22,1)/10000</f>
        <v>0</v>
      </c>
      <c r="Q142" s="44" t="n">
        <f aca="false">VLOOKUP($B142,'[3]Delta Monthly'!$A$1:$AW$80,24,1)/10000</f>
        <v>-7.74459966</v>
      </c>
      <c r="R142" s="65" t="n">
        <f aca="false">SUM(G142:Q142)</f>
        <v>-7.74459966</v>
      </c>
      <c r="S142" s="44" t="n">
        <f aca="false">(VLOOKUP($B142,'[3]Delta Monthly'!$A$1:$AW$80,26,FALSE())+VLOOKUP($B142,'[3]Delta Monthly'!$A$1:$AW$80,28,FALSE()))/10000</f>
        <v>0</v>
      </c>
      <c r="T142" s="44" t="n">
        <f aca="false">(VLOOKUP($B142,'[3]Delta Monthly'!$A$1:$AW$80,30,FALSE())+VLOOKUP($B142,'[3]Delta Monthly'!$A$1:$AW$80,32,FALSE()))/10000</f>
        <v>0</v>
      </c>
      <c r="U142" s="44" t="n">
        <f aca="false">(VLOOKUP($B142,'[3]Delta Monthly'!$A$1:$AW$80,34,FALSE()))/10000</f>
        <v>0</v>
      </c>
      <c r="V142" s="44" t="n">
        <f aca="false">(VLOOKUP($B142,'[3]Delta Monthly'!$A$1:$AW$80,36,FALSE()))/10000</f>
        <v>0</v>
      </c>
      <c r="W142" s="44" t="n">
        <f aca="false">(VLOOKUP($B142,'[3]Delta Monthly'!$A$1:$AW$80,38,FALSE())+VLOOKUP($B142,'[3]Delta Monthly'!$A$1:$AW$80,40,FALSE()))/10000</f>
        <v>0</v>
      </c>
      <c r="X142" s="44" t="n">
        <f aca="false">(VLOOKUP($B142,'[3]Delta Monthly'!$A$1:$AW$80,42,FALSE()))/10000</f>
        <v>0</v>
      </c>
      <c r="Y142" s="44" t="n">
        <f aca="false">(VLOOKUP($B142,'[3]Delta Monthly'!$A$1:$AW$80,44,FALSE())+VLOOKUP($B142,'[3]Delta Monthly'!$A$1:$AW$80,46,FALSE())+VLOOKUP($B142,'[3]Delta Monthly'!$A$1:$AW$80,48,FALSE()))/10000</f>
        <v>0</v>
      </c>
      <c r="Z142" s="65" t="n">
        <f aca="false">SUM(S142:Y142)</f>
        <v>0</v>
      </c>
      <c r="AA142" s="65" t="n">
        <f aca="false">VLOOKUP($B142,'[5]Delta Yearly'!$A$1:$AD$80,4,FALSE())/10000</f>
        <v>0</v>
      </c>
      <c r="AB142" s="65" t="n">
        <f aca="false">(VLOOKUP($B142,'[5]Delta Yearly'!$A$1:$AC$80,6,FALSE())+VLOOKUP($B142,'[5]Delta Yearly'!$A$1:$AC$80,8,FALSE())+VLOOKUP($B142,'[5]Delta Yearly'!$A$1:$AC$80,10,FALSE())+VLOOKUP($B142,'[5]Delta Yearly'!$A$1:$AC$80,12,FALSE())+VLOOKUP($B142,'[5]Delta Yearly'!$A$1:$AC$80,14,FALSE())+VLOOKUP($B142,'[5]Delta Yearly'!$A$1:$AC$80,16,FALSE())+VLOOKUP($B142,'[5]Delta Yearly'!$A$1:$AC$80,18,FALSE())+VLOOKUP($B142,'[5]Delta Yearly'!$A$1:$AC$80,20,FALSE())+VLOOKUP($B142,'[5]Delta Yearly'!$A$1:$AC$80,22,FALSE())+VLOOKUP($B142,'[5]Delta Yearly'!$A$1:$AC$80,24,FALSE())+VLOOKUP($B142,'[5]Delta Yearly'!$A$1:$AC$80,26,FALSE())+VLOOKUP($B142,'[5]Delta Yearly'!$A$1:$AC$80,28,FALSE()))/10000</f>
        <v>0</v>
      </c>
      <c r="AC142" s="65" t="n">
        <f aca="false">SUM(AB142,AA142,Z142,R142)</f>
        <v>-7.74459966</v>
      </c>
      <c r="AF142" s="192" t="s">
        <v>233</v>
      </c>
      <c r="AG142" s="199" t="n">
        <f aca="false">AC142</f>
        <v>-7.74459966</v>
      </c>
      <c r="AH142" s="200"/>
      <c r="AI142" s="201"/>
      <c r="AJ142" s="200" t="n">
        <f aca="false">SUM(AG142:AI142)</f>
        <v>-7.74459966</v>
      </c>
      <c r="AK142" s="4"/>
      <c r="AL142" s="4"/>
    </row>
    <row r="143" customFormat="false" ht="8.1" hidden="false" customHeight="true" outlineLevel="0" collapsed="false">
      <c r="A143" s="192"/>
      <c r="B143" s="202"/>
      <c r="C143" s="202"/>
      <c r="D143" s="177"/>
      <c r="E143" s="91"/>
      <c r="F143" s="91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65"/>
      <c r="S143" s="44"/>
      <c r="T143" s="44"/>
      <c r="U143" s="44"/>
      <c r="V143" s="44"/>
      <c r="W143" s="44"/>
      <c r="X143" s="44"/>
      <c r="Y143" s="44"/>
      <c r="Z143" s="65"/>
      <c r="AA143" s="65"/>
      <c r="AB143" s="65"/>
      <c r="AC143" s="65"/>
      <c r="AF143" s="192"/>
      <c r="AG143" s="193"/>
      <c r="AH143" s="194"/>
      <c r="AI143" s="195"/>
      <c r="AJ143" s="194"/>
      <c r="AK143" s="4"/>
      <c r="AL143" s="4"/>
    </row>
    <row r="144" customFormat="false" ht="18" hidden="false" customHeight="false" outlineLevel="0" collapsed="false">
      <c r="A144" s="192" t="s">
        <v>236</v>
      </c>
      <c r="B144" s="202" t="s">
        <v>237</v>
      </c>
      <c r="C144" s="202" t="s">
        <v>238</v>
      </c>
      <c r="D144" s="177" t="s">
        <v>36</v>
      </c>
      <c r="E144" s="91" t="n">
        <f aca="false">(VLOOKUP(C144,[4]Sheet1!$B$1:$G$65,2,0))*-1</f>
        <v>154580.187400933</v>
      </c>
      <c r="F144" s="91" t="n">
        <f aca="false">(VLOOKUP(C144,[4]Sheet1!$B$1:$G$65,4,0))</f>
        <v>-191.763363568025</v>
      </c>
      <c r="G144" s="44"/>
      <c r="H144" s="44"/>
      <c r="I144" s="44"/>
      <c r="J144" s="44"/>
      <c r="K144" s="44"/>
      <c r="L144" s="44"/>
      <c r="M144" s="44"/>
      <c r="N144" s="44"/>
      <c r="O144" s="44" t="n">
        <f aca="false">VLOOKUP($B144,'[3]Delta Monthly'!$A$1:$AW$80,20,1)/10000</f>
        <v>0</v>
      </c>
      <c r="P144" s="44" t="n">
        <f aca="false">VLOOKUP($B144,'[3]Delta Monthly'!$A$1:$AW$80,22,1)/10000</f>
        <v>0</v>
      </c>
      <c r="Q144" s="44" t="n">
        <f aca="false">VLOOKUP($B144,'[3]Delta Monthly'!$A$1:$AW$80,24,1)/10000</f>
        <v>0</v>
      </c>
      <c r="R144" s="65" t="n">
        <f aca="false">SUM(G144:Q144)</f>
        <v>0</v>
      </c>
      <c r="S144" s="44" t="n">
        <f aca="false">(VLOOKUP($B144,'[3]Delta Monthly'!$A$1:$AW$80,26,FALSE())+VLOOKUP($B144,'[3]Delta Monthly'!$A$1:$AW$80,28,FALSE()))/10000</f>
        <v>0</v>
      </c>
      <c r="T144" s="44" t="n">
        <f aca="false">(VLOOKUP($B144,'[3]Delta Monthly'!$A$1:$AW$80,30,FALSE())+VLOOKUP($B144,'[3]Delta Monthly'!$A$1:$AW$80,32,FALSE()))/10000</f>
        <v>0</v>
      </c>
      <c r="U144" s="44" t="n">
        <f aca="false">(VLOOKUP($B144,'[3]Delta Monthly'!$A$1:$AW$80,34,FALSE()))/10000</f>
        <v>0</v>
      </c>
      <c r="V144" s="44" t="n">
        <f aca="false">(VLOOKUP($B144,'[3]Delta Monthly'!$A$1:$AW$80,36,FALSE()))/10000</f>
        <v>0</v>
      </c>
      <c r="W144" s="44" t="n">
        <f aca="false">(VLOOKUP($B144,'[3]Delta Monthly'!$A$1:$AW$80,38,FALSE())+VLOOKUP($B144,'[3]Delta Monthly'!$A$1:$AW$80,40,FALSE()))/10000</f>
        <v>0</v>
      </c>
      <c r="X144" s="44" t="n">
        <f aca="false">(VLOOKUP($B144,'[3]Delta Monthly'!$A$1:$AW$80,42,FALSE()))/10000</f>
        <v>0</v>
      </c>
      <c r="Y144" s="44" t="n">
        <f aca="false">(VLOOKUP($B144,'[3]Delta Monthly'!$A$1:$AW$80,44,FALSE())+VLOOKUP($B144,'[3]Delta Monthly'!$A$1:$AW$80,46,FALSE())+VLOOKUP($B144,'[3]Delta Monthly'!$A$1:$AW$80,48,FALSE()))/10000</f>
        <v>0</v>
      </c>
      <c r="Z144" s="65" t="n">
        <f aca="false">SUM(S144:Y144)</f>
        <v>0</v>
      </c>
      <c r="AA144" s="65" t="n">
        <f aca="false">VLOOKUP($B144,'[5]Delta Yearly'!$A$1:$AD$80,4,FALSE())/10000</f>
        <v>0</v>
      </c>
      <c r="AB144" s="65" t="n">
        <f aca="false">(VLOOKUP($B144,'[5]Delta Yearly'!$A$1:$AC$80,6,FALSE())+VLOOKUP($B144,'[5]Delta Yearly'!$A$1:$AC$80,8,FALSE())+VLOOKUP($B144,'[5]Delta Yearly'!$A$1:$AC$80,10,FALSE())+VLOOKUP($B144,'[5]Delta Yearly'!$A$1:$AC$80,12,FALSE())+VLOOKUP($B144,'[5]Delta Yearly'!$A$1:$AC$80,14,FALSE())+VLOOKUP($B144,'[5]Delta Yearly'!$A$1:$AC$80,16,FALSE())+VLOOKUP($B144,'[5]Delta Yearly'!$A$1:$AC$80,18,FALSE())+VLOOKUP($B144,'[5]Delta Yearly'!$A$1:$AC$80,20,FALSE())+VLOOKUP($B144,'[5]Delta Yearly'!$A$1:$AC$80,22,FALSE())+VLOOKUP($B144,'[5]Delta Yearly'!$A$1:$AC$80,24,FALSE())+VLOOKUP($B144,'[5]Delta Yearly'!$A$1:$AC$80,26,FALSE())+VLOOKUP($B144,'[5]Delta Yearly'!$A$1:$AC$80,28,FALSE()))/10000</f>
        <v>0</v>
      </c>
      <c r="AC144" s="65" t="n">
        <f aca="false">SUM(AB144,AA144,Z144,R144)</f>
        <v>0</v>
      </c>
      <c r="AF144" s="192" t="s">
        <v>236</v>
      </c>
      <c r="AG144" s="199" t="n">
        <f aca="false">AC144</f>
        <v>0</v>
      </c>
      <c r="AH144" s="194"/>
      <c r="AI144" s="195"/>
      <c r="AJ144" s="194"/>
      <c r="AK144" s="4"/>
      <c r="AL144" s="4"/>
    </row>
    <row r="145" customFormat="false" ht="8.1" hidden="false" customHeight="true" outlineLevel="0" collapsed="false">
      <c r="A145" s="192"/>
      <c r="B145" s="202"/>
      <c r="C145" s="202"/>
      <c r="D145" s="177"/>
      <c r="E145" s="91"/>
      <c r="F145" s="91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65"/>
      <c r="S145" s="44"/>
      <c r="T145" s="44"/>
      <c r="U145" s="44"/>
      <c r="V145" s="44"/>
      <c r="W145" s="44"/>
      <c r="X145" s="44"/>
      <c r="Y145" s="44"/>
      <c r="Z145" s="65"/>
      <c r="AA145" s="65"/>
      <c r="AB145" s="65"/>
      <c r="AC145" s="65"/>
      <c r="AF145" s="192"/>
      <c r="AG145" s="193"/>
      <c r="AH145" s="194"/>
      <c r="AI145" s="195"/>
      <c r="AJ145" s="194"/>
      <c r="AK145" s="4"/>
      <c r="AL145" s="4"/>
    </row>
    <row r="146" customFormat="false" ht="18" hidden="false" customHeight="false" outlineLevel="0" collapsed="false">
      <c r="A146" s="192" t="s">
        <v>239</v>
      </c>
      <c r="B146" s="202" t="s">
        <v>240</v>
      </c>
      <c r="C146" s="202" t="s">
        <v>241</v>
      </c>
      <c r="D146" s="177" t="s">
        <v>102</v>
      </c>
      <c r="E146" s="91" t="n">
        <f aca="false">(VLOOKUP(C146,[4]Sheet1!$B$1:$G$65,2,0))*-1</f>
        <v>14333.2588388897</v>
      </c>
      <c r="F146" s="91" t="n">
        <f aca="false">(VLOOKUP(C146,[4]Sheet1!$B$1:$G$65,4,0))</f>
        <v>-664163.843494185</v>
      </c>
      <c r="G146" s="44"/>
      <c r="H146" s="44"/>
      <c r="I146" s="44"/>
      <c r="J146" s="44"/>
      <c r="K146" s="44"/>
      <c r="L146" s="44"/>
      <c r="M146" s="44"/>
      <c r="N146" s="44"/>
      <c r="O146" s="44" t="n">
        <f aca="false">VLOOKUP($B146,'[3]Delta Monthly'!$A$1:$AW$80,20,1)/10000</f>
        <v>0</v>
      </c>
      <c r="P146" s="44" t="n">
        <f aca="false">VLOOKUP($B146,'[3]Delta Monthly'!$A$1:$AW$80,22,1)/10000</f>
        <v>0</v>
      </c>
      <c r="Q146" s="44" t="n">
        <f aca="false">VLOOKUP($B146,'[3]Delta Monthly'!$A$1:$AW$80,24,1)/10000</f>
        <v>7.74459958</v>
      </c>
      <c r="R146" s="65" t="n">
        <f aca="false">SUM(G146:Q146)</f>
        <v>7.74459958</v>
      </c>
      <c r="S146" s="44" t="n">
        <f aca="false">(VLOOKUP($B146,'[3]Delta Monthly'!$A$1:$AW$80,26,FALSE())+VLOOKUP($B146,'[3]Delta Monthly'!$A$1:$AW$80,28,FALSE()))/10000</f>
        <v>0</v>
      </c>
      <c r="T146" s="44" t="n">
        <f aca="false">(VLOOKUP($B146,'[3]Delta Monthly'!$A$1:$AW$80,30,FALSE())+VLOOKUP($B146,'[3]Delta Monthly'!$A$1:$AW$80,32,FALSE()))/10000</f>
        <v>0</v>
      </c>
      <c r="U146" s="44" t="n">
        <f aca="false">(VLOOKUP($B146,'[3]Delta Monthly'!$A$1:$AW$80,34,FALSE()))/10000</f>
        <v>0</v>
      </c>
      <c r="V146" s="44" t="n">
        <f aca="false">(VLOOKUP($B146,'[3]Delta Monthly'!$A$1:$AW$80,36,FALSE()))/10000</f>
        <v>0</v>
      </c>
      <c r="W146" s="44" t="n">
        <f aca="false">(VLOOKUP($B146,'[3]Delta Monthly'!$A$1:$AW$80,38,FALSE())+VLOOKUP($B146,'[3]Delta Monthly'!$A$1:$AW$80,40,FALSE()))/10000</f>
        <v>0</v>
      </c>
      <c r="X146" s="44" t="n">
        <f aca="false">(VLOOKUP($B146,'[3]Delta Monthly'!$A$1:$AW$80,42,FALSE()))/10000</f>
        <v>0</v>
      </c>
      <c r="Y146" s="44" t="n">
        <f aca="false">(VLOOKUP($B146,'[3]Delta Monthly'!$A$1:$AW$80,44,FALSE())+VLOOKUP($B146,'[3]Delta Monthly'!$A$1:$AW$80,46,FALSE())+VLOOKUP($B146,'[3]Delta Monthly'!$A$1:$AW$80,48,FALSE()))/10000</f>
        <v>0</v>
      </c>
      <c r="Z146" s="65" t="n">
        <f aca="false">SUM(S146:Y146)</f>
        <v>0</v>
      </c>
      <c r="AA146" s="65" t="n">
        <f aca="false">VLOOKUP($B146,'[5]Delta Yearly'!$A$1:$AD$80,4,FALSE())/10000</f>
        <v>0</v>
      </c>
      <c r="AB146" s="65" t="n">
        <f aca="false">(VLOOKUP($B146,'[5]Delta Yearly'!$A$1:$AC$80,6,FALSE())+VLOOKUP($B146,'[5]Delta Yearly'!$A$1:$AC$80,8,FALSE())+VLOOKUP($B146,'[5]Delta Yearly'!$A$1:$AC$80,10,FALSE())+VLOOKUP($B146,'[5]Delta Yearly'!$A$1:$AC$80,12,FALSE())+VLOOKUP($B146,'[5]Delta Yearly'!$A$1:$AC$80,14,FALSE())+VLOOKUP($B146,'[5]Delta Yearly'!$A$1:$AC$80,16,FALSE())+VLOOKUP($B146,'[5]Delta Yearly'!$A$1:$AC$80,18,FALSE())+VLOOKUP($B146,'[5]Delta Yearly'!$A$1:$AC$80,20,FALSE())+VLOOKUP($B146,'[5]Delta Yearly'!$A$1:$AC$80,22,FALSE())+VLOOKUP($B146,'[5]Delta Yearly'!$A$1:$AC$80,24,FALSE())+VLOOKUP($B146,'[5]Delta Yearly'!$A$1:$AC$80,26,FALSE())+VLOOKUP($B146,'[5]Delta Yearly'!$A$1:$AC$80,28,FALSE()))/10000</f>
        <v>0</v>
      </c>
      <c r="AC146" s="65" t="n">
        <f aca="false">SUM(AB146,AA146,Z146,R146)</f>
        <v>7.74459958</v>
      </c>
      <c r="AF146" s="192" t="s">
        <v>239</v>
      </c>
      <c r="AG146" s="193" t="n">
        <f aca="false">AC146</f>
        <v>7.74459958</v>
      </c>
      <c r="AH146" s="194"/>
      <c r="AI146" s="195"/>
      <c r="AJ146" s="194" t="n">
        <f aca="false">AC146</f>
        <v>7.74459958</v>
      </c>
      <c r="AK146" s="4"/>
      <c r="AL146" s="4"/>
    </row>
    <row r="147" customFormat="false" ht="8.1" hidden="false" customHeight="true" outlineLevel="0" collapsed="false">
      <c r="A147" s="192"/>
      <c r="B147" s="202"/>
      <c r="C147" s="202"/>
      <c r="D147" s="177"/>
      <c r="E147" s="91"/>
      <c r="F147" s="91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65"/>
      <c r="S147" s="44"/>
      <c r="T147" s="44"/>
      <c r="U147" s="44"/>
      <c r="V147" s="44"/>
      <c r="W147" s="44"/>
      <c r="X147" s="44"/>
      <c r="Y147" s="44"/>
      <c r="Z147" s="65"/>
      <c r="AA147" s="65"/>
      <c r="AB147" s="65"/>
      <c r="AC147" s="65"/>
      <c r="AF147" s="192"/>
      <c r="AG147" s="193"/>
      <c r="AH147" s="194"/>
      <c r="AI147" s="195"/>
      <c r="AJ147" s="194"/>
      <c r="AK147" s="4"/>
      <c r="AL147" s="4"/>
    </row>
    <row r="148" customFormat="false" ht="18" hidden="false" customHeight="false" outlineLevel="0" collapsed="false">
      <c r="A148" s="192" t="s">
        <v>242</v>
      </c>
      <c r="B148" s="202" t="s">
        <v>243</v>
      </c>
      <c r="C148" s="202" t="s">
        <v>244</v>
      </c>
      <c r="D148" s="65" t="s">
        <v>94</v>
      </c>
      <c r="E148" s="91" t="n">
        <f aca="false">(VLOOKUP(C148,[4]Sheet1!$B$1:$G$65,2,0))*-1</f>
        <v>78579.1493169694</v>
      </c>
      <c r="F148" s="91" t="n">
        <f aca="false">(VLOOKUP(C148,[4]Sheet1!$B$1:$G$65,4,0))</f>
        <v>-3004.6231194445</v>
      </c>
      <c r="G148" s="44"/>
      <c r="H148" s="44"/>
      <c r="I148" s="44"/>
      <c r="J148" s="44"/>
      <c r="K148" s="44"/>
      <c r="L148" s="44"/>
      <c r="M148" s="44"/>
      <c r="N148" s="44"/>
      <c r="O148" s="44" t="n">
        <f aca="false">VLOOKUP($B148,'[3]Delta Monthly'!$A$1:$AW$80,20,1)/10000</f>
        <v>0</v>
      </c>
      <c r="P148" s="44" t="n">
        <f aca="false">VLOOKUP($B148,'[3]Delta Monthly'!$A$1:$AW$80,22,1)/10000</f>
        <v>0</v>
      </c>
      <c r="Q148" s="44" t="n">
        <f aca="false">VLOOKUP($B148,'[3]Delta Monthly'!$A$1:$AW$80,24,1)/10000</f>
        <v>7.74459961</v>
      </c>
      <c r="R148" s="65" t="n">
        <f aca="false">SUM(G148:Q148)</f>
        <v>7.74459961</v>
      </c>
      <c r="S148" s="44" t="n">
        <f aca="false">(VLOOKUP($B148,'[3]Delta Monthly'!$A$1:$AW$80,26,FALSE())+VLOOKUP($B148,'[3]Delta Monthly'!$A$1:$AW$80,28,FALSE()))/10000</f>
        <v>0</v>
      </c>
      <c r="T148" s="44" t="n">
        <f aca="false">(VLOOKUP($B148,'[3]Delta Monthly'!$A$1:$AW$80,30,FALSE())+VLOOKUP($B148,'[3]Delta Monthly'!$A$1:$AW$80,32,FALSE()))/10000</f>
        <v>0</v>
      </c>
      <c r="U148" s="44" t="n">
        <f aca="false">(VLOOKUP($B148,'[3]Delta Monthly'!$A$1:$AW$80,34,FALSE()))/10000</f>
        <v>0</v>
      </c>
      <c r="V148" s="44" t="n">
        <f aca="false">(VLOOKUP($B148,'[3]Delta Monthly'!$A$1:$AW$80,36,FALSE()))/10000</f>
        <v>0</v>
      </c>
      <c r="W148" s="44" t="n">
        <f aca="false">(VLOOKUP($B148,'[3]Delta Monthly'!$A$1:$AW$80,38,FALSE())+VLOOKUP($B148,'[3]Delta Monthly'!$A$1:$AW$80,40,FALSE()))/10000</f>
        <v>0</v>
      </c>
      <c r="X148" s="44" t="n">
        <f aca="false">(VLOOKUP($B148,'[3]Delta Monthly'!$A$1:$AW$80,42,FALSE()))/10000</f>
        <v>0</v>
      </c>
      <c r="Y148" s="44" t="n">
        <f aca="false">(VLOOKUP($B148,'[3]Delta Monthly'!$A$1:$AW$80,44,FALSE())+VLOOKUP($B148,'[3]Delta Monthly'!$A$1:$AW$80,46,FALSE())+VLOOKUP($B148,'[3]Delta Monthly'!$A$1:$AW$80,48,FALSE()))/10000</f>
        <v>0</v>
      </c>
      <c r="Z148" s="65" t="n">
        <f aca="false">SUM(S148:Y148)</f>
        <v>0</v>
      </c>
      <c r="AA148" s="65" t="n">
        <f aca="false">VLOOKUP($B148,'[5]Delta Yearly'!$A$1:$AD$80,4,FALSE())/10000</f>
        <v>-17.41293546</v>
      </c>
      <c r="AB148" s="65" t="n">
        <f aca="false">(VLOOKUP($B148,'[5]Delta Yearly'!$A$1:$AC$80,6,FALSE())+VLOOKUP($B148,'[5]Delta Yearly'!$A$1:$AC$80,8,FALSE())+VLOOKUP($B148,'[5]Delta Yearly'!$A$1:$AC$80,10,FALSE())+VLOOKUP($B148,'[5]Delta Yearly'!$A$1:$AC$80,12,FALSE())+VLOOKUP($B148,'[5]Delta Yearly'!$A$1:$AC$80,14,FALSE())+VLOOKUP($B148,'[5]Delta Yearly'!$A$1:$AC$80,16,FALSE())+VLOOKUP($B148,'[5]Delta Yearly'!$A$1:$AC$80,18,FALSE())+VLOOKUP($B148,'[5]Delta Yearly'!$A$1:$AC$80,20,FALSE())+VLOOKUP($B148,'[5]Delta Yearly'!$A$1:$AC$80,22,FALSE())+VLOOKUP($B148,'[5]Delta Yearly'!$A$1:$AC$80,24,FALSE())+VLOOKUP($B148,'[5]Delta Yearly'!$A$1:$AC$80,26,FALSE())+VLOOKUP($B148,'[5]Delta Yearly'!$A$1:$AC$80,28,FALSE()))/10000</f>
        <v>0</v>
      </c>
      <c r="AC148" s="65" t="n">
        <f aca="false">SUM(AB148,AA148,Z148,R148)</f>
        <v>-9.66833585</v>
      </c>
      <c r="AF148" s="192" t="s">
        <v>242</v>
      </c>
      <c r="AG148" s="193" t="n">
        <f aca="false">AC148</f>
        <v>-9.66833585</v>
      </c>
      <c r="AH148" s="194"/>
      <c r="AI148" s="195"/>
      <c r="AJ148" s="194" t="n">
        <f aca="false">AC148</f>
        <v>-9.66833585</v>
      </c>
      <c r="AK148" s="4"/>
      <c r="AL148" s="4"/>
    </row>
    <row r="149" customFormat="false" ht="8.1" hidden="false" customHeight="true" outlineLevel="0" collapsed="false">
      <c r="A149" s="192"/>
      <c r="B149" s="202"/>
      <c r="C149" s="202"/>
      <c r="D149" s="65"/>
      <c r="E149" s="91"/>
      <c r="F149" s="91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65"/>
      <c r="S149" s="44"/>
      <c r="T149" s="44"/>
      <c r="U149" s="44"/>
      <c r="V149" s="44"/>
      <c r="W149" s="44"/>
      <c r="X149" s="44"/>
      <c r="Y149" s="44"/>
      <c r="Z149" s="65"/>
      <c r="AA149" s="65"/>
      <c r="AB149" s="65"/>
      <c r="AC149" s="65"/>
      <c r="AF149" s="192"/>
      <c r="AG149" s="193"/>
      <c r="AH149" s="194"/>
      <c r="AI149" s="195"/>
      <c r="AJ149" s="194"/>
      <c r="AK149" s="4"/>
      <c r="AL149" s="4"/>
    </row>
    <row r="150" customFormat="false" ht="18" hidden="false" customHeight="false" outlineLevel="0" collapsed="false">
      <c r="A150" s="192" t="s">
        <v>245</v>
      </c>
      <c r="B150" s="202" t="s">
        <v>246</v>
      </c>
      <c r="C150" s="202" t="s">
        <v>247</v>
      </c>
      <c r="D150" s="65" t="s">
        <v>248</v>
      </c>
      <c r="E150" s="91" t="n">
        <f aca="false">(VLOOKUP(C150,[4]Sheet1!$B$1:$G$65,2,0))*-1</f>
        <v>591873.463131079</v>
      </c>
      <c r="F150" s="91" t="n">
        <f aca="false">(VLOOKUP(C150,[4]Sheet1!$B$1:$G$65,4,0))</f>
        <v>-561.57952781301</v>
      </c>
      <c r="G150" s="44"/>
      <c r="H150" s="44"/>
      <c r="I150" s="44"/>
      <c r="J150" s="44"/>
      <c r="K150" s="44"/>
      <c r="L150" s="44"/>
      <c r="M150" s="44"/>
      <c r="N150" s="44"/>
      <c r="O150" s="44" t="n">
        <f aca="false">VLOOKUP($B150,'[3]Delta Monthly'!$A$1:$AW$80,20,1)/10000</f>
        <v>0</v>
      </c>
      <c r="P150" s="44" t="n">
        <f aca="false">VLOOKUP($B150,'[3]Delta Monthly'!$A$1:$AW$80,22,1)/10000</f>
        <v>0</v>
      </c>
      <c r="Q150" s="44" t="n">
        <f aca="false">VLOOKUP($B150,'[3]Delta Monthly'!$A$1:$AW$80,24,1)/10000</f>
        <v>0</v>
      </c>
      <c r="R150" s="65" t="n">
        <f aca="false">SUM(G150:Q150)</f>
        <v>0</v>
      </c>
      <c r="S150" s="44" t="n">
        <f aca="false">(VLOOKUP($B150,'[3]Delta Monthly'!$A$1:$AW$80,26,FALSE())+VLOOKUP($B150,'[3]Delta Monthly'!$A$1:$AW$80,28,FALSE()))/10000</f>
        <v>4.63394913</v>
      </c>
      <c r="T150" s="44" t="n">
        <f aca="false">(VLOOKUP($B150,'[3]Delta Monthly'!$A$1:$AW$80,30,FALSE())+VLOOKUP($B150,'[3]Delta Monthly'!$A$1:$AW$80,32,FALSE()))/10000</f>
        <v>0.00399222000000009</v>
      </c>
      <c r="U150" s="44" t="n">
        <f aca="false">(VLOOKUP($B150,'[3]Delta Monthly'!$A$1:$AW$80,34,FALSE()))/10000</f>
        <v>-2.3027781</v>
      </c>
      <c r="V150" s="44" t="n">
        <f aca="false">(VLOOKUP($B150,'[3]Delta Monthly'!$A$1:$AW$80,36,FALSE()))/10000</f>
        <v>-2.29828613</v>
      </c>
      <c r="W150" s="44" t="n">
        <f aca="false">(VLOOKUP($B150,'[3]Delta Monthly'!$A$1:$AW$80,38,FALSE())+VLOOKUP($B150,'[3]Delta Monthly'!$A$1:$AW$80,40,FALSE()))/10000</f>
        <v>-6.10980568</v>
      </c>
      <c r="X150" s="44" t="n">
        <f aca="false">(VLOOKUP($B150,'[3]Delta Monthly'!$A$1:$AW$80,42,FALSE()))/10000</f>
        <v>-3.04448364</v>
      </c>
      <c r="Y150" s="44" t="n">
        <f aca="false">(VLOOKUP($B150,'[3]Delta Monthly'!$A$1:$AW$80,44,FALSE())+VLOOKUP($B150,'[3]Delta Monthly'!$A$1:$AW$80,46,FALSE())+VLOOKUP($B150,'[3]Delta Monthly'!$A$1:$AW$80,48,FALSE()))/10000</f>
        <v>20.44842634</v>
      </c>
      <c r="Z150" s="65" t="n">
        <f aca="false">SUM(S150:Y150)</f>
        <v>11.33101414</v>
      </c>
      <c r="AA150" s="65" t="n">
        <f aca="false">VLOOKUP($B150,'[5]Delta Yearly'!$A$1:$AD$80,4,FALSE())/10000</f>
        <v>177.4847318</v>
      </c>
      <c r="AB150" s="65" t="n">
        <f aca="false">(VLOOKUP($B150,'[5]Delta Yearly'!$A$1:$AC$80,6,FALSE())+VLOOKUP($B150,'[5]Delta Yearly'!$A$1:$AC$80,8,FALSE())+VLOOKUP($B150,'[5]Delta Yearly'!$A$1:$AC$80,10,FALSE())+VLOOKUP($B150,'[5]Delta Yearly'!$A$1:$AC$80,12,FALSE())+VLOOKUP($B150,'[5]Delta Yearly'!$A$1:$AC$80,14,FALSE())+VLOOKUP($B150,'[5]Delta Yearly'!$A$1:$AC$80,16,FALSE())+VLOOKUP($B150,'[5]Delta Yearly'!$A$1:$AC$80,18,FALSE())+VLOOKUP($B150,'[5]Delta Yearly'!$A$1:$AC$80,20,FALSE())+VLOOKUP($B150,'[5]Delta Yearly'!$A$1:$AC$80,22,FALSE())+VLOOKUP($B150,'[5]Delta Yearly'!$A$1:$AC$80,24,FALSE())+VLOOKUP($B150,'[5]Delta Yearly'!$A$1:$AC$80,26,FALSE())+VLOOKUP($B150,'[5]Delta Yearly'!$A$1:$AC$80,28,FALSE()))/10000</f>
        <v>0</v>
      </c>
      <c r="AC150" s="65" t="n">
        <f aca="false">SUM(AB150,AA150,Z150,R150)</f>
        <v>188.81574594</v>
      </c>
      <c r="AF150" s="192" t="s">
        <v>245</v>
      </c>
      <c r="AG150" s="199" t="n">
        <f aca="false">AC150</f>
        <v>188.81574594</v>
      </c>
      <c r="AH150" s="194"/>
      <c r="AI150" s="195"/>
      <c r="AJ150" s="194"/>
      <c r="AK150" s="4"/>
      <c r="AL150" s="4"/>
    </row>
    <row r="151" customFormat="false" ht="8.1" hidden="false" customHeight="true" outlineLevel="0" collapsed="false">
      <c r="A151" s="192"/>
      <c r="B151" s="202"/>
      <c r="C151" s="202"/>
      <c r="D151" s="65"/>
      <c r="E151" s="91"/>
      <c r="F151" s="91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65"/>
      <c r="S151" s="44"/>
      <c r="T151" s="44"/>
      <c r="U151" s="44"/>
      <c r="V151" s="44"/>
      <c r="W151" s="44"/>
      <c r="X151" s="44"/>
      <c r="Y151" s="44"/>
      <c r="Z151" s="65"/>
      <c r="AA151" s="65"/>
      <c r="AB151" s="65"/>
      <c r="AC151" s="65"/>
      <c r="AF151" s="192"/>
      <c r="AG151" s="193"/>
      <c r="AH151" s="194"/>
      <c r="AI151" s="195"/>
      <c r="AJ151" s="194"/>
      <c r="AK151" s="4"/>
      <c r="AL151" s="4"/>
    </row>
    <row r="152" customFormat="false" ht="18" hidden="false" customHeight="false" outlineLevel="0" collapsed="false">
      <c r="A152" s="192" t="s">
        <v>249</v>
      </c>
      <c r="B152" s="202" t="s">
        <v>250</v>
      </c>
      <c r="C152" s="202" t="s">
        <v>251</v>
      </c>
      <c r="D152" s="65" t="s">
        <v>144</v>
      </c>
      <c r="E152" s="91" t="n">
        <f aca="false">(VLOOKUP(C152,[4]Sheet1!$B$1:$G$65,2,0))*-1</f>
        <v>1572280.67056185</v>
      </c>
      <c r="F152" s="91" t="n">
        <f aca="false">(VLOOKUP(C152,[4]Sheet1!$B$1:$G$65,4,0))</f>
        <v>660077.169685331</v>
      </c>
      <c r="G152" s="44"/>
      <c r="H152" s="44"/>
      <c r="I152" s="44"/>
      <c r="J152" s="44"/>
      <c r="K152" s="44"/>
      <c r="L152" s="44"/>
      <c r="M152" s="44"/>
      <c r="N152" s="44"/>
      <c r="O152" s="44" t="n">
        <f aca="false">VLOOKUP($B152,'[3]Delta Monthly'!$A$1:$AW$80,20,1)/10000</f>
        <v>0</v>
      </c>
      <c r="P152" s="44" t="n">
        <f aca="false">VLOOKUP($B152,'[3]Delta Monthly'!$A$1:$AW$80,22,1)/10000</f>
        <v>0</v>
      </c>
      <c r="Q152" s="44" t="n">
        <f aca="false">VLOOKUP($B152,'[3]Delta Monthly'!$A$1:$AW$80,24,1)/10000</f>
        <v>0</v>
      </c>
      <c r="R152" s="65" t="n">
        <f aca="false">SUM(G152:Q152)</f>
        <v>0</v>
      </c>
      <c r="S152" s="44" t="n">
        <f aca="false">(VLOOKUP($B152,'[3]Delta Monthly'!$A$1:$AW$80,26,FALSE())+VLOOKUP($B152,'[3]Delta Monthly'!$A$1:$AW$80,28,FALSE()))/10000</f>
        <v>29.39956966</v>
      </c>
      <c r="T152" s="44" t="n">
        <f aca="false">(VLOOKUP($B152,'[3]Delta Monthly'!$A$1:$AW$80,30,FALSE())+VLOOKUP($B152,'[3]Delta Monthly'!$A$1:$AW$80,32,FALSE()))/10000</f>
        <v>97.26980204</v>
      </c>
      <c r="U152" s="44" t="n">
        <f aca="false">(VLOOKUP($B152,'[3]Delta Monthly'!$A$1:$AW$80,34,FALSE()))/10000</f>
        <v>84.43519678</v>
      </c>
      <c r="V152" s="44" t="n">
        <f aca="false">(VLOOKUP($B152,'[3]Delta Monthly'!$A$1:$AW$80,36,FALSE()))/10000</f>
        <v>81.55208931</v>
      </c>
      <c r="W152" s="44" t="n">
        <f aca="false">(VLOOKUP($B152,'[3]Delta Monthly'!$A$1:$AW$80,38,FALSE())+VLOOKUP($B152,'[3]Delta Monthly'!$A$1:$AW$80,40,FALSE()))/10000</f>
        <v>168.01965666</v>
      </c>
      <c r="X152" s="44" t="n">
        <f aca="false">(VLOOKUP($B152,'[3]Delta Monthly'!$A$1:$AW$80,42,FALSE()))/10000</f>
        <v>81.02254883</v>
      </c>
      <c r="Y152" s="44" t="n">
        <f aca="false">(VLOOKUP($B152,'[3]Delta Monthly'!$A$1:$AW$80,44,FALSE())+VLOOKUP($B152,'[3]Delta Monthly'!$A$1:$AW$80,46,FALSE())+VLOOKUP($B152,'[3]Delta Monthly'!$A$1:$AW$80,48,FALSE()))/10000</f>
        <v>113.29180059</v>
      </c>
      <c r="Z152" s="65" t="n">
        <f aca="false">SUM(S152:Y152)</f>
        <v>654.99066387</v>
      </c>
      <c r="AA152" s="65" t="n">
        <f aca="false">VLOOKUP($B152,'[5]Delta Yearly'!$A$1:$AD$80,4,FALSE())/10000</f>
        <v>696.51741753</v>
      </c>
      <c r="AB152" s="65" t="n">
        <f aca="false">(VLOOKUP($B152,'[5]Delta Yearly'!$A$1:$AC$80,6,FALSE())+VLOOKUP($B152,'[5]Delta Yearly'!$A$1:$AC$80,8,FALSE())+VLOOKUP($B152,'[5]Delta Yearly'!$A$1:$AC$80,10,FALSE())+VLOOKUP($B152,'[5]Delta Yearly'!$A$1:$AC$80,12,FALSE())+VLOOKUP($B152,'[5]Delta Yearly'!$A$1:$AC$80,14,FALSE())+VLOOKUP($B152,'[5]Delta Yearly'!$A$1:$AC$80,16,FALSE())+VLOOKUP($B152,'[5]Delta Yearly'!$A$1:$AC$80,18,FALSE())+VLOOKUP($B152,'[5]Delta Yearly'!$A$1:$AC$80,20,FALSE())+VLOOKUP($B152,'[5]Delta Yearly'!$A$1:$AC$80,22,FALSE())+VLOOKUP($B152,'[5]Delta Yearly'!$A$1:$AC$80,24,FALSE())+VLOOKUP($B152,'[5]Delta Yearly'!$A$1:$AC$80,26,FALSE())+VLOOKUP($B152,'[5]Delta Yearly'!$A$1:$AC$80,28,FALSE()))/10000</f>
        <v>0</v>
      </c>
      <c r="AC152" s="65" t="n">
        <f aca="false">SUM(AB152,AA152,Z152,R152)</f>
        <v>1351.5080814</v>
      </c>
      <c r="AF152" s="192" t="s">
        <v>249</v>
      </c>
      <c r="AG152" s="203" t="n">
        <f aca="false">AC152</f>
        <v>1351.5080814</v>
      </c>
      <c r="AH152" s="194"/>
      <c r="AI152" s="195"/>
      <c r="AJ152" s="194" t="n">
        <f aca="false">AC152</f>
        <v>1351.5080814</v>
      </c>
      <c r="AK152" s="4"/>
      <c r="AL152" s="4"/>
    </row>
    <row r="153" customFormat="false" ht="4.5" hidden="false" customHeight="true" outlineLevel="0" collapsed="false">
      <c r="A153" s="192"/>
      <c r="B153" s="202"/>
      <c r="C153" s="202"/>
      <c r="D153" s="65"/>
      <c r="E153" s="91"/>
      <c r="F153" s="91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65"/>
      <c r="S153" s="44"/>
      <c r="T153" s="44"/>
      <c r="U153" s="44"/>
      <c r="V153" s="44"/>
      <c r="W153" s="44"/>
      <c r="X153" s="44"/>
      <c r="Y153" s="44"/>
      <c r="Z153" s="65"/>
      <c r="AA153" s="65"/>
      <c r="AB153" s="65"/>
      <c r="AC153" s="65"/>
      <c r="AF153" s="192"/>
      <c r="AG153" s="203"/>
      <c r="AH153" s="194"/>
      <c r="AI153" s="195"/>
      <c r="AJ153" s="194"/>
      <c r="AK153" s="4"/>
      <c r="AL153" s="4"/>
    </row>
    <row r="154" customFormat="false" ht="18" hidden="false" customHeight="false" outlineLevel="0" collapsed="false">
      <c r="A154" s="192" t="s">
        <v>252</v>
      </c>
      <c r="B154" s="202" t="s">
        <v>253</v>
      </c>
      <c r="C154" s="202" t="s">
        <v>254</v>
      </c>
      <c r="D154" s="65" t="s">
        <v>255</v>
      </c>
      <c r="E154" s="91" t="n">
        <f aca="false">(VLOOKUP(C154,[4]Sheet1!$B$1:$G$65,2,0))*-1</f>
        <v>322606.353538204</v>
      </c>
      <c r="F154" s="91" t="n">
        <f aca="false">(VLOOKUP(C154,[4]Sheet1!$B$1:$G$65,4,0))</f>
        <v>-294310.316919081</v>
      </c>
      <c r="G154" s="44"/>
      <c r="H154" s="44"/>
      <c r="I154" s="44"/>
      <c r="J154" s="44"/>
      <c r="K154" s="44"/>
      <c r="L154" s="44"/>
      <c r="M154" s="44"/>
      <c r="N154" s="44"/>
      <c r="O154" s="44" t="n">
        <f aca="false">VLOOKUP($B154,'[3]Delta Monthly'!$A$1:$AW$80,20,1)/10000</f>
        <v>0</v>
      </c>
      <c r="P154" s="44" t="n">
        <f aca="false">VLOOKUP($B154,'[3]Delta Monthly'!$A$1:$AW$80,22,1)/10000</f>
        <v>0</v>
      </c>
      <c r="Q154" s="44" t="n">
        <f aca="false">VLOOKUP($B154,'[3]Delta Monthly'!$A$1:$AW$80,24,1)/10000</f>
        <v>30.97839851</v>
      </c>
      <c r="R154" s="65" t="n">
        <f aca="false">SUM(G154:Q154)</f>
        <v>30.97839851</v>
      </c>
      <c r="S154" s="44" t="n">
        <f aca="false">(VLOOKUP($B154,'[3]Delta Monthly'!$A$1:$AW$80,26,FALSE())+VLOOKUP($B154,'[3]Delta Monthly'!$A$1:$AW$80,28,FALSE()))/10000</f>
        <v>70.55896723</v>
      </c>
      <c r="T154" s="44" t="n">
        <f aca="false">(VLOOKUP($B154,'[3]Delta Monthly'!$A$1:$AW$80,30,FALSE())+VLOOKUP($B154,'[3]Delta Monthly'!$A$1:$AW$80,32,FALSE()))/10000</f>
        <v>72.69858283</v>
      </c>
      <c r="U154" s="44" t="n">
        <f aca="false">(VLOOKUP($B154,'[3]Delta Monthly'!$A$1:$AW$80,34,FALSE()))/10000</f>
        <v>36.84444956</v>
      </c>
      <c r="V154" s="44" t="n">
        <f aca="false">(VLOOKUP($B154,'[3]Delta Monthly'!$A$1:$AW$80,36,FALSE()))/10000</f>
        <v>35.58636624</v>
      </c>
      <c r="W154" s="44" t="n">
        <f aca="false">(VLOOKUP($B154,'[3]Delta Monthly'!$A$1:$AW$80,38,FALSE())+VLOOKUP($B154,'[3]Delta Monthly'!$A$1:$AW$80,40,FALSE()))/10000</f>
        <v>73.31766826</v>
      </c>
      <c r="X154" s="44" t="n">
        <f aca="false">(VLOOKUP($B154,'[3]Delta Monthly'!$A$1:$AW$80,42,FALSE()))/10000</f>
        <v>35.35529401</v>
      </c>
      <c r="Y154" s="44" t="n">
        <f aca="false">(VLOOKUP($B154,'[3]Delta Monthly'!$A$1:$AW$80,44,FALSE())+VLOOKUP($B154,'[3]Delta Monthly'!$A$1:$AW$80,46,FALSE())+VLOOKUP($B154,'[3]Delta Monthly'!$A$1:$AW$80,48,FALSE()))/10000</f>
        <v>107.88559986</v>
      </c>
      <c r="Z154" s="65" t="n">
        <f aca="false">SUM(S154:Y154)</f>
        <v>432.24692799</v>
      </c>
      <c r="AA154" s="65" t="n">
        <f aca="false">VLOOKUP($B154,'[5]Delta Yearly'!$A$1:$AD$80,4,FALSE())/10000</f>
        <v>0</v>
      </c>
      <c r="AB154" s="65" t="n">
        <f aca="false">(VLOOKUP($B154,'[5]Delta Yearly'!$A$1:$AC$80,6,FALSE())+VLOOKUP($B154,'[5]Delta Yearly'!$A$1:$AC$80,8,FALSE())+VLOOKUP($B154,'[5]Delta Yearly'!$A$1:$AC$80,10,FALSE())+VLOOKUP($B154,'[5]Delta Yearly'!$A$1:$AC$80,12,FALSE())+VLOOKUP($B154,'[5]Delta Yearly'!$A$1:$AC$80,14,FALSE())+VLOOKUP($B154,'[5]Delta Yearly'!$A$1:$AC$80,16,FALSE())+VLOOKUP($B154,'[5]Delta Yearly'!$A$1:$AC$80,18,FALSE())+VLOOKUP($B154,'[5]Delta Yearly'!$A$1:$AC$80,20,FALSE())+VLOOKUP($B154,'[5]Delta Yearly'!$A$1:$AC$80,22,FALSE())+VLOOKUP($B154,'[5]Delta Yearly'!$A$1:$AC$80,24,FALSE())+VLOOKUP($B154,'[5]Delta Yearly'!$A$1:$AC$80,26,FALSE())+VLOOKUP($B154,'[5]Delta Yearly'!$A$1:$AC$80,28,FALSE()))/10000</f>
        <v>0</v>
      </c>
      <c r="AC154" s="65" t="n">
        <f aca="false">SUM(AB154,AA154,Z154,R154)</f>
        <v>463.2253265</v>
      </c>
      <c r="AF154" s="192" t="s">
        <v>252</v>
      </c>
      <c r="AG154" s="203" t="n">
        <f aca="false">AC154</f>
        <v>463.2253265</v>
      </c>
      <c r="AH154" s="194"/>
      <c r="AI154" s="195"/>
      <c r="AJ154" s="194" t="n">
        <f aca="false">AC154</f>
        <v>463.2253265</v>
      </c>
      <c r="AK154" s="4"/>
      <c r="AL154" s="4"/>
    </row>
    <row r="155" customFormat="false" ht="8.1" hidden="false" customHeight="true" outlineLevel="0" collapsed="false">
      <c r="A155" s="192"/>
      <c r="B155" s="204"/>
      <c r="C155" s="204"/>
      <c r="D155" s="65"/>
      <c r="E155" s="91"/>
      <c r="F155" s="91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108"/>
      <c r="S155" s="45"/>
      <c r="T155" s="45"/>
      <c r="U155" s="45"/>
      <c r="V155" s="45"/>
      <c r="W155" s="45"/>
      <c r="X155" s="45"/>
      <c r="Y155" s="45"/>
      <c r="Z155" s="108"/>
      <c r="AA155" s="108"/>
      <c r="AB155" s="108"/>
      <c r="AC155" s="108"/>
      <c r="AF155" s="192"/>
      <c r="AG155" s="205"/>
      <c r="AH155" s="194"/>
      <c r="AI155" s="195"/>
      <c r="AJ155" s="194"/>
      <c r="AK155" s="4"/>
      <c r="AL155" s="4"/>
    </row>
    <row r="156" customFormat="false" ht="21" hidden="false" customHeight="false" outlineLevel="0" collapsed="false">
      <c r="A156" s="206" t="s">
        <v>256</v>
      </c>
      <c r="B156" s="207" t="s">
        <v>257</v>
      </c>
      <c r="C156" s="207"/>
      <c r="D156" s="208"/>
      <c r="E156" s="209"/>
      <c r="F156" s="209"/>
      <c r="G156" s="210" t="e">
        <f aca="false">SUM(G100,G102,G108,#REF!,G112,G116,G122,G124,#REF!,G126,G130,G132,G114,G120,#REF!,G134)</f>
        <v>#REF!</v>
      </c>
      <c r="H156" s="210" t="e">
        <f aca="false">SUM(H100,H102,H108,#REF!,H112,H116,H122,H124,#REF!,H126,H130,H132,H114,H120,#REF!,H134)</f>
        <v>#REF!</v>
      </c>
      <c r="I156" s="210" t="e">
        <f aca="false">SUM(I100,I102,I108,#REF!,I112,I116,I122,I124,#REF!,I126,I130,I132,I114,I120,#REF!,I134)</f>
        <v>#REF!</v>
      </c>
      <c r="J156" s="210" t="e">
        <f aca="false">SUM(J100,J102,J108,#REF!,J112,J116,J122,J124,#REF!,J126,J130,J132,J114,J120,#REF!,J134)</f>
        <v>#REF!</v>
      </c>
      <c r="K156" s="210" t="e">
        <f aca="false">SUM(K100,K102,K108,#REF!,K112,K116,K122,K124,#REF!,K126,K130,K132,K114,K120,#REF!,K134,K136)</f>
        <v>#REF!</v>
      </c>
      <c r="L156" s="210" t="e">
        <f aca="false">SUM(L100,L102,L108,#REF!,L112,L116,L122,L124,#REF!,L126,L130,L132,L114,L120,#REF!,L134,L136,L144,L146,L148)</f>
        <v>#REF!</v>
      </c>
      <c r="M156" s="210" t="e">
        <f aca="false">SUM(M100,M102,M108,#REF!,M112,M116,M122,M124,#REF!,M126,M130,M132,M114,M120,#REF!,M134,M136,M144,M146,M148,M150)</f>
        <v>#REF!</v>
      </c>
      <c r="N156" s="210" t="e">
        <f aca="false">SUM(N100,N102,N104,N108,#REF!,N112,N116,N122,N124,#REF!,N126,N130,N132,N114,N120,#REF!,N134,N136,N138,N142,N144,N146,N148,N150,N152,#REF!,#REF!)</f>
        <v>#REF!</v>
      </c>
      <c r="O156" s="210" t="n">
        <f aca="false">SUM(O100,O102,O104,O108,O112,O116,O122,O124,O126,O128,O130,O132,O114,O120,O134,O136,O138,O140,O142,O144,O146,O148,O150,O152,O154)</f>
        <v>0</v>
      </c>
      <c r="P156" s="210" t="n">
        <f aca="false">SUM(P100,P102,P104,P108,P112,P116,P122,P124,P126,P128,P130,P132,P114,P120,P134,P136,P138,P140,P142,P144,P146,P148,P150,P152,P154)</f>
        <v>-660.770199498085</v>
      </c>
      <c r="Q156" s="210" t="n">
        <f aca="false">SUM(Q100,Q102,Q104,Q108,Q112,Q116,Q122,Q124,Q126,Q128,Q130,Q132,Q114,Q120,Q134,Q136,Q138,Q140,Q142,Q144,Q146,Q148,Q150,Q152,Q154)</f>
        <v>-3106.95338178335</v>
      </c>
      <c r="R156" s="211" t="n">
        <f aca="false">SUM(R100,R102,R104,R108,R112,R116,R122,R124,R126,R128,R130,R132,R114,R120,R134,R136,R138,R140,R142,R144,R146,R148,R150,R152,R154)</f>
        <v>-3767.72358128143</v>
      </c>
      <c r="S156" s="210" t="n">
        <f aca="false">SUM(S100,S102,S104,S108,S112,S116,S122,S124,S126,S128,S130,S132,S114,S120,S134,S136,S138,S140,S142,S144,S146,S148,S150,S152,S154)</f>
        <v>705.604453814814</v>
      </c>
      <c r="T156" s="210" t="n">
        <f aca="false">SUM(T100,T102,T104,T108,T112,T116,T122,T124,T126,T128,T130,T132,T114,T120,T134,T136,T138,T140,T142,T144,T146,T148,T150,T152,T154)</f>
        <v>-1593.26968880665</v>
      </c>
      <c r="U156" s="210" t="n">
        <f aca="false">SUM(U100,U102,U104,U108,U112,U116,U122,U124,U126,U128,U130,U132,U114,U120,U134,U136,U138,U140,U142,U144,U146,U148,U150,U152,U154)</f>
        <v>-494.341547624381</v>
      </c>
      <c r="V156" s="210" t="n">
        <f aca="false">SUM(V100,V102,V104,V108,V112,V116,V122,V124,V126,V128,V130,V132,V114,V120,V134,V136,V138,V140,V142,V144,V146,V148,V150,V152,V154)</f>
        <v>-194.616297235488</v>
      </c>
      <c r="W156" s="210" t="n">
        <f aca="false">SUM(W100,W102,W104,W108,W112,W116,W122,W124,W126,W128,W130,W132,W114,W120,W134,W136,W138,W140,W142,W144,W146,W148,W150,W152,W154)</f>
        <v>-90.2988019089657</v>
      </c>
      <c r="X156" s="210" t="n">
        <f aca="false">SUM(X100,X102,X104,X108,X112,X116,X122,X124,X126,X128,X130,X132,X114,X120,X134,X136,X138,X140,X142,X144,X146,X148,X150,X152,X154)</f>
        <v>-385.582060243309</v>
      </c>
      <c r="Y156" s="210" t="n">
        <f aca="false">SUM(Y100,Y102,Y104,Y108,Y112,Y116,Y122,Y124,Y126,Y128,Y130,Y132,Y114,Y120,Y134,Y136,Y138,Y140,Y142,Y144,Y146,Y148,Y150,Y152,Y154)</f>
        <v>-1061.87928839245</v>
      </c>
      <c r="Z156" s="211" t="n">
        <f aca="false">SUM(Z100,Z102,Z104,Z108,Z112,Z116,Z122,Z124,Z126,Z128,Z130,Z132,Z114,Z120,Z134,Z136,Z138,Z140,Z142,Z144,Z146,Z148,Z150,Z152,Z154)</f>
        <v>-3114.38323039643</v>
      </c>
      <c r="AA156" s="210" t="n">
        <f aca="false">SUM(AA100,AA102,AA104,AA108,AA112,AA116,AA122,AA124,AA126,AA128,AA130,AA132,AA114,AA120,AA134,AA136,AA138,AA140,AA142,AA144,AA146,AA148,AA150,AA152,AA154)</f>
        <v>-3270.63020184834</v>
      </c>
      <c r="AB156" s="211" t="n">
        <f aca="false">SUM(AB100,AB102,AB104,AB108,AB112,AB116,AB122,AB124,AB126,AB128,AB130,AB132,AB114,AB120,AB134,AB136,AB138,AB140,AB142,AB144,AB146,AB148,AB150,AB152,AB154)</f>
        <v>17.2418514428925</v>
      </c>
      <c r="AC156" s="211" t="n">
        <f aca="false">SUM(AC100,AC102,AC104,AC108,AC112,AC116,AC122,AC124,AC126,AC128,AC130,AC132,AC114,AC120,AC134,AC136,AC138,AC140,AC142,AC144,AC146,AC148,AC150,AC152,AC154)</f>
        <v>-10135.4951620833</v>
      </c>
      <c r="AF156" s="212" t="s">
        <v>258</v>
      </c>
      <c r="AG156" s="213" t="n">
        <f aca="false">SUM(AG97:AG154)</f>
        <v>-7714.00395217</v>
      </c>
      <c r="AH156" s="214" t="n">
        <f aca="false">SUM(AH97:AH148)</f>
        <v>-17.8640717079528</v>
      </c>
      <c r="AI156" s="213" t="n">
        <f aca="false">SUM(AI97:AI148)</f>
        <v>-2403.62713820536</v>
      </c>
      <c r="AJ156" s="213" t="n">
        <f aca="false">SUM(AJ97:AJ154)</f>
        <v>-10324.3109080233</v>
      </c>
      <c r="AK156" s="4"/>
      <c r="AL156" s="4"/>
    </row>
    <row r="157" customFormat="false" ht="18.75" hidden="false" customHeight="true" outlineLevel="0" collapsed="false">
      <c r="D157" s="215"/>
      <c r="E157" s="174"/>
      <c r="F157" s="174"/>
      <c r="G157" s="4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7"/>
      <c r="AD157" s="216"/>
      <c r="AE157" s="217"/>
      <c r="AG157" s="218"/>
      <c r="AJ157" s="219" t="n">
        <f aca="false">AC144+AC150</f>
        <v>188.81574594</v>
      </c>
      <c r="AK157" s="220" t="s">
        <v>259</v>
      </c>
    </row>
    <row r="158" customFormat="false" ht="18" hidden="false" customHeight="false" outlineLevel="0" collapsed="false">
      <c r="D158" s="215"/>
      <c r="E158" s="174"/>
      <c r="F158" s="17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X158" s="4"/>
      <c r="AA158" s="4"/>
      <c r="AB158" s="4"/>
      <c r="AC158" s="4"/>
      <c r="AG158" s="218"/>
      <c r="AJ158" s="219" t="n">
        <f aca="false">AC132</f>
        <v>0</v>
      </c>
      <c r="AK158" s="220" t="s">
        <v>260</v>
      </c>
      <c r="AL158" s="3"/>
    </row>
    <row r="159" customFormat="false" ht="18" hidden="false" customHeight="false" outlineLevel="0" collapsed="false">
      <c r="D159" s="215"/>
      <c r="AG159" s="218"/>
      <c r="AJ159" s="221" t="n">
        <f aca="false">AJ156+AJ157+AJ158</f>
        <v>-10135.4951620833</v>
      </c>
      <c r="AK159" s="219" t="s">
        <v>261</v>
      </c>
    </row>
    <row r="160" customFormat="false" ht="18" hidden="false" customHeight="false" outlineLevel="0" collapsed="false">
      <c r="D160" s="215"/>
      <c r="AG160" s="218"/>
      <c r="AJ160" s="222" t="n">
        <f aca="false">AC156-AJ159</f>
        <v>0</v>
      </c>
      <c r="AK160" s="220" t="s">
        <v>262</v>
      </c>
    </row>
    <row r="161" customFormat="false" ht="18" hidden="false" customHeight="false" outlineLevel="0" collapsed="false">
      <c r="D161" s="215"/>
      <c r="AG161" s="218"/>
    </row>
    <row r="162" customFormat="false" ht="18" hidden="false" customHeight="false" outlineLevel="0" collapsed="false">
      <c r="D162" s="215"/>
      <c r="AG162" s="218"/>
    </row>
    <row r="163" customFormat="false" ht="18" hidden="false" customHeight="false" outlineLevel="0" collapsed="false">
      <c r="AG163" s="218"/>
      <c r="AJ163" s="160"/>
    </row>
    <row r="164" customFormat="false" ht="18" hidden="false" customHeight="false" outlineLevel="0" collapsed="false">
      <c r="AG164" s="218"/>
    </row>
    <row r="165" customFormat="false" ht="18" hidden="false" customHeight="false" outlineLevel="0" collapsed="false">
      <c r="AG165" s="218"/>
    </row>
    <row r="166" customFormat="false" ht="18" hidden="false" customHeight="false" outlineLevel="0" collapsed="false">
      <c r="AG166" s="218"/>
    </row>
    <row r="167" customFormat="false" ht="18" hidden="false" customHeight="false" outlineLevel="0" collapsed="false">
      <c r="AG167" s="223"/>
    </row>
    <row r="168" customFormat="false" ht="18" hidden="false" customHeight="false" outlineLevel="0" collapsed="false">
      <c r="AG168" s="223"/>
    </row>
    <row r="169" customFormat="false" ht="18" hidden="false" customHeight="false" outlineLevel="0" collapsed="false">
      <c r="AG169" s="218"/>
    </row>
    <row r="170" customFormat="false" ht="18" hidden="false" customHeight="false" outlineLevel="0" collapsed="false">
      <c r="AG170" s="218"/>
    </row>
    <row r="171" customFormat="false" ht="18" hidden="false" customHeight="false" outlineLevel="0" collapsed="false">
      <c r="AG171" s="126"/>
    </row>
    <row r="172" customFormat="false" ht="18" hidden="false" customHeight="false" outlineLevel="0" collapsed="false">
      <c r="AG172" s="126"/>
    </row>
    <row r="173" customFormat="false" ht="18" hidden="false" customHeight="false" outlineLevel="0" collapsed="false">
      <c r="AG173" s="126"/>
    </row>
    <row r="174" customFormat="false" ht="18" hidden="false" customHeight="false" outlineLevel="0" collapsed="false">
      <c r="AG174" s="126"/>
    </row>
    <row r="175" customFormat="false" ht="18" hidden="false" customHeight="false" outlineLevel="0" collapsed="false">
      <c r="AG175" s="126"/>
    </row>
    <row r="176" customFormat="false" ht="18" hidden="false" customHeight="false" outlineLevel="0" collapsed="false">
      <c r="AG176" s="126"/>
    </row>
    <row r="177" customFormat="false" ht="18" hidden="false" customHeight="false" outlineLevel="0" collapsed="false">
      <c r="AG177" s="126"/>
    </row>
  </sheetData>
  <mergeCells count="1">
    <mergeCell ref="AF94:AJ94"/>
  </mergeCells>
  <printOptions headings="false" gridLines="false" gridLinesSet="true" horizontalCentered="true" verticalCentered="true"/>
  <pageMargins left="0" right="0" top="0.25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&amp;C&amp;20East Power Positions - Peak</oddHeader>
    <oddFooter/>
  </headerFooter>
  <colBreaks count="1" manualBreakCount="1">
    <brk id="2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30</xdr:col>
                    <xdr:colOff>101160</xdr:colOff>
                    <xdr:row>1</xdr:row>
                    <xdr:rowOff>56880</xdr:rowOff>
                  </from>
                  <to>
                    <xdr:col>35</xdr:col>
                    <xdr:colOff>486000</xdr:colOff>
                    <xdr:row>3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3" ySplit="5" topLeftCell="V61" activePane="bottomRight" state="frozen"/>
      <selection pane="topLeft" activeCell="A1" activeCellId="0" sqref="A1"/>
      <selection pane="topRight" activeCell="V1" activeCellId="0" sqref="V1"/>
      <selection pane="bottomLeft" activeCell="A61" activeCellId="0" sqref="A61"/>
      <selection pane="bottomRight" activeCell="AE160" activeCellId="0" sqref="AE160"/>
    </sheetView>
  </sheetViews>
  <sheetFormatPr defaultColWidth="5.70703125" defaultRowHeight="12.75" customHeight="true" zeroHeight="false" outlineLevelRow="0" outlineLevelCol="0"/>
  <cols>
    <col collapsed="false" customWidth="true" hidden="false" outlineLevel="0" max="1" min="1" style="224" width="25.99"/>
    <col collapsed="false" customWidth="true" hidden="true" outlineLevel="0" max="2" min="2" style="224" width="17.14"/>
    <col collapsed="false" customWidth="true" hidden="false" outlineLevel="0" max="3" min="3" style="225" width="24.56"/>
    <col collapsed="false" customWidth="true" hidden="false" outlineLevel="0" max="4" min="4" style="224" width="15.7"/>
    <col collapsed="false" customWidth="true" hidden="false" outlineLevel="0" max="5" min="5" style="224" width="13.56"/>
    <col collapsed="false" customWidth="true" hidden="true" outlineLevel="0" max="6" min="6" style="226" width="7.7"/>
    <col collapsed="false" customWidth="true" hidden="true" outlineLevel="0" max="7" min="7" style="226" width="6.28"/>
    <col collapsed="false" customWidth="true" hidden="true" outlineLevel="0" max="8" min="8" style="226" width="4.85"/>
    <col collapsed="false" customWidth="true" hidden="true" outlineLevel="0" max="9" min="9" style="226" width="2.99"/>
    <col collapsed="false" customWidth="true" hidden="true" outlineLevel="0" max="11" min="10" style="226" width="4.85"/>
    <col collapsed="false" customWidth="true" hidden="true" outlineLevel="0" max="12" min="12" style="226" width="6.13"/>
    <col collapsed="false" customWidth="true" hidden="true" outlineLevel="0" max="13" min="13" style="226" width="10.28"/>
    <col collapsed="false" customWidth="true" hidden="true" outlineLevel="0" max="14" min="14" style="226" width="12.28"/>
    <col collapsed="false" customWidth="true" hidden="false" outlineLevel="0" max="15" min="15" style="226" width="10.71"/>
    <col collapsed="false" customWidth="true" hidden="false" outlineLevel="0" max="17" min="16" style="226" width="12.28"/>
    <col collapsed="false" customWidth="true" hidden="false" outlineLevel="0" max="18" min="18" style="226" width="14.14"/>
    <col collapsed="false" customWidth="true" hidden="false" outlineLevel="0" max="19" min="19" style="226" width="14.41"/>
    <col collapsed="false" customWidth="true" hidden="false" outlineLevel="0" max="20" min="20" style="226" width="9.41"/>
    <col collapsed="false" customWidth="true" hidden="false" outlineLevel="0" max="21" min="21" style="226" width="10.41"/>
    <col collapsed="false" customWidth="true" hidden="false" outlineLevel="0" max="22" min="22" style="226" width="15.13"/>
    <col collapsed="false" customWidth="true" hidden="false" outlineLevel="0" max="23" min="23" style="226" width="9.41"/>
    <col collapsed="false" customWidth="true" hidden="false" outlineLevel="0" max="24" min="24" style="227" width="9.85"/>
    <col collapsed="false" customWidth="true" hidden="false" outlineLevel="0" max="25" min="25" style="226" width="13.7"/>
    <col collapsed="false" customWidth="true" hidden="false" outlineLevel="0" max="26" min="26" style="227" width="13.7"/>
    <col collapsed="false" customWidth="true" hidden="false" outlineLevel="0" max="27" min="27" style="227" width="14.14"/>
    <col collapsed="false" customWidth="true" hidden="false" outlineLevel="0" max="28" min="28" style="226" width="18.85"/>
    <col collapsed="false" customWidth="true" hidden="false" outlineLevel="0" max="29" min="29" style="228" width="16.7"/>
    <col collapsed="false" customWidth="true" hidden="false" outlineLevel="0" max="30" min="30" style="224" width="13.7"/>
    <col collapsed="false" customWidth="true" hidden="false" outlineLevel="0" max="31" min="31" style="224" width="14.99"/>
    <col collapsed="false" customWidth="true" hidden="false" outlineLevel="0" max="32" min="32" style="224" width="17.7"/>
    <col collapsed="false" customWidth="true" hidden="false" outlineLevel="0" max="33" min="33" style="224" width="11.85"/>
    <col collapsed="false" customWidth="true" hidden="false" outlineLevel="0" max="34" min="34" style="224" width="10.99"/>
    <col collapsed="false" customWidth="true" hidden="false" outlineLevel="0" max="35" min="35" style="224" width="3.7"/>
    <col collapsed="false" customWidth="true" hidden="false" outlineLevel="0" max="36" min="36" style="224" width="5.99"/>
    <col collapsed="false" customWidth="false" hidden="false" outlineLevel="0" max="257" min="37" style="224" width="5.71"/>
  </cols>
  <sheetData>
    <row r="1" customFormat="false" ht="12" hidden="false" customHeight="true" outlineLevel="0" collapsed="false">
      <c r="A1" s="229"/>
      <c r="B1" s="229"/>
      <c r="C1" s="230"/>
      <c r="D1" s="229"/>
      <c r="E1" s="229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2"/>
      <c r="Y1" s="231"/>
      <c r="Z1" s="232"/>
      <c r="AA1" s="232"/>
      <c r="AB1" s="231"/>
      <c r="AC1" s="231"/>
      <c r="AD1" s="231"/>
      <c r="AE1" s="231"/>
      <c r="AF1" s="231"/>
      <c r="AG1" s="231"/>
      <c r="AH1" s="229"/>
      <c r="AI1" s="229"/>
      <c r="AJ1" s="229"/>
    </row>
    <row r="2" customFormat="false" ht="12" hidden="false" customHeight="true" outlineLevel="0" collapsed="false">
      <c r="A2" s="233" t="n">
        <f aca="true">IF(HOUR(NOW())&gt;15,NOW(),NOW()-IF(WEEKDAY(NOW())=2,2,0)-1)</f>
        <v>45926.9947813113</v>
      </c>
      <c r="B2" s="229"/>
      <c r="C2" s="234" t="n">
        <f aca="true">IF(HOUR(NOW())&gt;15,NOW(),NOW()-IF(WEEKDAY(NOW())=2,2,0)-1)</f>
        <v>45926.9947813117</v>
      </c>
      <c r="D2" s="229"/>
      <c r="E2" s="229"/>
      <c r="F2" s="231"/>
      <c r="G2" s="231"/>
      <c r="H2" s="231"/>
      <c r="I2" s="235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2"/>
      <c r="Y2" s="231"/>
      <c r="Z2" s="232"/>
      <c r="AA2" s="232"/>
      <c r="AB2" s="231"/>
      <c r="AC2" s="231"/>
      <c r="AD2" s="231"/>
      <c r="AE2" s="231"/>
      <c r="AF2" s="231"/>
      <c r="AG2" s="231"/>
      <c r="AH2" s="229"/>
      <c r="AI2" s="229"/>
      <c r="AJ2" s="229"/>
    </row>
    <row r="3" customFormat="false" ht="12" hidden="false" customHeight="true" outlineLevel="0" collapsed="false">
      <c r="A3" s="236" t="s">
        <v>0</v>
      </c>
      <c r="B3" s="237"/>
      <c r="C3" s="238" t="s">
        <v>1</v>
      </c>
      <c r="D3" s="238"/>
      <c r="E3" s="239" t="s">
        <v>2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1"/>
      <c r="R3" s="241"/>
      <c r="S3" s="240"/>
      <c r="T3" s="240"/>
      <c r="U3" s="240"/>
      <c r="V3" s="240"/>
      <c r="W3" s="240"/>
      <c r="X3" s="240"/>
      <c r="Y3" s="242"/>
      <c r="Z3" s="243"/>
      <c r="AA3" s="244"/>
      <c r="AB3" s="244"/>
      <c r="AC3" s="231"/>
      <c r="AD3" s="231"/>
      <c r="AE3" s="231"/>
      <c r="AF3" s="231"/>
      <c r="AG3" s="231"/>
      <c r="AH3" s="229"/>
      <c r="AI3" s="229"/>
      <c r="AJ3" s="229"/>
    </row>
    <row r="4" customFormat="false" ht="12" hidden="false" customHeight="true" outlineLevel="0" collapsed="false">
      <c r="A4" s="245" t="s">
        <v>3</v>
      </c>
      <c r="B4" s="246"/>
      <c r="C4" s="247" t="s">
        <v>3</v>
      </c>
      <c r="D4" s="247" t="s">
        <v>4</v>
      </c>
      <c r="E4" s="248" t="s">
        <v>4</v>
      </c>
      <c r="F4" s="249" t="s">
        <v>5</v>
      </c>
      <c r="G4" s="249" t="s">
        <v>6</v>
      </c>
      <c r="H4" s="249" t="s">
        <v>7</v>
      </c>
      <c r="I4" s="249" t="s">
        <v>8</v>
      </c>
      <c r="J4" s="249" t="s">
        <v>9</v>
      </c>
      <c r="K4" s="249" t="s">
        <v>10</v>
      </c>
      <c r="L4" s="249" t="s">
        <v>11</v>
      </c>
      <c r="M4" s="249" t="s">
        <v>12</v>
      </c>
      <c r="N4" s="249" t="s">
        <v>13</v>
      </c>
      <c r="O4" s="249" t="s">
        <v>14</v>
      </c>
      <c r="P4" s="249" t="s">
        <v>15</v>
      </c>
      <c r="Q4" s="250" t="s">
        <v>16</v>
      </c>
      <c r="R4" s="250" t="s">
        <v>17</v>
      </c>
      <c r="S4" s="249" t="s">
        <v>18</v>
      </c>
      <c r="T4" s="249" t="s">
        <v>19</v>
      </c>
      <c r="U4" s="249" t="s">
        <v>20</v>
      </c>
      <c r="V4" s="249" t="s">
        <v>21</v>
      </c>
      <c r="W4" s="249" t="s">
        <v>22</v>
      </c>
      <c r="X4" s="249" t="s">
        <v>23</v>
      </c>
      <c r="Y4" s="251" t="n">
        <v>2002</v>
      </c>
      <c r="Z4" s="252" t="n">
        <v>20003</v>
      </c>
      <c r="AA4" s="253" t="s">
        <v>24</v>
      </c>
      <c r="AB4" s="253" t="s">
        <v>263</v>
      </c>
      <c r="AC4" s="231"/>
      <c r="AD4" s="231"/>
      <c r="AE4" s="231"/>
      <c r="AF4" s="231"/>
      <c r="AG4" s="231"/>
      <c r="AH4" s="229"/>
      <c r="AI4" s="229"/>
      <c r="AJ4" s="229"/>
    </row>
    <row r="5" customFormat="false" ht="12" hidden="false" customHeight="true" outlineLevel="0" collapsed="false">
      <c r="A5" s="229"/>
      <c r="B5" s="229"/>
      <c r="C5" s="230"/>
      <c r="D5" s="229"/>
      <c r="E5" s="229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2"/>
      <c r="Y5" s="231"/>
      <c r="Z5" s="232"/>
      <c r="AA5" s="232"/>
      <c r="AB5" s="232"/>
      <c r="AC5" s="231"/>
      <c r="AD5" s="231"/>
      <c r="AE5" s="231"/>
      <c r="AF5" s="231"/>
      <c r="AG5" s="231"/>
      <c r="AH5" s="229"/>
      <c r="AI5" s="229"/>
      <c r="AJ5" s="229"/>
    </row>
    <row r="6" customFormat="false" ht="12" hidden="false" customHeight="true" outlineLevel="0" collapsed="false">
      <c r="A6" s="254"/>
      <c r="B6" s="255"/>
      <c r="C6" s="256" t="s">
        <v>26</v>
      </c>
      <c r="D6" s="257" t="n">
        <v>25000000</v>
      </c>
      <c r="E6" s="258"/>
      <c r="F6" s="259"/>
      <c r="G6" s="259"/>
      <c r="H6" s="259"/>
      <c r="I6" s="260" t="s">
        <v>27</v>
      </c>
      <c r="J6" s="261"/>
      <c r="K6" s="261"/>
      <c r="L6" s="261"/>
      <c r="M6" s="261"/>
      <c r="N6" s="261"/>
      <c r="O6" s="261"/>
      <c r="P6" s="261"/>
      <c r="Q6" s="262"/>
      <c r="R6" s="263"/>
      <c r="S6" s="261"/>
      <c r="T6" s="261"/>
      <c r="U6" s="261"/>
      <c r="V6" s="261"/>
      <c r="W6" s="261"/>
      <c r="X6" s="261"/>
      <c r="Y6" s="262"/>
      <c r="Z6" s="264"/>
      <c r="AA6" s="264"/>
      <c r="AB6" s="264"/>
      <c r="AC6" s="265"/>
      <c r="AD6" s="266"/>
      <c r="AE6" s="266"/>
      <c r="AF6" s="266"/>
      <c r="AG6" s="266"/>
      <c r="AH6" s="266"/>
      <c r="AI6" s="266"/>
      <c r="AJ6" s="266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  <c r="IO6" s="267"/>
      <c r="IP6" s="267"/>
      <c r="IQ6" s="267"/>
      <c r="IR6" s="267"/>
      <c r="IS6" s="267"/>
      <c r="IT6" s="267"/>
      <c r="IU6" s="267"/>
      <c r="IV6" s="267"/>
      <c r="IW6" s="267"/>
    </row>
    <row r="7" customFormat="false" ht="9" hidden="false" customHeight="true" outlineLevel="0" collapsed="false">
      <c r="A7" s="268"/>
      <c r="B7" s="269"/>
      <c r="C7" s="270"/>
      <c r="D7" s="271"/>
      <c r="E7" s="272"/>
      <c r="F7" s="269"/>
      <c r="G7" s="269"/>
      <c r="H7" s="269"/>
      <c r="I7" s="273"/>
      <c r="J7" s="273"/>
      <c r="K7" s="273"/>
      <c r="L7" s="273"/>
      <c r="M7" s="273"/>
      <c r="N7" s="273"/>
      <c r="O7" s="273"/>
      <c r="P7" s="273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5"/>
      <c r="AC7" s="265"/>
      <c r="AD7" s="266"/>
      <c r="AE7" s="266"/>
      <c r="AF7" s="266"/>
      <c r="AG7" s="266"/>
      <c r="AH7" s="266"/>
      <c r="AI7" s="266"/>
      <c r="AJ7" s="266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  <c r="IL7" s="267"/>
      <c r="IM7" s="267"/>
      <c r="IN7" s="267"/>
      <c r="IO7" s="267"/>
      <c r="IP7" s="267"/>
      <c r="IQ7" s="267"/>
      <c r="IR7" s="267"/>
      <c r="IS7" s="267"/>
      <c r="IT7" s="267"/>
      <c r="IU7" s="267"/>
      <c r="IV7" s="267"/>
      <c r="IW7" s="267"/>
    </row>
    <row r="8" customFormat="false" ht="12.95" hidden="false" customHeight="true" outlineLevel="0" collapsed="false">
      <c r="A8" s="276" t="s">
        <v>264</v>
      </c>
      <c r="B8" s="277"/>
      <c r="C8" s="278" t="s">
        <v>265</v>
      </c>
      <c r="D8" s="279" t="n">
        <f aca="false">'E. VaR &amp; Peak Pos By Trader'!E8</f>
        <v>19833595.52352</v>
      </c>
      <c r="E8" s="280" t="n">
        <f aca="false">'E. VaR &amp; Peak Pos By Trader'!F8</f>
        <v>-199169.8081428</v>
      </c>
      <c r="F8" s="281" t="n">
        <v>0</v>
      </c>
      <c r="G8" s="281" t="e">
        <f aca="false">SUM(G10,G36,G59,G71,G87,G14,G16,G18)</f>
        <v>#REF!</v>
      </c>
      <c r="H8" s="281" t="e">
        <f aca="false">SUM(H10,H36,H59,H71,H87,H14,H16,H18)</f>
        <v>#REF!</v>
      </c>
      <c r="I8" s="281" t="e">
        <f aca="false">SUM(I10,I36,I59,I71,I87,I14,I16,I18)</f>
        <v>#REF!</v>
      </c>
      <c r="J8" s="281" t="e">
        <f aca="false">SUM(J10,J36,J59,J71,J87,J14,J16,J18)</f>
        <v>#REF!</v>
      </c>
      <c r="K8" s="281" t="e">
        <f aca="false">SUM(K10,K36,K59,K71,K87,K14,K16,K18)</f>
        <v>#REF!</v>
      </c>
      <c r="L8" s="281" t="e">
        <f aca="false">SUM(L10,L36,L59,L71,L87,L14,L16,L18)</f>
        <v>#REF!</v>
      </c>
      <c r="M8" s="281" t="e">
        <f aca="false">SUM(M10,M36,M59,M71,M87,M14,M16,M18)</f>
        <v>#REF!</v>
      </c>
      <c r="N8" s="281" t="n">
        <f aca="false">SUM(N10,N24,N36,N59,N71,N87)</f>
        <v>0</v>
      </c>
      <c r="O8" s="281" t="n">
        <f aca="false">SUM(O10,O24,O36,O59,O71,O87)</f>
        <v>213476.932521415</v>
      </c>
      <c r="P8" s="281" t="n">
        <f aca="false">SUM(P10,P24,P36,P59,P71,P87)</f>
        <v>-125144.202930661</v>
      </c>
      <c r="Q8" s="279" t="n">
        <f aca="false">SUM(Q10,Q24,Q36,Q59,Q71,Q87)</f>
        <v>88332.7295907541</v>
      </c>
      <c r="R8" s="282" t="n">
        <f aca="false">SUM(R10,R24,R36,R59,R71,R87)</f>
        <v>-516477.577192288</v>
      </c>
      <c r="S8" s="283" t="n">
        <f aca="false">SUM(S10,S24,S36,S59,S71,S87)</f>
        <v>-1174961.50565436</v>
      </c>
      <c r="T8" s="283" t="n">
        <f aca="false">SUM(T10,T24,T36,T59,T71,T87)</f>
        <v>-520555.591325331</v>
      </c>
      <c r="U8" s="283" t="n">
        <f aca="false">SUM(U10,U24,U36,U59,U71,U87)</f>
        <v>-358655.960459909</v>
      </c>
      <c r="V8" s="283" t="n">
        <f aca="false">SUM(V10,V24,V36,V59,V71,V87)</f>
        <v>-410991.690275054</v>
      </c>
      <c r="W8" s="283" t="n">
        <f aca="false">SUM(W10,W24,W36,W59,W71,W87)</f>
        <v>-390205.348474939</v>
      </c>
      <c r="X8" s="283" t="n">
        <f aca="false">SUM(X10,X24,X36,X59,X71,X87)</f>
        <v>-1172698.51772826</v>
      </c>
      <c r="Y8" s="279" t="n">
        <f aca="false">SUM(Y10,Y24,Y36,Y59,Y71,Y87)</f>
        <v>-4544546.19111014</v>
      </c>
      <c r="Z8" s="280" t="n">
        <f aca="false">SUM(Z10,Z24,Z36,Z59,Z71,Z87)</f>
        <v>-6355142.2702678</v>
      </c>
      <c r="AA8" s="279" t="n">
        <f aca="false">SUM(AA10,AA24,AA36,AA59,AA71,AA87)</f>
        <v>-4334296.24025895</v>
      </c>
      <c r="AB8" s="280" t="n">
        <f aca="false">SUM(AB10,AB24,AB36,AB59,AB71,AB87)</f>
        <v>-15145651.9720461</v>
      </c>
      <c r="AC8" s="265"/>
      <c r="AD8" s="266"/>
      <c r="AE8" s="266"/>
      <c r="AF8" s="266"/>
      <c r="AG8" s="266"/>
      <c r="AH8" s="266"/>
      <c r="AI8" s="266"/>
      <c r="AJ8" s="266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  <c r="IT8" s="267"/>
      <c r="IU8" s="267"/>
      <c r="IV8" s="267"/>
      <c r="IW8" s="267"/>
    </row>
    <row r="9" customFormat="false" ht="12" hidden="false" customHeight="true" outlineLevel="0" collapsed="false">
      <c r="A9" s="271"/>
      <c r="B9" s="271"/>
      <c r="C9" s="284"/>
      <c r="D9" s="274"/>
      <c r="E9" s="28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85"/>
      <c r="R9" s="286"/>
      <c r="S9" s="284"/>
      <c r="T9" s="284"/>
      <c r="U9" s="284"/>
      <c r="V9" s="284"/>
      <c r="W9" s="284"/>
      <c r="X9" s="284"/>
      <c r="Y9" s="284"/>
      <c r="Z9" s="284"/>
      <c r="AA9" s="284"/>
      <c r="AB9" s="287"/>
      <c r="AC9" s="265"/>
      <c r="AD9" s="266"/>
      <c r="AE9" s="266"/>
      <c r="AF9" s="266"/>
      <c r="AG9" s="266"/>
      <c r="AH9" s="266"/>
      <c r="AI9" s="266"/>
      <c r="AJ9" s="266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  <c r="IT9" s="267"/>
      <c r="IU9" s="267"/>
      <c r="IV9" s="267"/>
      <c r="IW9" s="267"/>
    </row>
    <row r="10" customFormat="false" ht="12" hidden="false" customHeight="true" outlineLevel="0" collapsed="false">
      <c r="A10" s="288" t="s">
        <v>33</v>
      </c>
      <c r="B10" s="289" t="s">
        <v>34</v>
      </c>
      <c r="C10" s="290" t="s">
        <v>36</v>
      </c>
      <c r="D10" s="290" t="n">
        <f aca="false">'E. VaR &amp; Peak Pos By Trader'!E10</f>
        <v>5922472.1383791</v>
      </c>
      <c r="E10" s="291" t="n">
        <f aca="false">'E. VaR &amp; Peak Pos By Trader'!F10</f>
        <v>226085.405821229</v>
      </c>
      <c r="F10" s="292" t="n">
        <f aca="false">VLOOKUP($B10,'[3]Delta Monthly'!$A$1:$AW$55,5,1)</f>
        <v>0</v>
      </c>
      <c r="G10" s="292" t="n">
        <f aca="false">VLOOKUP($B10,'[3]Delta Monthly'!$A$1:$AW$55,7,1)</f>
        <v>0</v>
      </c>
      <c r="H10" s="292" t="n">
        <f aca="false">VLOOKUP($B10,'[3]Delta Monthly'!$A$1:$AW$55,9,1)</f>
        <v>0</v>
      </c>
      <c r="I10" s="292" t="n">
        <f aca="false">VLOOKUP($B10,'[3]Delta Monthly'!$A$1:$AW$55,11,0)</f>
        <v>0</v>
      </c>
      <c r="J10" s="292" t="n">
        <f aca="false">VLOOKUP($B10,'[3]Delta Monthly'!$A$1:$AW$55,13,0)</f>
        <v>0</v>
      </c>
      <c r="K10" s="292" t="n">
        <f aca="false">VLOOKUP($B10,'[3]Delta Monthly'!$A$1:$AW$55,15,0)</f>
        <v>0</v>
      </c>
      <c r="L10" s="292" t="n">
        <f aca="false">+VLOOKUP($B10,'[3]Delta Monthly'!$A$1:$AW$55,17,0)</f>
        <v>0</v>
      </c>
      <c r="M10" s="292" t="n">
        <f aca="false">VLOOKUP($B10,'[3]Delta Monthly'!$A$1:$AW$55,19,0)</f>
        <v>0</v>
      </c>
      <c r="N10" s="292" t="n">
        <f aca="false">VLOOKUP($B10,'[3]Delta Monthly'!$A$1:$AW$55,21,0)</f>
        <v>0</v>
      </c>
      <c r="O10" s="292" t="n">
        <f aca="false">VLOOKUP($B10,'[3]Delta Monthly'!$A$1:$AW$55,23,0)</f>
        <v>-49617.4509827898</v>
      </c>
      <c r="P10" s="292" t="n">
        <f aca="false">VLOOKUP($B10,'[3]Delta Monthly'!$A$1:$AW$55,25,0)</f>
        <v>-227115.247813259</v>
      </c>
      <c r="Q10" s="290" t="n">
        <f aca="false">SUM(F10:P10)</f>
        <v>-276732.698796049</v>
      </c>
      <c r="R10" s="293" t="n">
        <f aca="false">VLOOKUP($B10,'[3]Delta Monthly'!$A$1:$AW$55,27,0)+VLOOKUP($B10,'[3]Delta Monthly'!$A$1:$AW$55,29,0)</f>
        <v>5109.81683397932</v>
      </c>
      <c r="S10" s="292" t="n">
        <f aca="false">VLOOKUP($B10,'[3]Delta Monthly'!$A$1:$AW$55,31,0)+VLOOKUP($B10,'[3]Delta Monthly'!$A$1:$AW$55,33,0)</f>
        <v>-370605.02104992</v>
      </c>
      <c r="T10" s="292" t="n">
        <f aca="false">VLOOKUP($B10,'[3]Delta Monthly'!$A$1:$AW$55,35,0)</f>
        <v>-167794.398059898</v>
      </c>
      <c r="U10" s="292" t="n">
        <f aca="false">VLOOKUP($B10,'[3]Delta Monthly'!$A$1:$AW$55,37,0)</f>
        <v>-96403.443569846</v>
      </c>
      <c r="V10" s="292" t="n">
        <f aca="false">VLOOKUP($B10,'[3]Delta Monthly'!$A$1:$AW$55,39,0)+VLOOKUP($B10,'[3]Delta Monthly'!$A$1:$AW$55,41,0)</f>
        <v>42753.2385278789</v>
      </c>
      <c r="W10" s="292" t="n">
        <f aca="false">VLOOKUP($B10,'[3]Delta Monthly'!$A$1:$AW$55,43,0)</f>
        <v>-94638.8488189826</v>
      </c>
      <c r="X10" s="292" t="n">
        <f aca="false">VLOOKUP($B10,'[3]Delta Monthly'!$A$1:$AW$55,45,0)+VLOOKUP($B10,'[3]Delta Monthly'!$A$1:$AW$55,47,0)+VLOOKUP($B10,'[3]Delta Monthly'!$A$1:$AW$55,49,0)</f>
        <v>-268692.328087427</v>
      </c>
      <c r="Y10" s="290" t="n">
        <f aca="false">SUM(R10:X10)</f>
        <v>-950270.984224216</v>
      </c>
      <c r="Z10" s="291" t="n">
        <f aca="false">VLOOKUP($B10,'[5]Delta Yearly'!$A$1:$AC$55,5,0)</f>
        <v>-665912.225374525</v>
      </c>
      <c r="AA10" s="291" t="n">
        <f aca="false">VLOOKUP($B10,'[5]Delta Yearly'!$A$1:$AC$55,7,FALSE())+VLOOKUP($B10,'[5]Delta Yearly'!$A$1:$AC$55,9,FALSE())+VLOOKUP($B10,'[5]Delta Yearly'!$A$1:$AC$55,11,FALSE())+VLOOKUP($B10,'[5]Delta Yearly'!$A$1:$AC$55,13,FALSE())+VLOOKUP($B10,'[5]Delta Yearly'!$A$1:$AC$55,15,FALSE())+VLOOKUP($B10,'[5]Delta Yearly'!$A$1:$AC$55,17,FALSE())+VLOOKUP($B10,'[5]Delta Yearly'!$A$1:$AC$55,19,FALSE())+VLOOKUP($B10,'[5]Delta Yearly'!$A$1:$AC$55,21,FALSE())+VLOOKUP($B10,'[5]Delta Yearly'!$A$1:$AC$55,23,FALSE())+VLOOKUP($B10,'[5]Delta Yearly'!$A$1:$AC$55,25,FALSE())+VLOOKUP($B10,'[5]Delta Yearly'!$A$1:$AC$55,27,FALSE())+VLOOKUP($B10,'[5]Delta Yearly'!$A$1:$AC$55,29,FALSE())</f>
        <v>-310993.669196968</v>
      </c>
      <c r="AB10" s="291" t="n">
        <f aca="false">SUM(AA10,Z10,Y10,Q10)</f>
        <v>-2203909.57759176</v>
      </c>
      <c r="AC10" s="284"/>
      <c r="AD10" s="266"/>
      <c r="AE10" s="266"/>
      <c r="AF10" s="266"/>
      <c r="AG10" s="266"/>
      <c r="AH10" s="266"/>
      <c r="AI10" s="266"/>
      <c r="AJ10" s="266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  <c r="IW10" s="267"/>
    </row>
    <row r="11" customFormat="false" ht="12" hidden="false" customHeight="true" outlineLevel="0" collapsed="false">
      <c r="A11" s="294"/>
      <c r="B11" s="271"/>
      <c r="C11" s="284"/>
      <c r="D11" s="274"/>
      <c r="E11" s="274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84"/>
      <c r="R11" s="274"/>
      <c r="S11" s="274"/>
      <c r="T11" s="274"/>
      <c r="U11" s="274"/>
      <c r="V11" s="274"/>
      <c r="W11" s="274"/>
      <c r="X11" s="274"/>
      <c r="Y11" s="284"/>
      <c r="Z11" s="284"/>
      <c r="AA11" s="284"/>
      <c r="AB11" s="287"/>
      <c r="AC11" s="284"/>
      <c r="AD11" s="266"/>
      <c r="AE11" s="266"/>
      <c r="AF11" s="266"/>
      <c r="AG11" s="266"/>
      <c r="AH11" s="266"/>
      <c r="AI11" s="266"/>
      <c r="AJ11" s="266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  <c r="IO11" s="267"/>
      <c r="IP11" s="267"/>
      <c r="IQ11" s="267"/>
      <c r="IR11" s="267"/>
      <c r="IS11" s="267"/>
      <c r="IT11" s="267"/>
      <c r="IU11" s="267"/>
      <c r="IV11" s="267"/>
      <c r="IW11" s="267"/>
    </row>
    <row r="12" customFormat="false" ht="12" hidden="false" customHeight="true" outlineLevel="0" collapsed="false">
      <c r="A12" s="295"/>
      <c r="B12" s="296"/>
      <c r="C12" s="297" t="s">
        <v>26</v>
      </c>
      <c r="D12" s="279" t="n">
        <f aca="false">'E. VaR &amp; Peak Pos By Trader'!E12</f>
        <v>2000000</v>
      </c>
      <c r="E12" s="280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79"/>
      <c r="R12" s="298"/>
      <c r="S12" s="281"/>
      <c r="T12" s="281"/>
      <c r="U12" s="281"/>
      <c r="V12" s="281"/>
      <c r="W12" s="281"/>
      <c r="X12" s="281"/>
      <c r="Y12" s="279"/>
      <c r="Z12" s="279"/>
      <c r="AA12" s="281"/>
      <c r="AB12" s="279"/>
      <c r="AC12" s="265"/>
      <c r="AD12" s="266"/>
      <c r="AE12" s="266"/>
      <c r="AF12" s="266"/>
      <c r="AG12" s="266"/>
      <c r="AH12" s="266"/>
      <c r="AI12" s="266"/>
      <c r="AJ12" s="266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  <c r="IO12" s="267"/>
      <c r="IP12" s="267"/>
      <c r="IQ12" s="267"/>
      <c r="IR12" s="267"/>
      <c r="IS12" s="267"/>
      <c r="IT12" s="267"/>
      <c r="IU12" s="267"/>
      <c r="IV12" s="267"/>
      <c r="IW12" s="267"/>
    </row>
    <row r="13" customFormat="false" ht="12" hidden="false" customHeight="true" outlineLevel="0" collapsed="false">
      <c r="A13" s="299"/>
      <c r="B13" s="269"/>
      <c r="C13" s="300"/>
      <c r="D13" s="301"/>
      <c r="E13" s="301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300"/>
      <c r="R13" s="273"/>
      <c r="S13" s="273"/>
      <c r="T13" s="273"/>
      <c r="U13" s="273"/>
      <c r="V13" s="273"/>
      <c r="W13" s="273"/>
      <c r="X13" s="273"/>
      <c r="Y13" s="300"/>
      <c r="Z13" s="300"/>
      <c r="AA13" s="270"/>
      <c r="AB13" s="300"/>
      <c r="AC13" s="284"/>
      <c r="AD13" s="266"/>
      <c r="AE13" s="266"/>
      <c r="AF13" s="266"/>
      <c r="AG13" s="266"/>
      <c r="AH13" s="266"/>
      <c r="AI13" s="266"/>
      <c r="AJ13" s="266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  <c r="IT13" s="267"/>
      <c r="IU13" s="267"/>
      <c r="IV13" s="267"/>
      <c r="IW13" s="267"/>
    </row>
    <row r="14" customFormat="false" ht="12" hidden="false" customHeight="true" outlineLevel="0" collapsed="false">
      <c r="A14" s="294" t="s">
        <v>38</v>
      </c>
      <c r="B14" s="271" t="s">
        <v>39</v>
      </c>
      <c r="C14" s="302" t="s">
        <v>41</v>
      </c>
      <c r="D14" s="287" t="n">
        <f aca="false">'E. VaR &amp; Peak Pos By Trader'!E14</f>
        <v>296426.609754562</v>
      </c>
      <c r="E14" s="287" t="n">
        <f aca="false">'E. VaR &amp; Peak Pos By Trader'!F14</f>
        <v>4840.24017577205</v>
      </c>
      <c r="F14" s="274" t="n">
        <f aca="false">VLOOKUP($B14,'[3]Delta Monthly'!$A$1:$AW$55,5,1)</f>
        <v>0</v>
      </c>
      <c r="G14" s="274" t="n">
        <f aca="false">VLOOKUP($B14,'[3]Delta Monthly'!$A$1:$AW$55,7,FALSE())</f>
        <v>0</v>
      </c>
      <c r="H14" s="274" t="n">
        <f aca="false">VLOOKUP($B14,'[3]Delta Monthly'!$A$1:$AW$55,9,FALSE())</f>
        <v>0</v>
      </c>
      <c r="I14" s="274" t="n">
        <f aca="false">VLOOKUP($B14,'[3]Delta Monthly'!$A$1:$AW$55,11,FALSE())</f>
        <v>0</v>
      </c>
      <c r="J14" s="274" t="n">
        <f aca="false">VLOOKUP($B14,'[3]Delta Monthly'!$A$1:$AW$55,13,FALSE())</f>
        <v>0</v>
      </c>
      <c r="K14" s="274" t="n">
        <f aca="false">VLOOKUP($B14,'[3]Delta Monthly'!$A$1:$AW$55,15,FALSE())</f>
        <v>0</v>
      </c>
      <c r="L14" s="274" t="n">
        <f aca="false">+VLOOKUP($B14,'[3]Delta Monthly'!$A$1:$AW$55,17,FALSE())</f>
        <v>0</v>
      </c>
      <c r="M14" s="274" t="n">
        <f aca="false">VLOOKUP($B14,'[3]Delta Monthly'!$A$1:$AW$55,19,FALSE())</f>
        <v>0</v>
      </c>
      <c r="N14" s="274" t="n">
        <f aca="false">VLOOKUP($B14,'[3]Delta Monthly'!$A$1:$AW$55,21,FALSE())</f>
        <v>0</v>
      </c>
      <c r="O14" s="274" t="n">
        <f aca="false">VLOOKUP($B14,'[3]Delta Monthly'!$A$1:$AW$55,23,FALSE())</f>
        <v>-8.10251861645006</v>
      </c>
      <c r="P14" s="274" t="n">
        <f aca="false">VLOOKUP($B14,'[3]Delta Monthly'!$A$1:$AW$55,25,FALSE())</f>
        <v>-915.908075520484</v>
      </c>
      <c r="Q14" s="302" t="n">
        <f aca="false">SUM(F14:P14)</f>
        <v>-924.010594136934</v>
      </c>
      <c r="R14" s="274" t="n">
        <f aca="false">VLOOKUP($B14,'[3]Delta Monthly'!$A$1:$AW$55,27,0)+VLOOKUP($B14,'[3]Delta Monthly'!$A$1:$AW$55,29,0)</f>
        <v>0</v>
      </c>
      <c r="S14" s="274" t="n">
        <f aca="false">VLOOKUP($B14,'[3]Delta Monthly'!$A$1:$AW$55,31,0)+VLOOKUP($B14,'[3]Delta Monthly'!$A$1:$AW$55,33,0)</f>
        <v>0</v>
      </c>
      <c r="T14" s="274" t="n">
        <f aca="false">VLOOKUP($B14,'[3]Delta Monthly'!$A$1:$AW$55,35,0)</f>
        <v>0</v>
      </c>
      <c r="U14" s="274" t="n">
        <f aca="false">VLOOKUP($B14,'[3]Delta Monthly'!$A$1:$AW$55,37,0)</f>
        <v>0</v>
      </c>
      <c r="V14" s="274" t="n">
        <f aca="false">VLOOKUP($B14,'[3]Delta Monthly'!$A$1:$AW$55,39,0)+VLOOKUP($B14,'[3]Delta Monthly'!$A$1:$AW$55,41,0)</f>
        <v>0</v>
      </c>
      <c r="W14" s="274" t="n">
        <f aca="false">VLOOKUP($B14,'[3]Delta Monthly'!$A$1:$AW$55,43,0)</f>
        <v>0</v>
      </c>
      <c r="X14" s="274" t="n">
        <f aca="false">VLOOKUP($B14,'[3]Delta Monthly'!$A$1:$AW$55,45,0)+VLOOKUP($B14,'[3]Delta Monthly'!$A$1:$AW$55,47,0)+VLOOKUP($B14,'[3]Delta Monthly'!$A$1:$AW$55,49,0)</f>
        <v>0</v>
      </c>
      <c r="Y14" s="302" t="n">
        <f aca="false">SUM(R14:X14)</f>
        <v>0</v>
      </c>
      <c r="Z14" s="302" t="n">
        <f aca="false">VLOOKUP($B14,'[5]Delta Yearly'!$A$1:$AC$55,5,0)</f>
        <v>0</v>
      </c>
      <c r="AA14" s="284" t="n">
        <f aca="false">VLOOKUP($B14,'[5]Delta Yearly'!$A$1:$AC$55,7,FALSE())+VLOOKUP($B14,'[5]Delta Yearly'!$A$1:$AC$55,9,FALSE())+VLOOKUP($B14,'[5]Delta Yearly'!$A$1:$AC$55,11,FALSE())+VLOOKUP($B14,'[5]Delta Yearly'!$A$1:$AC$55,13,FALSE())+VLOOKUP($B14,'[5]Delta Yearly'!$A$1:$AC$55,15,FALSE())+VLOOKUP($B14,'[5]Delta Yearly'!$A$1:$AC$55,17,FALSE())+VLOOKUP($B14,'[5]Delta Yearly'!$A$1:$AC$55,19,FALSE())+VLOOKUP($B14,'[5]Delta Yearly'!$A$1:$AC$55,21,FALSE())+VLOOKUP($B14,'[5]Delta Yearly'!$A$1:$AC$55,23,FALSE())+VLOOKUP($B14,'[5]Delta Yearly'!$A$1:$AC$55,25,FALSE())+VLOOKUP($B14,'[5]Delta Yearly'!$A$1:$AC$55,27,FALSE())+VLOOKUP($B14,'[5]Delta Yearly'!$A$1:$AC$55,29,FALSE())</f>
        <v>0</v>
      </c>
      <c r="AB14" s="302" t="n">
        <f aca="false">SUM(AA14,Z14,Y14,Q14)</f>
        <v>-924.010594136934</v>
      </c>
      <c r="AC14" s="284"/>
      <c r="AD14" s="266"/>
      <c r="AE14" s="266"/>
      <c r="AF14" s="266"/>
      <c r="AG14" s="266"/>
      <c r="AH14" s="266"/>
      <c r="AI14" s="266"/>
      <c r="AJ14" s="266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  <c r="IT14" s="267"/>
      <c r="IU14" s="267"/>
      <c r="IV14" s="267"/>
      <c r="IW14" s="267"/>
    </row>
    <row r="15" customFormat="false" ht="12" hidden="false" customHeight="true" outlineLevel="0" collapsed="false">
      <c r="A15" s="294"/>
      <c r="B15" s="271"/>
      <c r="C15" s="302"/>
      <c r="D15" s="287"/>
      <c r="E15" s="287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302"/>
      <c r="R15" s="274"/>
      <c r="S15" s="274"/>
      <c r="T15" s="274"/>
      <c r="U15" s="274"/>
      <c r="V15" s="274"/>
      <c r="W15" s="274"/>
      <c r="X15" s="274"/>
      <c r="Y15" s="302"/>
      <c r="Z15" s="302"/>
      <c r="AA15" s="284"/>
      <c r="AB15" s="302"/>
      <c r="AC15" s="284"/>
      <c r="AD15" s="266"/>
      <c r="AE15" s="266"/>
      <c r="AF15" s="266"/>
      <c r="AG15" s="266"/>
      <c r="AH15" s="266"/>
      <c r="AI15" s="266"/>
      <c r="AJ15" s="266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  <c r="IT15" s="267"/>
      <c r="IU15" s="267"/>
      <c r="IV15" s="267"/>
      <c r="IW15" s="267"/>
    </row>
    <row r="16" customFormat="false" ht="12" hidden="false" customHeight="true" outlineLevel="0" collapsed="false">
      <c r="A16" s="294" t="s">
        <v>42</v>
      </c>
      <c r="B16" s="271" t="s">
        <v>43</v>
      </c>
      <c r="C16" s="302" t="s">
        <v>45</v>
      </c>
      <c r="D16" s="287" t="n">
        <f aca="false">'E. VaR &amp; Peak Pos By Trader'!E16</f>
        <v>168733.139721667</v>
      </c>
      <c r="E16" s="287" t="n">
        <f aca="false">'E. VaR &amp; Peak Pos By Trader'!F16</f>
        <v>-11608.278613156</v>
      </c>
      <c r="F16" s="274" t="n">
        <f aca="false">VLOOKUP($B16,'[3]Delta Monthly'!$A$1:$AW$55,5,1)</f>
        <v>0</v>
      </c>
      <c r="G16" s="274" t="n">
        <f aca="false">VLOOKUP($B16,'[3]Delta Monthly'!$A$1:$AW$55,7,FALSE())</f>
        <v>0</v>
      </c>
      <c r="H16" s="274" t="n">
        <f aca="false">VLOOKUP($B16,'[3]Delta Monthly'!$A$1:$AW$55,9,FALSE())</f>
        <v>0</v>
      </c>
      <c r="I16" s="274" t="n">
        <f aca="false">VLOOKUP($B16,'[3]Delta Monthly'!$A$1:$AW$55,11,FALSE())</f>
        <v>0</v>
      </c>
      <c r="J16" s="274" t="n">
        <f aca="false">VLOOKUP($B16,'[3]Delta Monthly'!$A$1:$AW$55,13,FALSE())</f>
        <v>0</v>
      </c>
      <c r="K16" s="274" t="n">
        <f aca="false">VLOOKUP($B16,'[3]Delta Monthly'!$A$1:$AW$55,15,FALSE())</f>
        <v>0</v>
      </c>
      <c r="L16" s="274" t="n">
        <f aca="false">+VLOOKUP($B16,'[3]Delta Monthly'!$A$1:$AW$55,17,FALSE())</f>
        <v>0</v>
      </c>
      <c r="M16" s="274" t="n">
        <f aca="false">VLOOKUP($B16,'[3]Delta Monthly'!$A$1:$AW$55,19,FALSE())</f>
        <v>0</v>
      </c>
      <c r="N16" s="274" t="n">
        <f aca="false">VLOOKUP($B16,'[3]Delta Monthly'!$A$1:$AW$55,21,FALSE())</f>
        <v>0</v>
      </c>
      <c r="O16" s="274" t="n">
        <f aca="false">VLOOKUP($B16,'[3]Delta Monthly'!$A$1:$AW$55,23,FALSE())</f>
        <v>0</v>
      </c>
      <c r="P16" s="274" t="n">
        <f aca="false">VLOOKUP($B16,'[3]Delta Monthly'!$A$1:$AW$55,25,FALSE())</f>
        <v>0</v>
      </c>
      <c r="Q16" s="302" t="n">
        <f aca="false">SUM(F16:P16)</f>
        <v>0</v>
      </c>
      <c r="R16" s="274" t="n">
        <f aca="false">VLOOKUP($B16,'[3]Delta Monthly'!$A$1:$AW$55,27,0)+VLOOKUP($B16,'[3]Delta Monthly'!$A$1:$AW$55,29,0)</f>
        <v>0</v>
      </c>
      <c r="S16" s="274" t="n">
        <f aca="false">VLOOKUP($B16,'[3]Delta Monthly'!$A$1:$AW$55,31,0)+VLOOKUP($B16,'[3]Delta Monthly'!$A$1:$AW$55,33,0)</f>
        <v>0</v>
      </c>
      <c r="T16" s="274" t="n">
        <f aca="false">VLOOKUP($B16,'[3]Delta Monthly'!$A$1:$AW$55,35,0)</f>
        <v>0</v>
      </c>
      <c r="U16" s="274" t="n">
        <f aca="false">VLOOKUP($B16,'[3]Delta Monthly'!$A$1:$AW$55,37,0)</f>
        <v>0</v>
      </c>
      <c r="V16" s="274" t="n">
        <f aca="false">VLOOKUP($B16,'[3]Delta Monthly'!$A$1:$AW$55,39,0)+VLOOKUP($B16,'[3]Delta Monthly'!$A$1:$AW$55,41,0)</f>
        <v>0</v>
      </c>
      <c r="W16" s="274" t="n">
        <f aca="false">VLOOKUP($B16,'[3]Delta Monthly'!$A$1:$AW$55,43,0)</f>
        <v>0</v>
      </c>
      <c r="X16" s="274" t="n">
        <f aca="false">VLOOKUP($B16,'[3]Delta Monthly'!$A$1:$AW$55,45,0)+VLOOKUP($B16,'[3]Delta Monthly'!$A$1:$AW$55,47,0)+VLOOKUP($B16,'[3]Delta Monthly'!$A$1:$AW$55,49,0)</f>
        <v>0</v>
      </c>
      <c r="Y16" s="302" t="n">
        <f aca="false">SUM(R16:X16)</f>
        <v>0</v>
      </c>
      <c r="Z16" s="302" t="n">
        <f aca="false">VLOOKUP($B16,'[5]Delta Yearly'!$A$1:$AC$55,5,0)</f>
        <v>0</v>
      </c>
      <c r="AA16" s="284" t="n">
        <f aca="false">VLOOKUP($B16,'[5]Delta Yearly'!$A$1:$AC$55,7,FALSE())+VLOOKUP($B16,'[5]Delta Yearly'!$A$1:$AC$55,9,FALSE())+VLOOKUP($B16,'[5]Delta Yearly'!$A$1:$AC$55,11,FALSE())+VLOOKUP($B16,'[5]Delta Yearly'!$A$1:$AC$55,13,FALSE())+VLOOKUP($B16,'[5]Delta Yearly'!$A$1:$AC$55,15,FALSE())+VLOOKUP($B16,'[5]Delta Yearly'!$A$1:$AC$55,17,FALSE())+VLOOKUP($B16,'[5]Delta Yearly'!$A$1:$AC$55,19,FALSE())+VLOOKUP($B16,'[5]Delta Yearly'!$A$1:$AC$55,21,FALSE())+VLOOKUP($B16,'[5]Delta Yearly'!$A$1:$AC$55,23,FALSE())+VLOOKUP($B16,'[5]Delta Yearly'!$A$1:$AC$55,25,FALSE())+VLOOKUP($B16,'[5]Delta Yearly'!$A$1:$AC$55,27,FALSE())+VLOOKUP($B16,'[5]Delta Yearly'!$A$1:$AC$55,29,FALSE())</f>
        <v>0</v>
      </c>
      <c r="AB16" s="302" t="n">
        <f aca="false">SUM(AA16,Z16,Y16,Q16)</f>
        <v>0</v>
      </c>
      <c r="AC16" s="284"/>
      <c r="AD16" s="266"/>
      <c r="AE16" s="266"/>
      <c r="AF16" s="266"/>
      <c r="AG16" s="266"/>
      <c r="AH16" s="266"/>
      <c r="AI16" s="266"/>
      <c r="AJ16" s="266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  <c r="IT16" s="267"/>
      <c r="IU16" s="267"/>
      <c r="IV16" s="267"/>
      <c r="IW16" s="267"/>
    </row>
    <row r="17" customFormat="false" ht="12" hidden="false" customHeight="true" outlineLevel="0" collapsed="false">
      <c r="A17" s="294"/>
      <c r="B17" s="271"/>
      <c r="C17" s="302"/>
      <c r="D17" s="287"/>
      <c r="E17" s="287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302"/>
      <c r="R17" s="274"/>
      <c r="S17" s="274"/>
      <c r="T17" s="274"/>
      <c r="U17" s="274"/>
      <c r="V17" s="274"/>
      <c r="W17" s="274"/>
      <c r="X17" s="274"/>
      <c r="Y17" s="302"/>
      <c r="Z17" s="302"/>
      <c r="AA17" s="284"/>
      <c r="AB17" s="302"/>
      <c r="AC17" s="284"/>
      <c r="AD17" s="266"/>
      <c r="AE17" s="266"/>
      <c r="AF17" s="266"/>
      <c r="AG17" s="266"/>
      <c r="AH17" s="266"/>
      <c r="AI17" s="266"/>
      <c r="AJ17" s="266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267"/>
      <c r="EJ17" s="267"/>
      <c r="EK17" s="267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7"/>
      <c r="EW17" s="267"/>
      <c r="EX17" s="267"/>
      <c r="EY17" s="267"/>
      <c r="EZ17" s="267"/>
      <c r="FA17" s="267"/>
      <c r="FB17" s="267"/>
      <c r="FC17" s="267"/>
      <c r="FD17" s="267"/>
      <c r="FE17" s="267"/>
      <c r="FF17" s="267"/>
      <c r="FG17" s="267"/>
      <c r="FH17" s="267"/>
      <c r="FI17" s="267"/>
      <c r="FJ17" s="267"/>
      <c r="FK17" s="267"/>
      <c r="FL17" s="267"/>
      <c r="FM17" s="267"/>
      <c r="FN17" s="267"/>
      <c r="FO17" s="267"/>
      <c r="FP17" s="267"/>
      <c r="FQ17" s="267"/>
      <c r="FR17" s="267"/>
      <c r="FS17" s="267"/>
      <c r="FT17" s="267"/>
      <c r="FU17" s="267"/>
      <c r="FV17" s="267"/>
      <c r="FW17" s="267"/>
      <c r="FX17" s="267"/>
      <c r="FY17" s="267"/>
      <c r="FZ17" s="267"/>
      <c r="GA17" s="267"/>
      <c r="GB17" s="267"/>
      <c r="GC17" s="267"/>
      <c r="GD17" s="267"/>
      <c r="GE17" s="267"/>
      <c r="GF17" s="267"/>
      <c r="GG17" s="267"/>
      <c r="GH17" s="267"/>
      <c r="GI17" s="267"/>
      <c r="GJ17" s="267"/>
      <c r="GK17" s="267"/>
      <c r="GL17" s="267"/>
      <c r="GM17" s="267"/>
      <c r="GN17" s="267"/>
      <c r="GO17" s="267"/>
      <c r="GP17" s="267"/>
      <c r="GQ17" s="267"/>
      <c r="GR17" s="267"/>
      <c r="GS17" s="267"/>
      <c r="GT17" s="267"/>
      <c r="GU17" s="267"/>
      <c r="GV17" s="267"/>
      <c r="GW17" s="267"/>
      <c r="GX17" s="267"/>
      <c r="GY17" s="267"/>
      <c r="GZ17" s="267"/>
      <c r="HA17" s="267"/>
      <c r="HB17" s="267"/>
      <c r="HC17" s="267"/>
      <c r="HD17" s="267"/>
      <c r="HE17" s="267"/>
      <c r="HF17" s="267"/>
      <c r="HG17" s="267"/>
      <c r="HH17" s="267"/>
      <c r="HI17" s="267"/>
      <c r="HJ17" s="267"/>
      <c r="HK17" s="267"/>
      <c r="HL17" s="267"/>
      <c r="HM17" s="267"/>
      <c r="HN17" s="267"/>
      <c r="HO17" s="267"/>
      <c r="HP17" s="267"/>
      <c r="HQ17" s="267"/>
      <c r="HR17" s="267"/>
      <c r="HS17" s="267"/>
      <c r="HT17" s="267"/>
      <c r="HU17" s="267"/>
      <c r="HV17" s="267"/>
      <c r="HW17" s="267"/>
      <c r="HX17" s="267"/>
      <c r="HY17" s="267"/>
      <c r="HZ17" s="267"/>
      <c r="IA17" s="267"/>
      <c r="IB17" s="267"/>
      <c r="IC17" s="267"/>
      <c r="ID17" s="267"/>
      <c r="IE17" s="267"/>
      <c r="IF17" s="267"/>
      <c r="IG17" s="267"/>
      <c r="IH17" s="267"/>
      <c r="II17" s="267"/>
      <c r="IJ17" s="267"/>
      <c r="IK17" s="267"/>
      <c r="IL17" s="267"/>
      <c r="IM17" s="267"/>
      <c r="IN17" s="267"/>
      <c r="IO17" s="267"/>
      <c r="IP17" s="267"/>
      <c r="IQ17" s="267"/>
      <c r="IR17" s="267"/>
      <c r="IS17" s="267"/>
      <c r="IT17" s="267"/>
      <c r="IU17" s="267"/>
      <c r="IV17" s="267"/>
      <c r="IW17" s="267"/>
    </row>
    <row r="18" customFormat="false" ht="12" hidden="false" customHeight="true" outlineLevel="0" collapsed="false">
      <c r="A18" s="294" t="s">
        <v>47</v>
      </c>
      <c r="B18" s="271" t="s">
        <v>48</v>
      </c>
      <c r="C18" s="302" t="s">
        <v>50</v>
      </c>
      <c r="D18" s="287" t="n">
        <f aca="false">'E. VaR &amp; Peak Pos By Trader'!E18</f>
        <v>118001.120606203</v>
      </c>
      <c r="E18" s="287" t="n">
        <f aca="false">'E. VaR &amp; Peak Pos By Trader'!F18</f>
        <v>-1554.34588805401</v>
      </c>
      <c r="F18" s="274" t="n">
        <f aca="false">VLOOKUP($B18,'[3]Delta Monthly'!$A$1:$AW$55,5,1)</f>
        <v>0</v>
      </c>
      <c r="G18" s="274" t="n">
        <f aca="false">VLOOKUP($B18,'[3]Delta Monthly'!$A$1:$AW$55,7,FALSE())</f>
        <v>0</v>
      </c>
      <c r="H18" s="274" t="n">
        <f aca="false">VLOOKUP($B18,'[3]Delta Monthly'!$A$1:$AW$55,9,FALSE())</f>
        <v>0</v>
      </c>
      <c r="I18" s="274" t="n">
        <f aca="false">VLOOKUP($B18,'[3]Delta Monthly'!$A$1:$AW$55,11,FALSE())</f>
        <v>0</v>
      </c>
      <c r="J18" s="274" t="n">
        <f aca="false">VLOOKUP($B18,'[3]Delta Monthly'!$A$1:$AW$55,13,FALSE())</f>
        <v>0</v>
      </c>
      <c r="K18" s="274" t="n">
        <f aca="false">VLOOKUP($B18,'[3]Delta Monthly'!$A$1:$AW$55,15,FALSE())</f>
        <v>0</v>
      </c>
      <c r="L18" s="274" t="n">
        <f aca="false">+VLOOKUP($B18,'[3]Delta Monthly'!$A$1:$AW$55,17,FALSE())</f>
        <v>0</v>
      </c>
      <c r="M18" s="274" t="n">
        <f aca="false">VLOOKUP($B18,'[3]Delta Monthly'!$A$1:$AW$55,19,FALSE())</f>
        <v>0</v>
      </c>
      <c r="N18" s="274" t="n">
        <f aca="false">VLOOKUP($B18,'[3]Delta Monthly'!$A$1:$AW$55,21,FALSE())</f>
        <v>0</v>
      </c>
      <c r="O18" s="274" t="n">
        <f aca="false">VLOOKUP($B18,'[3]Delta Monthly'!$A$1:$AW$55,23,FALSE())</f>
        <v>0</v>
      </c>
      <c r="P18" s="274" t="n">
        <f aca="false">VLOOKUP($B18,'[3]Delta Monthly'!$A$1:$AW$55,25,FALSE())</f>
        <v>0</v>
      </c>
      <c r="Q18" s="302" t="n">
        <f aca="false">SUM(F18:P18)</f>
        <v>0</v>
      </c>
      <c r="R18" s="274" t="n">
        <f aca="false">VLOOKUP($B18,'[3]Delta Monthly'!$A$1:$AW$55,27,0)+VLOOKUP($B18,'[3]Delta Monthly'!$A$1:$AW$55,29,0)</f>
        <v>0</v>
      </c>
      <c r="S18" s="274" t="n">
        <f aca="false">VLOOKUP($B18,'[3]Delta Monthly'!$A$1:$AW$55,31,0)+VLOOKUP($B18,'[3]Delta Monthly'!$A$1:$AW$55,33,0)</f>
        <v>0</v>
      </c>
      <c r="T18" s="274" t="n">
        <f aca="false">VLOOKUP($B18,'[3]Delta Monthly'!$A$1:$AW$55,35,0)</f>
        <v>0</v>
      </c>
      <c r="U18" s="274" t="n">
        <f aca="false">VLOOKUP($B18,'[3]Delta Monthly'!$A$1:$AW$55,37,0)</f>
        <v>0</v>
      </c>
      <c r="V18" s="274" t="n">
        <f aca="false">VLOOKUP($B18,'[3]Delta Monthly'!$A$1:$AW$55,39,0)+VLOOKUP($B18,'[3]Delta Monthly'!$A$1:$AW$55,41,0)</f>
        <v>0</v>
      </c>
      <c r="W18" s="274" t="n">
        <f aca="false">VLOOKUP($B18,'[3]Delta Monthly'!$A$1:$AW$55,43,0)</f>
        <v>0</v>
      </c>
      <c r="X18" s="274" t="n">
        <f aca="false">VLOOKUP($B18,'[3]Delta Monthly'!$A$1:$AW$55,45,0)+VLOOKUP($B18,'[3]Delta Monthly'!$A$1:$AW$55,47,0)+VLOOKUP($B18,'[3]Delta Monthly'!$A$1:$AW$55,49,0)</f>
        <v>0</v>
      </c>
      <c r="Y18" s="302" t="n">
        <f aca="false">SUM(R18:X18)</f>
        <v>0</v>
      </c>
      <c r="Z18" s="302" t="n">
        <f aca="false">VLOOKUP($B18,'[5]Delta Yearly'!$A$1:$AC$55,5,0)</f>
        <v>0</v>
      </c>
      <c r="AA18" s="284" t="n">
        <f aca="false">VLOOKUP($B18,'[5]Delta Yearly'!$A$1:$AC$55,7,FALSE())+VLOOKUP($B18,'[5]Delta Yearly'!$A$1:$AC$55,9,FALSE())+VLOOKUP($B18,'[5]Delta Yearly'!$A$1:$AC$55,11,FALSE())+VLOOKUP($B18,'[5]Delta Yearly'!$A$1:$AC$55,13,FALSE())+VLOOKUP($B18,'[5]Delta Yearly'!$A$1:$AC$55,15,FALSE())+VLOOKUP($B18,'[5]Delta Yearly'!$A$1:$AC$55,17,FALSE())+VLOOKUP($B18,'[5]Delta Yearly'!$A$1:$AC$55,19,FALSE())+VLOOKUP($B18,'[5]Delta Yearly'!$A$1:$AC$55,21,FALSE())+VLOOKUP($B18,'[5]Delta Yearly'!$A$1:$AC$55,23,FALSE())+VLOOKUP($B18,'[5]Delta Yearly'!$A$1:$AC$55,25,FALSE())+VLOOKUP($B18,'[5]Delta Yearly'!$A$1:$AC$55,27,FALSE())+VLOOKUP($B18,'[5]Delta Yearly'!$A$1:$AC$55,29,FALSE())</f>
        <v>0</v>
      </c>
      <c r="AB18" s="302" t="n">
        <f aca="false">SUM(AA18,Z18,Y18,Q18)</f>
        <v>0</v>
      </c>
      <c r="AC18" s="284"/>
      <c r="AD18" s="303"/>
      <c r="AE18" s="303"/>
      <c r="AF18" s="303"/>
      <c r="AG18" s="303"/>
      <c r="AH18" s="303"/>
      <c r="AI18" s="303"/>
      <c r="AJ18" s="303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12" hidden="false" customHeight="true" outlineLevel="0" collapsed="false">
      <c r="A19" s="294"/>
      <c r="B19" s="271"/>
      <c r="C19" s="302"/>
      <c r="D19" s="287"/>
      <c r="E19" s="287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302"/>
      <c r="R19" s="274"/>
      <c r="S19" s="274"/>
      <c r="T19" s="274"/>
      <c r="U19" s="274"/>
      <c r="V19" s="274"/>
      <c r="W19" s="274"/>
      <c r="X19" s="274"/>
      <c r="Y19" s="302"/>
      <c r="Z19" s="302"/>
      <c r="AA19" s="284"/>
      <c r="AB19" s="302"/>
      <c r="AC19" s="284"/>
      <c r="AD19" s="303"/>
      <c r="AE19" s="303"/>
      <c r="AF19" s="303"/>
      <c r="AG19" s="303"/>
      <c r="AH19" s="303"/>
      <c r="AI19" s="303"/>
      <c r="AJ19" s="303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12" hidden="false" customHeight="true" outlineLevel="0" collapsed="false">
      <c r="A20" s="294" t="s">
        <v>51</v>
      </c>
      <c r="B20" s="271" t="s">
        <v>52</v>
      </c>
      <c r="C20" s="302" t="s">
        <v>54</v>
      </c>
      <c r="D20" s="287" t="n">
        <f aca="false">'E. VaR &amp; Peak Pos By Trader'!E20</f>
        <v>73751.6654298901</v>
      </c>
      <c r="E20" s="287" t="n">
        <f aca="false">'E. VaR &amp; Peak Pos By Trader'!F20</f>
        <v>32028.4165348108</v>
      </c>
      <c r="F20" s="274" t="n">
        <f aca="false">VLOOKUP($B20,'[3]Delta Monthly'!$A$1:$AW$55,5,1)</f>
        <v>0</v>
      </c>
      <c r="G20" s="274" t="n">
        <f aca="false">VLOOKUP($B20,'[3]Delta Monthly'!$A$1:$AW$55,7,FALSE())</f>
        <v>0</v>
      </c>
      <c r="H20" s="274" t="n">
        <f aca="false">VLOOKUP($B20,'[3]Delta Monthly'!$A$1:$AW$55,9,FALSE())</f>
        <v>0</v>
      </c>
      <c r="I20" s="274" t="n">
        <f aca="false">VLOOKUP($B20,'[3]Delta Monthly'!$A$1:$AW$55,11,FALSE())</f>
        <v>0</v>
      </c>
      <c r="J20" s="274" t="n">
        <f aca="false">VLOOKUP($B20,'[3]Delta Monthly'!$A$1:$AW$55,13,FALSE())</f>
        <v>0</v>
      </c>
      <c r="K20" s="274" t="n">
        <f aca="false">VLOOKUP($B20,'[3]Delta Monthly'!$A$1:$AW$55,15,FALSE())</f>
        <v>0</v>
      </c>
      <c r="L20" s="274" t="n">
        <f aca="false">+VLOOKUP($B20,'[3]Delta Monthly'!$A$1:$AW$55,17,FALSE())</f>
        <v>0</v>
      </c>
      <c r="M20" s="274" t="n">
        <f aca="false">VLOOKUP($B20,'[3]Delta Monthly'!$A$1:$AW$55,19,FALSE())</f>
        <v>0</v>
      </c>
      <c r="N20" s="274" t="n">
        <f aca="false">VLOOKUP($B20,'[3]Delta Monthly'!$A$1:$AW$55,21,FALSE())</f>
        <v>0</v>
      </c>
      <c r="O20" s="274" t="n">
        <f aca="false">VLOOKUP($B20,'[3]Delta Monthly'!$A$1:$AW$55,23,FALSE())</f>
        <v>0</v>
      </c>
      <c r="P20" s="274" t="n">
        <f aca="false">VLOOKUP($B20,'[3]Delta Monthly'!$A$1:$AW$55,25,FALSE())</f>
        <v>-193.113567042009</v>
      </c>
      <c r="Q20" s="302" t="n">
        <f aca="false">SUM(F20:P20)</f>
        <v>-193.113567042009</v>
      </c>
      <c r="R20" s="274" t="n">
        <f aca="false">VLOOKUP($B20,'[3]Delta Monthly'!$A$1:$AW$55,27,0)+VLOOKUP($B20,'[3]Delta Monthly'!$A$1:$AW$55,29,0)</f>
        <v>0</v>
      </c>
      <c r="S20" s="274" t="n">
        <f aca="false">VLOOKUP($B20,'[3]Delta Monthly'!$A$1:$AW$55,31,0)+VLOOKUP($B20,'[3]Delta Monthly'!$A$1:$AW$55,33,0)</f>
        <v>0</v>
      </c>
      <c r="T20" s="274" t="n">
        <f aca="false">VLOOKUP($B20,'[3]Delta Monthly'!$A$1:$AW$55,35,0)</f>
        <v>0</v>
      </c>
      <c r="U20" s="274" t="n">
        <f aca="false">VLOOKUP($B20,'[3]Delta Monthly'!$A$1:$AW$55,37,0)</f>
        <v>0</v>
      </c>
      <c r="V20" s="274" t="n">
        <f aca="false">VLOOKUP($B20,'[3]Delta Monthly'!$A$1:$AW$55,39,0)+VLOOKUP($B20,'[3]Delta Monthly'!$A$1:$AW$55,41,0)</f>
        <v>0</v>
      </c>
      <c r="W20" s="274" t="n">
        <f aca="false">VLOOKUP($B20,'[3]Delta Monthly'!$A$1:$AW$55,43,0)</f>
        <v>0</v>
      </c>
      <c r="X20" s="274" t="n">
        <f aca="false">VLOOKUP($B20,'[3]Delta Monthly'!$A$1:$AW$55,45,0)+VLOOKUP($B20,'[3]Delta Monthly'!$A$1:$AW$55,47,0)+VLOOKUP($B20,'[3]Delta Monthly'!$A$1:$AW$55,49,0)</f>
        <v>0</v>
      </c>
      <c r="Y20" s="302" t="n">
        <f aca="false">SUM(R20:X20)</f>
        <v>0</v>
      </c>
      <c r="Z20" s="302" t="n">
        <f aca="false">VLOOKUP($B20,'[5]Delta Yearly'!$A$1:$AC$55,5,0)</f>
        <v>0</v>
      </c>
      <c r="AA20" s="284" t="n">
        <f aca="false">VLOOKUP($B20,'[5]Delta Yearly'!$A$1:$AC$55,7,FALSE())+VLOOKUP($B20,'[5]Delta Yearly'!$A$1:$AC$55,9,FALSE())+VLOOKUP($B20,'[5]Delta Yearly'!$A$1:$AC$55,11,FALSE())+VLOOKUP($B20,'[5]Delta Yearly'!$A$1:$AC$55,13,FALSE())+VLOOKUP($B20,'[5]Delta Yearly'!$A$1:$AC$55,15,FALSE())+VLOOKUP($B20,'[5]Delta Yearly'!$A$1:$AC$55,17,FALSE())+VLOOKUP($B20,'[5]Delta Yearly'!$A$1:$AC$55,19,FALSE())+VLOOKUP($B20,'[5]Delta Yearly'!$A$1:$AC$55,21,FALSE())+VLOOKUP($B20,'[5]Delta Yearly'!$A$1:$AC$55,23,FALSE())+VLOOKUP($B20,'[5]Delta Yearly'!$A$1:$AC$55,25,FALSE())+VLOOKUP($B20,'[5]Delta Yearly'!$A$1:$AC$55,27,FALSE())+VLOOKUP($B20,'[5]Delta Yearly'!$A$1:$AC$55,29,FALSE())</f>
        <v>0</v>
      </c>
      <c r="AB20" s="302" t="n">
        <f aca="false">SUM(AA20,Z20,Y20,Q20)</f>
        <v>-193.113567042009</v>
      </c>
      <c r="AC20" s="284"/>
      <c r="AD20" s="303"/>
      <c r="AE20" s="303"/>
      <c r="AF20" s="303"/>
      <c r="AG20" s="303"/>
      <c r="AH20" s="303"/>
      <c r="AI20" s="303"/>
      <c r="AJ20" s="303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12" hidden="false" customHeight="true" outlineLevel="0" collapsed="false">
      <c r="A21" s="294"/>
      <c r="B21" s="271"/>
      <c r="C21" s="302"/>
      <c r="D21" s="287"/>
      <c r="E21" s="287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302"/>
      <c r="R21" s="274"/>
      <c r="S21" s="274"/>
      <c r="T21" s="274"/>
      <c r="U21" s="274"/>
      <c r="V21" s="274"/>
      <c r="W21" s="274"/>
      <c r="X21" s="274"/>
      <c r="Y21" s="302"/>
      <c r="Z21" s="302"/>
      <c r="AA21" s="284"/>
      <c r="AB21" s="302"/>
      <c r="AC21" s="284"/>
      <c r="AD21" s="303"/>
      <c r="AE21" s="303"/>
      <c r="AF21" s="303"/>
      <c r="AG21" s="303"/>
      <c r="AH21" s="303"/>
      <c r="AI21" s="303"/>
      <c r="AJ21" s="303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12" hidden="false" customHeight="true" outlineLevel="0" collapsed="false">
      <c r="A22" s="294" t="s">
        <v>55</v>
      </c>
      <c r="B22" s="271" t="s">
        <v>56</v>
      </c>
      <c r="C22" s="302" t="s">
        <v>58</v>
      </c>
      <c r="D22" s="287" t="n">
        <f aca="false">'E. VaR &amp; Peak Pos By Trader'!E22</f>
        <v>38448.6599158954</v>
      </c>
      <c r="E22" s="287" t="n">
        <f aca="false">'E. VaR &amp; Peak Pos By Trader'!F22</f>
        <v>7470.87624046351</v>
      </c>
      <c r="F22" s="305" t="n">
        <v>0</v>
      </c>
      <c r="G22" s="274" t="n">
        <v>0</v>
      </c>
      <c r="H22" s="274" t="n">
        <v>0</v>
      </c>
      <c r="I22" s="274" t="n">
        <v>0</v>
      </c>
      <c r="J22" s="274" t="n">
        <f aca="false">VLOOKUP($B22,'[3]Delta Monthly'!$A$1:$AW$55,13,FALSE())</f>
        <v>0</v>
      </c>
      <c r="K22" s="274" t="n">
        <f aca="false">VLOOKUP($B22,'[3]Delta Monthly'!$A$1:$AW$55,15,FALSE())</f>
        <v>0</v>
      </c>
      <c r="L22" s="274" t="n">
        <f aca="false">+VLOOKUP($B22,'[3]Delta Monthly'!$A$1:$AW$55,17,FALSE())</f>
        <v>0</v>
      </c>
      <c r="M22" s="274" t="n">
        <f aca="false">VLOOKUP($B22,'[3]Delta Monthly'!$A$1:$AW$55,19,FALSE())</f>
        <v>0</v>
      </c>
      <c r="N22" s="274" t="n">
        <f aca="false">VLOOKUP($B22,'[3]Delta Monthly'!$A$1:$AW$55,21,FALSE())</f>
        <v>0</v>
      </c>
      <c r="O22" s="274" t="n">
        <f aca="false">VLOOKUP($B22,'[3]Delta Monthly'!$A$1:$AW$55,23,FALSE())</f>
        <v>0</v>
      </c>
      <c r="P22" s="274" t="n">
        <f aca="false">VLOOKUP($B22,'[3]Delta Monthly'!$A$1:$AW$55,25,FALSE())</f>
        <v>0</v>
      </c>
      <c r="Q22" s="302" t="n">
        <f aca="false">SUM(F22:P22)</f>
        <v>0</v>
      </c>
      <c r="R22" s="274" t="n">
        <f aca="false">VLOOKUP($B22,'[3]Delta Monthly'!$A$1:$AW$55,27,0)+VLOOKUP($B22,'[3]Delta Monthly'!$A$1:$AW$55,29,0)</f>
        <v>0</v>
      </c>
      <c r="S22" s="274" t="n">
        <f aca="false">VLOOKUP($B22,'[3]Delta Monthly'!$A$1:$AW$55,31,0)+VLOOKUP($B22,'[3]Delta Monthly'!$A$1:$AW$55,33,0)</f>
        <v>0</v>
      </c>
      <c r="T22" s="274" t="n">
        <f aca="false">VLOOKUP($B22,'[3]Delta Monthly'!$A$1:$AW$55,35,0)</f>
        <v>0</v>
      </c>
      <c r="U22" s="274" t="n">
        <f aca="false">VLOOKUP($B22,'[3]Delta Monthly'!$A$1:$AW$55,37,0)</f>
        <v>0</v>
      </c>
      <c r="V22" s="274" t="n">
        <f aca="false">VLOOKUP($B22,'[3]Delta Monthly'!$A$1:$AW$55,39,0)+VLOOKUP($B22,'[3]Delta Monthly'!$A$1:$AW$55,41,0)</f>
        <v>0</v>
      </c>
      <c r="W22" s="274" t="n">
        <f aca="false">VLOOKUP($B22,'[3]Delta Monthly'!$A$1:$AW$55,43,0)</f>
        <v>0</v>
      </c>
      <c r="X22" s="274" t="n">
        <f aca="false">VLOOKUP($B22,'[3]Delta Monthly'!$A$1:$AW$55,45,0)+VLOOKUP($B22,'[3]Delta Monthly'!$A$1:$AW$55,47,0)+VLOOKUP($B22,'[3]Delta Monthly'!$A$1:$AW$55,49,0)</f>
        <v>0</v>
      </c>
      <c r="Y22" s="302" t="n">
        <f aca="false">SUM(R22:X22)</f>
        <v>0</v>
      </c>
      <c r="Z22" s="302" t="n">
        <f aca="false">VLOOKUP($B22,'[5]Delta Yearly'!$A$1:$AC$55,5,0)</f>
        <v>0</v>
      </c>
      <c r="AA22" s="284" t="n">
        <f aca="false">VLOOKUP($B22,'[5]Delta Yearly'!$A$1:$AC$55,7,FALSE())+VLOOKUP($B22,'[5]Delta Yearly'!$A$1:$AC$55,9,FALSE())+VLOOKUP($B22,'[5]Delta Yearly'!$A$1:$AC$55,11,FALSE())+VLOOKUP($B22,'[5]Delta Yearly'!$A$1:$AC$55,13,FALSE())+VLOOKUP($B22,'[5]Delta Yearly'!$A$1:$AC$55,15,FALSE())+VLOOKUP($B22,'[5]Delta Yearly'!$A$1:$AC$55,17,FALSE())+VLOOKUP($B22,'[5]Delta Yearly'!$A$1:$AC$55,19,FALSE())+VLOOKUP($B22,'[5]Delta Yearly'!$A$1:$AC$55,21,FALSE())+VLOOKUP($B22,'[5]Delta Yearly'!$A$1:$AC$55,23,FALSE())+VLOOKUP($B22,'[5]Delta Yearly'!$A$1:$AC$55,25,FALSE())+VLOOKUP($B22,'[5]Delta Yearly'!$A$1:$AC$55,27,FALSE())+VLOOKUP($B22,'[5]Delta Yearly'!$A$1:$AC$55,29,FALSE())</f>
        <v>0</v>
      </c>
      <c r="AB22" s="302" t="n">
        <f aca="false">SUM(AA22,Z22,Y22,Q22)</f>
        <v>0</v>
      </c>
      <c r="AC22" s="284"/>
      <c r="AD22" s="266"/>
      <c r="AE22" s="266"/>
      <c r="AF22" s="266"/>
      <c r="AG22" s="266"/>
      <c r="AH22" s="266"/>
      <c r="AI22" s="266"/>
      <c r="AJ22" s="266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7"/>
      <c r="CH22" s="267"/>
      <c r="CI22" s="267"/>
      <c r="CJ22" s="267"/>
      <c r="CK22" s="267"/>
      <c r="CL22" s="267"/>
      <c r="CM22" s="267"/>
      <c r="CN22" s="267"/>
      <c r="CO22" s="267"/>
      <c r="CP22" s="267"/>
      <c r="CQ22" s="267"/>
      <c r="CR22" s="267"/>
      <c r="CS22" s="267"/>
      <c r="CT22" s="267"/>
      <c r="CU22" s="267"/>
      <c r="CV22" s="267"/>
      <c r="CW22" s="267"/>
      <c r="CX22" s="267"/>
      <c r="CY22" s="267"/>
      <c r="CZ22" s="267"/>
      <c r="DA22" s="267"/>
      <c r="DB22" s="267"/>
      <c r="DC22" s="267"/>
      <c r="DD22" s="267"/>
      <c r="DE22" s="267"/>
      <c r="DF22" s="267"/>
      <c r="DG22" s="267"/>
      <c r="DH22" s="267"/>
      <c r="DI22" s="267"/>
      <c r="DJ22" s="267"/>
      <c r="DK22" s="267"/>
      <c r="DL22" s="267"/>
      <c r="DM22" s="267"/>
      <c r="DN22" s="267"/>
      <c r="DO22" s="267"/>
      <c r="DP22" s="267"/>
      <c r="DQ22" s="267"/>
      <c r="DR22" s="267"/>
      <c r="DS22" s="267"/>
      <c r="DT22" s="267"/>
      <c r="DU22" s="267"/>
      <c r="DV22" s="267"/>
      <c r="DW22" s="267"/>
      <c r="DX22" s="267"/>
      <c r="DY22" s="267"/>
      <c r="DZ22" s="267"/>
      <c r="EA22" s="267"/>
      <c r="EB22" s="267"/>
      <c r="EC22" s="267"/>
      <c r="ED22" s="267"/>
      <c r="EE22" s="267"/>
      <c r="EF22" s="267"/>
      <c r="EG22" s="267"/>
      <c r="EH22" s="267"/>
      <c r="EI22" s="267"/>
      <c r="EJ22" s="267"/>
      <c r="EK22" s="267"/>
      <c r="EL22" s="267"/>
      <c r="EM22" s="267"/>
      <c r="EN22" s="267"/>
      <c r="EO22" s="267"/>
      <c r="EP22" s="267"/>
      <c r="EQ22" s="267"/>
      <c r="ER22" s="267"/>
      <c r="ES22" s="267"/>
      <c r="ET22" s="267"/>
      <c r="EU22" s="267"/>
      <c r="EV22" s="267"/>
      <c r="EW22" s="267"/>
      <c r="EX22" s="267"/>
      <c r="EY22" s="267"/>
      <c r="EZ22" s="267"/>
      <c r="FA22" s="267"/>
      <c r="FB22" s="267"/>
      <c r="FC22" s="267"/>
      <c r="FD22" s="267"/>
      <c r="FE22" s="267"/>
      <c r="FF22" s="267"/>
      <c r="FG22" s="267"/>
      <c r="FH22" s="267"/>
      <c r="FI22" s="267"/>
      <c r="FJ22" s="267"/>
      <c r="FK22" s="267"/>
      <c r="FL22" s="267"/>
      <c r="FM22" s="267"/>
      <c r="FN22" s="267"/>
      <c r="FO22" s="267"/>
      <c r="FP22" s="267"/>
      <c r="FQ22" s="267"/>
      <c r="FR22" s="267"/>
      <c r="FS22" s="267"/>
      <c r="FT22" s="267"/>
      <c r="FU22" s="267"/>
      <c r="FV22" s="267"/>
      <c r="FW22" s="267"/>
      <c r="FX22" s="267"/>
      <c r="FY22" s="267"/>
      <c r="FZ22" s="267"/>
      <c r="GA22" s="267"/>
      <c r="GB22" s="267"/>
      <c r="GC22" s="267"/>
      <c r="GD22" s="267"/>
      <c r="GE22" s="267"/>
      <c r="GF22" s="267"/>
      <c r="GG22" s="267"/>
      <c r="GH22" s="267"/>
      <c r="GI22" s="267"/>
      <c r="GJ22" s="267"/>
      <c r="GK22" s="267"/>
      <c r="GL22" s="267"/>
      <c r="GM22" s="267"/>
      <c r="GN22" s="267"/>
      <c r="GO22" s="267"/>
      <c r="GP22" s="267"/>
      <c r="GQ22" s="267"/>
      <c r="GR22" s="267"/>
      <c r="GS22" s="267"/>
      <c r="GT22" s="267"/>
      <c r="GU22" s="267"/>
      <c r="GV22" s="267"/>
      <c r="GW22" s="267"/>
      <c r="GX22" s="267"/>
      <c r="GY22" s="267"/>
      <c r="GZ22" s="267"/>
      <c r="HA22" s="267"/>
      <c r="HB22" s="267"/>
      <c r="HC22" s="267"/>
      <c r="HD22" s="267"/>
      <c r="HE22" s="267"/>
      <c r="HF22" s="267"/>
      <c r="HG22" s="267"/>
      <c r="HH22" s="267"/>
      <c r="HI22" s="267"/>
      <c r="HJ22" s="267"/>
      <c r="HK22" s="267"/>
      <c r="HL22" s="267"/>
      <c r="HM22" s="267"/>
      <c r="HN22" s="267"/>
      <c r="HO22" s="267"/>
      <c r="HP22" s="267"/>
      <c r="HQ22" s="267"/>
      <c r="HR22" s="267"/>
      <c r="HS22" s="267"/>
      <c r="HT22" s="267"/>
      <c r="HU22" s="267"/>
      <c r="HV22" s="267"/>
      <c r="HW22" s="267"/>
      <c r="HX22" s="267"/>
      <c r="HY22" s="267"/>
      <c r="HZ22" s="267"/>
      <c r="IA22" s="267"/>
      <c r="IB22" s="267"/>
      <c r="IC22" s="267"/>
      <c r="ID22" s="267"/>
      <c r="IE22" s="267"/>
      <c r="IF22" s="267"/>
      <c r="IG22" s="267"/>
      <c r="IH22" s="267"/>
      <c r="II22" s="267"/>
      <c r="IJ22" s="267"/>
      <c r="IK22" s="267"/>
      <c r="IL22" s="267"/>
      <c r="IM22" s="267"/>
      <c r="IN22" s="267"/>
      <c r="IO22" s="267"/>
      <c r="IP22" s="267"/>
      <c r="IQ22" s="267"/>
      <c r="IR22" s="267"/>
      <c r="IS22" s="267"/>
      <c r="IT22" s="267"/>
      <c r="IU22" s="267"/>
      <c r="IV22" s="267"/>
      <c r="IW22" s="267"/>
    </row>
    <row r="23" customFormat="false" ht="12" hidden="false" customHeight="true" outlineLevel="0" collapsed="false">
      <c r="A23" s="306"/>
      <c r="B23" s="307"/>
      <c r="C23" s="308"/>
      <c r="D23" s="309"/>
      <c r="E23" s="309"/>
      <c r="F23" s="310"/>
      <c r="G23" s="310"/>
      <c r="H23" s="310"/>
      <c r="I23" s="310"/>
      <c r="J23" s="274"/>
      <c r="K23" s="274"/>
      <c r="L23" s="274"/>
      <c r="M23" s="274"/>
      <c r="N23" s="274"/>
      <c r="O23" s="274"/>
      <c r="P23" s="274"/>
      <c r="Q23" s="308"/>
      <c r="R23" s="310"/>
      <c r="S23" s="310"/>
      <c r="T23" s="310"/>
      <c r="U23" s="310"/>
      <c r="V23" s="310"/>
      <c r="W23" s="310"/>
      <c r="X23" s="310"/>
      <c r="Y23" s="308"/>
      <c r="Z23" s="308"/>
      <c r="AA23" s="311"/>
      <c r="AB23" s="308"/>
      <c r="AC23" s="284"/>
      <c r="AD23" s="266"/>
      <c r="AE23" s="266"/>
      <c r="AF23" s="266"/>
      <c r="AG23" s="266"/>
      <c r="AH23" s="266"/>
      <c r="AI23" s="266"/>
      <c r="AJ23" s="266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67"/>
      <c r="BZ23" s="267"/>
      <c r="CA23" s="267"/>
      <c r="CB23" s="267"/>
      <c r="CC23" s="267"/>
      <c r="CD23" s="267"/>
      <c r="CE23" s="267"/>
      <c r="CF23" s="267"/>
      <c r="CG23" s="267"/>
      <c r="CH23" s="267"/>
      <c r="CI23" s="267"/>
      <c r="CJ23" s="267"/>
      <c r="CK23" s="267"/>
      <c r="CL23" s="267"/>
      <c r="CM23" s="267"/>
      <c r="CN23" s="267"/>
      <c r="CO23" s="267"/>
      <c r="CP23" s="267"/>
      <c r="CQ23" s="267"/>
      <c r="CR23" s="267"/>
      <c r="CS23" s="267"/>
      <c r="CT23" s="267"/>
      <c r="CU23" s="267"/>
      <c r="CV23" s="267"/>
      <c r="CW23" s="267"/>
      <c r="CX23" s="267"/>
      <c r="CY23" s="267"/>
      <c r="CZ23" s="267"/>
      <c r="DA23" s="267"/>
      <c r="DB23" s="267"/>
      <c r="DC23" s="267"/>
      <c r="DD23" s="267"/>
      <c r="DE23" s="267"/>
      <c r="DF23" s="267"/>
      <c r="DG23" s="267"/>
      <c r="DH23" s="267"/>
      <c r="DI23" s="267"/>
      <c r="DJ23" s="267"/>
      <c r="DK23" s="267"/>
      <c r="DL23" s="267"/>
      <c r="DM23" s="267"/>
      <c r="DN23" s="267"/>
      <c r="DO23" s="267"/>
      <c r="DP23" s="267"/>
      <c r="DQ23" s="267"/>
      <c r="DR23" s="267"/>
      <c r="DS23" s="267"/>
      <c r="DT23" s="267"/>
      <c r="DU23" s="267"/>
      <c r="DV23" s="267"/>
      <c r="DW23" s="267"/>
      <c r="DX23" s="267"/>
      <c r="DY23" s="267"/>
      <c r="DZ23" s="267"/>
      <c r="EA23" s="267"/>
      <c r="EB23" s="267"/>
      <c r="EC23" s="267"/>
      <c r="ED23" s="267"/>
      <c r="EE23" s="267"/>
      <c r="EF23" s="267"/>
      <c r="EG23" s="267"/>
      <c r="EH23" s="267"/>
      <c r="EI23" s="267"/>
      <c r="EJ23" s="267"/>
      <c r="EK23" s="267"/>
      <c r="EL23" s="267"/>
      <c r="EM23" s="267"/>
      <c r="EN23" s="267"/>
      <c r="EO23" s="267"/>
      <c r="EP23" s="267"/>
      <c r="EQ23" s="267"/>
      <c r="ER23" s="267"/>
      <c r="ES23" s="267"/>
      <c r="ET23" s="267"/>
      <c r="EU23" s="267"/>
      <c r="EV23" s="267"/>
      <c r="EW23" s="267"/>
      <c r="EX23" s="267"/>
      <c r="EY23" s="267"/>
      <c r="EZ23" s="267"/>
      <c r="FA23" s="267"/>
      <c r="FB23" s="267"/>
      <c r="FC23" s="267"/>
      <c r="FD23" s="267"/>
      <c r="FE23" s="267"/>
      <c r="FF23" s="267"/>
      <c r="FG23" s="267"/>
      <c r="FH23" s="267"/>
      <c r="FI23" s="267"/>
      <c r="FJ23" s="267"/>
      <c r="FK23" s="267"/>
      <c r="FL23" s="267"/>
      <c r="FM23" s="267"/>
      <c r="FN23" s="267"/>
      <c r="FO23" s="267"/>
      <c r="FP23" s="267"/>
      <c r="FQ23" s="267"/>
      <c r="FR23" s="267"/>
      <c r="FS23" s="267"/>
      <c r="FT23" s="267"/>
      <c r="FU23" s="267"/>
      <c r="FV23" s="267"/>
      <c r="FW23" s="267"/>
      <c r="FX23" s="267"/>
      <c r="FY23" s="267"/>
      <c r="FZ23" s="267"/>
      <c r="GA23" s="267"/>
      <c r="GB23" s="267"/>
      <c r="GC23" s="267"/>
      <c r="GD23" s="267"/>
      <c r="GE23" s="267"/>
      <c r="GF23" s="267"/>
      <c r="GG23" s="267"/>
      <c r="GH23" s="267"/>
      <c r="GI23" s="267"/>
      <c r="GJ23" s="267"/>
      <c r="GK23" s="267"/>
      <c r="GL23" s="267"/>
      <c r="GM23" s="267"/>
      <c r="GN23" s="267"/>
      <c r="GO23" s="267"/>
      <c r="GP23" s="267"/>
      <c r="GQ23" s="267"/>
      <c r="GR23" s="267"/>
      <c r="GS23" s="267"/>
      <c r="GT23" s="267"/>
      <c r="GU23" s="267"/>
      <c r="GV23" s="267"/>
      <c r="GW23" s="267"/>
      <c r="GX23" s="267"/>
      <c r="GY23" s="267"/>
      <c r="GZ23" s="267"/>
      <c r="HA23" s="267"/>
      <c r="HB23" s="267"/>
      <c r="HC23" s="267"/>
      <c r="HD23" s="267"/>
      <c r="HE23" s="267"/>
      <c r="HF23" s="267"/>
      <c r="HG23" s="267"/>
      <c r="HH23" s="267"/>
      <c r="HI23" s="267"/>
      <c r="HJ23" s="267"/>
      <c r="HK23" s="267"/>
      <c r="HL23" s="267"/>
      <c r="HM23" s="267"/>
      <c r="HN23" s="267"/>
      <c r="HO23" s="267"/>
      <c r="HP23" s="267"/>
      <c r="HQ23" s="267"/>
      <c r="HR23" s="267"/>
      <c r="HS23" s="267"/>
      <c r="HT23" s="267"/>
      <c r="HU23" s="267"/>
      <c r="HV23" s="267"/>
      <c r="HW23" s="267"/>
      <c r="HX23" s="267"/>
      <c r="HY23" s="267"/>
      <c r="HZ23" s="267"/>
      <c r="IA23" s="267"/>
      <c r="IB23" s="267"/>
      <c r="IC23" s="267"/>
      <c r="ID23" s="267"/>
      <c r="IE23" s="267"/>
      <c r="IF23" s="267"/>
      <c r="IG23" s="267"/>
      <c r="IH23" s="267"/>
      <c r="II23" s="267"/>
      <c r="IJ23" s="267"/>
      <c r="IK23" s="267"/>
      <c r="IL23" s="267"/>
      <c r="IM23" s="267"/>
      <c r="IN23" s="267"/>
      <c r="IO23" s="267"/>
      <c r="IP23" s="267"/>
      <c r="IQ23" s="267"/>
      <c r="IR23" s="267"/>
      <c r="IS23" s="267"/>
      <c r="IT23" s="267"/>
      <c r="IU23" s="267"/>
      <c r="IV23" s="267"/>
      <c r="IW23" s="267"/>
    </row>
    <row r="24" customFormat="false" ht="12" hidden="false" customHeight="true" outlineLevel="0" collapsed="false">
      <c r="A24" s="288" t="s">
        <v>266</v>
      </c>
      <c r="B24" s="289"/>
      <c r="C24" s="290"/>
      <c r="D24" s="290" t="n">
        <f aca="false">'E. VaR &amp; Peak Pos By Trader'!E24</f>
        <v>524861.567014398</v>
      </c>
      <c r="E24" s="291" t="n">
        <f aca="false">'E. VaR &amp; Peak Pos By Trader'!F24</f>
        <v>28821.0614595301</v>
      </c>
      <c r="F24" s="292" t="n">
        <f aca="false">SUM(F14:F22)</f>
        <v>0</v>
      </c>
      <c r="G24" s="292" t="n">
        <f aca="false">SUM(G14:G22)</f>
        <v>0</v>
      </c>
      <c r="H24" s="292" t="n">
        <f aca="false">SUM(H14:H22)</f>
        <v>0</v>
      </c>
      <c r="I24" s="292" t="n">
        <f aca="false">SUM(I14:I22)</f>
        <v>0</v>
      </c>
      <c r="J24" s="292" t="n">
        <f aca="false">SUM(J14:J22)</f>
        <v>0</v>
      </c>
      <c r="K24" s="292" t="n">
        <f aca="false">SUM(K14:K22)</f>
        <v>0</v>
      </c>
      <c r="L24" s="292" t="n">
        <f aca="false">SUM(L14:L22)</f>
        <v>0</v>
      </c>
      <c r="M24" s="292" t="n">
        <f aca="false">SUM(M14:M22)</f>
        <v>0</v>
      </c>
      <c r="N24" s="292" t="n">
        <f aca="false">SUM(N14:N22)</f>
        <v>0</v>
      </c>
      <c r="O24" s="292" t="n">
        <f aca="false">SUM(O14:O22)</f>
        <v>-8.10251861645006</v>
      </c>
      <c r="P24" s="292" t="n">
        <f aca="false">SUM(P14:P22)</f>
        <v>-1109.02164256249</v>
      </c>
      <c r="Q24" s="312" t="n">
        <f aca="false">SUM(Q14:Q22)</f>
        <v>-1117.12416117894</v>
      </c>
      <c r="R24" s="313" t="n">
        <f aca="false">SUM(R14:R22)</f>
        <v>0</v>
      </c>
      <c r="S24" s="310" t="n">
        <f aca="false">SUM(S14:S22)</f>
        <v>0</v>
      </c>
      <c r="T24" s="310" t="n">
        <f aca="false">SUM(T14:T22)</f>
        <v>0</v>
      </c>
      <c r="U24" s="310" t="n">
        <f aca="false">SUM(U14:U22)</f>
        <v>0</v>
      </c>
      <c r="V24" s="310" t="n">
        <f aca="false">SUM(V14:V22)</f>
        <v>0</v>
      </c>
      <c r="W24" s="310" t="n">
        <f aca="false">SUM(W14:W22)</f>
        <v>0</v>
      </c>
      <c r="X24" s="310" t="n">
        <f aca="false">SUM(X14:X22)</f>
        <v>0</v>
      </c>
      <c r="Y24" s="308" t="n">
        <f aca="false">SUM(Y14:Y22)</f>
        <v>0</v>
      </c>
      <c r="Z24" s="291" t="n">
        <f aca="false">SUM(Z14:Z22)</f>
        <v>0</v>
      </c>
      <c r="AA24" s="291" t="n">
        <f aca="false">SUM(AA14:AA22)</f>
        <v>0</v>
      </c>
      <c r="AB24" s="291" t="n">
        <f aca="false">SUM(AB14:AB22)</f>
        <v>-1117.12416117894</v>
      </c>
      <c r="AC24" s="284"/>
      <c r="AD24" s="266"/>
      <c r="AE24" s="266"/>
      <c r="AF24" s="266"/>
      <c r="AG24" s="266"/>
      <c r="AH24" s="266"/>
      <c r="AI24" s="266"/>
      <c r="AJ24" s="266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  <c r="IT24" s="267"/>
      <c r="IU24" s="267"/>
      <c r="IV24" s="267"/>
      <c r="IW24" s="267"/>
    </row>
    <row r="25" customFormat="false" ht="12" hidden="false" customHeight="true" outlineLevel="0" collapsed="false">
      <c r="A25" s="272"/>
      <c r="B25" s="271"/>
      <c r="C25" s="28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66"/>
      <c r="AE25" s="266"/>
      <c r="AF25" s="266"/>
      <c r="AG25" s="266"/>
      <c r="AH25" s="266"/>
      <c r="AI25" s="266"/>
      <c r="AJ25" s="266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  <c r="CA25" s="267"/>
      <c r="CB25" s="267"/>
      <c r="CC25" s="267"/>
      <c r="CD25" s="267"/>
      <c r="CE25" s="267"/>
      <c r="CF25" s="267"/>
      <c r="CG25" s="267"/>
      <c r="CH25" s="267"/>
      <c r="CI25" s="267"/>
      <c r="CJ25" s="267"/>
      <c r="CK25" s="267"/>
      <c r="CL25" s="267"/>
      <c r="CM25" s="267"/>
      <c r="CN25" s="267"/>
      <c r="CO25" s="267"/>
      <c r="CP25" s="267"/>
      <c r="CQ25" s="267"/>
      <c r="CR25" s="267"/>
      <c r="CS25" s="267"/>
      <c r="CT25" s="267"/>
      <c r="CU25" s="267"/>
      <c r="CV25" s="267"/>
      <c r="CW25" s="267"/>
      <c r="CX25" s="267"/>
      <c r="CY25" s="267"/>
      <c r="CZ25" s="267"/>
      <c r="DA25" s="267"/>
      <c r="DB25" s="267"/>
      <c r="DC25" s="267"/>
      <c r="DD25" s="267"/>
      <c r="DE25" s="267"/>
      <c r="DF25" s="267"/>
      <c r="DG25" s="267"/>
      <c r="DH25" s="267"/>
      <c r="DI25" s="267"/>
      <c r="DJ25" s="267"/>
      <c r="DK25" s="267"/>
      <c r="DL25" s="267"/>
      <c r="DM25" s="267"/>
      <c r="DN25" s="267"/>
      <c r="DO25" s="267"/>
      <c r="DP25" s="267"/>
      <c r="DQ25" s="267"/>
      <c r="DR25" s="267"/>
      <c r="DS25" s="267"/>
      <c r="DT25" s="267"/>
      <c r="DU25" s="267"/>
      <c r="DV25" s="267"/>
      <c r="DW25" s="267"/>
      <c r="DX25" s="267"/>
      <c r="DY25" s="267"/>
      <c r="DZ25" s="267"/>
      <c r="EA25" s="267"/>
      <c r="EB25" s="267"/>
      <c r="EC25" s="267"/>
      <c r="ED25" s="267"/>
      <c r="EE25" s="267"/>
      <c r="EF25" s="267"/>
      <c r="EG25" s="267"/>
      <c r="EH25" s="267"/>
      <c r="EI25" s="267"/>
      <c r="EJ25" s="267"/>
      <c r="EK25" s="267"/>
      <c r="EL25" s="267"/>
      <c r="EM25" s="267"/>
      <c r="EN25" s="267"/>
      <c r="EO25" s="267"/>
      <c r="EP25" s="267"/>
      <c r="EQ25" s="267"/>
      <c r="ER25" s="267"/>
      <c r="ES25" s="267"/>
      <c r="ET25" s="267"/>
      <c r="EU25" s="267"/>
      <c r="EV25" s="267"/>
      <c r="EW25" s="267"/>
      <c r="EX25" s="267"/>
      <c r="EY25" s="267"/>
      <c r="EZ25" s="267"/>
      <c r="FA25" s="267"/>
      <c r="FB25" s="267"/>
      <c r="FC25" s="267"/>
      <c r="FD25" s="267"/>
      <c r="FE25" s="267"/>
      <c r="FF25" s="267"/>
      <c r="FG25" s="267"/>
      <c r="FH25" s="267"/>
      <c r="FI25" s="267"/>
      <c r="FJ25" s="267"/>
      <c r="FK25" s="267"/>
      <c r="FL25" s="267"/>
      <c r="FM25" s="267"/>
      <c r="FN25" s="267"/>
      <c r="FO25" s="267"/>
      <c r="FP25" s="267"/>
      <c r="FQ25" s="267"/>
      <c r="FR25" s="267"/>
      <c r="FS25" s="267"/>
      <c r="FT25" s="267"/>
      <c r="FU25" s="267"/>
      <c r="FV25" s="267"/>
      <c r="FW25" s="267"/>
      <c r="FX25" s="267"/>
      <c r="FY25" s="267"/>
      <c r="FZ25" s="267"/>
      <c r="GA25" s="267"/>
      <c r="GB25" s="267"/>
      <c r="GC25" s="267"/>
      <c r="GD25" s="267"/>
      <c r="GE25" s="267"/>
      <c r="GF25" s="267"/>
      <c r="GG25" s="267"/>
      <c r="GH25" s="267"/>
      <c r="GI25" s="267"/>
      <c r="GJ25" s="267"/>
      <c r="GK25" s="267"/>
      <c r="GL25" s="267"/>
      <c r="GM25" s="267"/>
      <c r="GN25" s="267"/>
      <c r="GO25" s="267"/>
      <c r="GP25" s="267"/>
      <c r="GQ25" s="267"/>
      <c r="GR25" s="267"/>
      <c r="GS25" s="267"/>
      <c r="GT25" s="267"/>
      <c r="GU25" s="267"/>
      <c r="GV25" s="267"/>
      <c r="GW25" s="267"/>
      <c r="GX25" s="267"/>
      <c r="GY25" s="267"/>
      <c r="GZ25" s="267"/>
      <c r="HA25" s="267"/>
      <c r="HB25" s="267"/>
      <c r="HC25" s="267"/>
      <c r="HD25" s="267"/>
      <c r="HE25" s="267"/>
      <c r="HF25" s="267"/>
      <c r="HG25" s="267"/>
      <c r="HH25" s="267"/>
      <c r="HI25" s="267"/>
      <c r="HJ25" s="267"/>
      <c r="HK25" s="267"/>
      <c r="HL25" s="267"/>
      <c r="HM25" s="267"/>
      <c r="HN25" s="267"/>
      <c r="HO25" s="267"/>
      <c r="HP25" s="267"/>
      <c r="HQ25" s="267"/>
      <c r="HR25" s="267"/>
      <c r="HS25" s="267"/>
      <c r="HT25" s="267"/>
      <c r="HU25" s="267"/>
      <c r="HV25" s="267"/>
      <c r="HW25" s="267"/>
      <c r="HX25" s="267"/>
      <c r="HY25" s="267"/>
      <c r="HZ25" s="267"/>
      <c r="IA25" s="267"/>
      <c r="IB25" s="267"/>
      <c r="IC25" s="267"/>
      <c r="ID25" s="267"/>
      <c r="IE25" s="267"/>
      <c r="IF25" s="267"/>
      <c r="IG25" s="267"/>
      <c r="IH25" s="267"/>
      <c r="II25" s="267"/>
      <c r="IJ25" s="267"/>
      <c r="IK25" s="267"/>
      <c r="IL25" s="267"/>
      <c r="IM25" s="267"/>
      <c r="IN25" s="267"/>
      <c r="IO25" s="267"/>
      <c r="IP25" s="267"/>
      <c r="IQ25" s="267"/>
      <c r="IR25" s="267"/>
      <c r="IS25" s="267"/>
      <c r="IT25" s="267"/>
      <c r="IU25" s="267"/>
      <c r="IV25" s="267"/>
      <c r="IW25" s="267"/>
    </row>
    <row r="26" customFormat="false" ht="12" hidden="false" customHeight="true" outlineLevel="0" collapsed="false">
      <c r="A26" s="276"/>
      <c r="B26" s="277"/>
      <c r="C26" s="279" t="s">
        <v>26</v>
      </c>
      <c r="D26" s="279" t="n">
        <f aca="false">'E. VaR &amp; Peak Pos By Trader'!E26</f>
        <v>12000000</v>
      </c>
      <c r="E26" s="280"/>
      <c r="F26" s="281"/>
      <c r="G26" s="281"/>
      <c r="H26" s="281"/>
      <c r="I26" s="281" t="s">
        <v>61</v>
      </c>
      <c r="J26" s="281"/>
      <c r="K26" s="281"/>
      <c r="L26" s="281"/>
      <c r="M26" s="281"/>
      <c r="N26" s="281"/>
      <c r="O26" s="281"/>
      <c r="P26" s="281"/>
      <c r="Q26" s="298"/>
      <c r="R26" s="298"/>
      <c r="S26" s="281"/>
      <c r="T26" s="281"/>
      <c r="U26" s="281"/>
      <c r="V26" s="281"/>
      <c r="W26" s="281"/>
      <c r="X26" s="281"/>
      <c r="Y26" s="279"/>
      <c r="Z26" s="281"/>
      <c r="AA26" s="279"/>
      <c r="AB26" s="280"/>
      <c r="AC26" s="265"/>
      <c r="AD26" s="266"/>
      <c r="AE26" s="266"/>
      <c r="AF26" s="266"/>
      <c r="AG26" s="266"/>
      <c r="AH26" s="266"/>
      <c r="AI26" s="266"/>
      <c r="AJ26" s="266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  <c r="CB26" s="267"/>
      <c r="CC26" s="267"/>
      <c r="CD26" s="267"/>
      <c r="CE26" s="267"/>
      <c r="CF26" s="267"/>
      <c r="CG26" s="267"/>
      <c r="CH26" s="267"/>
      <c r="CI26" s="267"/>
      <c r="CJ26" s="267"/>
      <c r="CK26" s="267"/>
      <c r="CL26" s="267"/>
      <c r="CM26" s="267"/>
      <c r="CN26" s="267"/>
      <c r="CO26" s="267"/>
      <c r="CP26" s="267"/>
      <c r="CQ26" s="267"/>
      <c r="CR26" s="267"/>
      <c r="CS26" s="267"/>
      <c r="CT26" s="267"/>
      <c r="CU26" s="267"/>
      <c r="CV26" s="267"/>
      <c r="CW26" s="267"/>
      <c r="CX26" s="267"/>
      <c r="CY26" s="267"/>
      <c r="CZ26" s="267"/>
      <c r="DA26" s="267"/>
      <c r="DB26" s="267"/>
      <c r="DC26" s="267"/>
      <c r="DD26" s="267"/>
      <c r="DE26" s="267"/>
      <c r="DF26" s="267"/>
      <c r="DG26" s="267"/>
      <c r="DH26" s="267"/>
      <c r="DI26" s="267"/>
      <c r="DJ26" s="267"/>
      <c r="DK26" s="267"/>
      <c r="DL26" s="267"/>
      <c r="DM26" s="267"/>
      <c r="DN26" s="267"/>
      <c r="DO26" s="267"/>
      <c r="DP26" s="267"/>
      <c r="DQ26" s="267"/>
      <c r="DR26" s="267"/>
      <c r="DS26" s="267"/>
      <c r="DT26" s="267"/>
      <c r="DU26" s="267"/>
      <c r="DV26" s="267"/>
      <c r="DW26" s="267"/>
      <c r="DX26" s="267"/>
      <c r="DY26" s="267"/>
      <c r="DZ26" s="267"/>
      <c r="EA26" s="267"/>
      <c r="EB26" s="267"/>
      <c r="EC26" s="267"/>
      <c r="ED26" s="267"/>
      <c r="EE26" s="267"/>
      <c r="EF26" s="267"/>
      <c r="EG26" s="267"/>
      <c r="EH26" s="267"/>
      <c r="EI26" s="267"/>
      <c r="EJ26" s="267"/>
      <c r="EK26" s="267"/>
      <c r="EL26" s="267"/>
      <c r="EM26" s="267"/>
      <c r="EN26" s="267"/>
      <c r="EO26" s="267"/>
      <c r="EP26" s="267"/>
      <c r="EQ26" s="267"/>
      <c r="ER26" s="267"/>
      <c r="ES26" s="267"/>
      <c r="ET26" s="267"/>
      <c r="EU26" s="267"/>
      <c r="EV26" s="267"/>
      <c r="EW26" s="267"/>
      <c r="EX26" s="267"/>
      <c r="EY26" s="267"/>
      <c r="EZ26" s="267"/>
      <c r="FA26" s="267"/>
      <c r="FB26" s="267"/>
      <c r="FC26" s="267"/>
      <c r="FD26" s="267"/>
      <c r="FE26" s="267"/>
      <c r="FF26" s="267"/>
      <c r="FG26" s="267"/>
      <c r="FH26" s="267"/>
      <c r="FI26" s="267"/>
      <c r="FJ26" s="267"/>
      <c r="FK26" s="267"/>
      <c r="FL26" s="267"/>
      <c r="FM26" s="267"/>
      <c r="FN26" s="267"/>
      <c r="FO26" s="267"/>
      <c r="FP26" s="267"/>
      <c r="FQ26" s="267"/>
      <c r="FR26" s="267"/>
      <c r="FS26" s="267"/>
      <c r="FT26" s="267"/>
      <c r="FU26" s="267"/>
      <c r="FV26" s="267"/>
      <c r="FW26" s="267"/>
      <c r="FX26" s="267"/>
      <c r="FY26" s="267"/>
      <c r="FZ26" s="267"/>
      <c r="GA26" s="267"/>
      <c r="GB26" s="267"/>
      <c r="GC26" s="267"/>
      <c r="GD26" s="267"/>
      <c r="GE26" s="267"/>
      <c r="GF26" s="267"/>
      <c r="GG26" s="267"/>
      <c r="GH26" s="267"/>
      <c r="GI26" s="267"/>
      <c r="GJ26" s="267"/>
      <c r="GK26" s="267"/>
      <c r="GL26" s="267"/>
      <c r="GM26" s="267"/>
      <c r="GN26" s="267"/>
      <c r="GO26" s="267"/>
      <c r="GP26" s="267"/>
      <c r="GQ26" s="267"/>
      <c r="GR26" s="267"/>
      <c r="GS26" s="267"/>
      <c r="GT26" s="267"/>
      <c r="GU26" s="267"/>
      <c r="GV26" s="267"/>
      <c r="GW26" s="267"/>
      <c r="GX26" s="267"/>
      <c r="GY26" s="267"/>
      <c r="GZ26" s="267"/>
      <c r="HA26" s="267"/>
      <c r="HB26" s="267"/>
      <c r="HC26" s="267"/>
      <c r="HD26" s="267"/>
      <c r="HE26" s="267"/>
      <c r="HF26" s="267"/>
      <c r="HG26" s="267"/>
      <c r="HH26" s="267"/>
      <c r="HI26" s="267"/>
      <c r="HJ26" s="267"/>
      <c r="HK26" s="267"/>
      <c r="HL26" s="267"/>
      <c r="HM26" s="267"/>
      <c r="HN26" s="267"/>
      <c r="HO26" s="267"/>
      <c r="HP26" s="267"/>
      <c r="HQ26" s="267"/>
      <c r="HR26" s="267"/>
      <c r="HS26" s="267"/>
      <c r="HT26" s="267"/>
      <c r="HU26" s="267"/>
      <c r="HV26" s="267"/>
      <c r="HW26" s="267"/>
      <c r="HX26" s="267"/>
      <c r="HY26" s="267"/>
      <c r="HZ26" s="267"/>
      <c r="IA26" s="267"/>
      <c r="IB26" s="267"/>
      <c r="IC26" s="267"/>
      <c r="ID26" s="267"/>
      <c r="IE26" s="267"/>
      <c r="IF26" s="267"/>
      <c r="IG26" s="267"/>
      <c r="IH26" s="267"/>
      <c r="II26" s="267"/>
      <c r="IJ26" s="267"/>
      <c r="IK26" s="267"/>
      <c r="IL26" s="267"/>
      <c r="IM26" s="267"/>
      <c r="IN26" s="267"/>
      <c r="IO26" s="267"/>
      <c r="IP26" s="267"/>
      <c r="IQ26" s="267"/>
      <c r="IR26" s="267"/>
      <c r="IS26" s="267"/>
      <c r="IT26" s="267"/>
      <c r="IU26" s="267"/>
      <c r="IV26" s="267"/>
      <c r="IW26" s="267"/>
    </row>
    <row r="27" customFormat="false" ht="12" hidden="false" customHeight="true" outlineLevel="0" collapsed="false">
      <c r="A27" s="314"/>
      <c r="B27" s="271"/>
      <c r="C27" s="302"/>
      <c r="D27" s="315"/>
      <c r="E27" s="301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86"/>
      <c r="R27" s="286"/>
      <c r="S27" s="284"/>
      <c r="T27" s="284"/>
      <c r="U27" s="284"/>
      <c r="V27" s="284"/>
      <c r="W27" s="284"/>
      <c r="X27" s="284"/>
      <c r="Y27" s="302"/>
      <c r="Z27" s="301"/>
      <c r="AA27" s="301"/>
      <c r="AB27" s="287"/>
      <c r="AC27" s="265"/>
      <c r="AD27" s="266"/>
      <c r="AE27" s="266"/>
      <c r="AF27" s="266"/>
      <c r="AG27" s="266"/>
      <c r="AH27" s="266"/>
      <c r="AI27" s="266"/>
      <c r="AJ27" s="266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67"/>
      <c r="CB27" s="267"/>
      <c r="CC27" s="267"/>
      <c r="CD27" s="267"/>
      <c r="CE27" s="267"/>
      <c r="CF27" s="267"/>
      <c r="CG27" s="267"/>
      <c r="CH27" s="267"/>
      <c r="CI27" s="267"/>
      <c r="CJ27" s="267"/>
      <c r="CK27" s="267"/>
      <c r="CL27" s="267"/>
      <c r="CM27" s="267"/>
      <c r="CN27" s="267"/>
      <c r="CO27" s="267"/>
      <c r="CP27" s="267"/>
      <c r="CQ27" s="267"/>
      <c r="CR27" s="267"/>
      <c r="CS27" s="267"/>
      <c r="CT27" s="267"/>
      <c r="CU27" s="267"/>
      <c r="CV27" s="267"/>
      <c r="CW27" s="267"/>
      <c r="CX27" s="267"/>
      <c r="CY27" s="267"/>
      <c r="CZ27" s="267"/>
      <c r="DA27" s="267"/>
      <c r="DB27" s="267"/>
      <c r="DC27" s="267"/>
      <c r="DD27" s="267"/>
      <c r="DE27" s="267"/>
      <c r="DF27" s="267"/>
      <c r="DG27" s="267"/>
      <c r="DH27" s="267"/>
      <c r="DI27" s="267"/>
      <c r="DJ27" s="267"/>
      <c r="DK27" s="267"/>
      <c r="DL27" s="267"/>
      <c r="DM27" s="267"/>
      <c r="DN27" s="267"/>
      <c r="DO27" s="267"/>
      <c r="DP27" s="267"/>
      <c r="DQ27" s="267"/>
      <c r="DR27" s="267"/>
      <c r="DS27" s="267"/>
      <c r="DT27" s="267"/>
      <c r="DU27" s="267"/>
      <c r="DV27" s="267"/>
      <c r="DW27" s="267"/>
      <c r="DX27" s="267"/>
      <c r="DY27" s="267"/>
      <c r="DZ27" s="267"/>
      <c r="EA27" s="267"/>
      <c r="EB27" s="267"/>
      <c r="EC27" s="267"/>
      <c r="ED27" s="267"/>
      <c r="EE27" s="267"/>
      <c r="EF27" s="267"/>
      <c r="EG27" s="267"/>
      <c r="EH27" s="267"/>
      <c r="EI27" s="267"/>
      <c r="EJ27" s="267"/>
      <c r="EK27" s="267"/>
      <c r="EL27" s="267"/>
      <c r="EM27" s="267"/>
      <c r="EN27" s="267"/>
      <c r="EO27" s="267"/>
      <c r="EP27" s="267"/>
      <c r="EQ27" s="267"/>
      <c r="ER27" s="267"/>
      <c r="ES27" s="267"/>
      <c r="ET27" s="267"/>
      <c r="EU27" s="267"/>
      <c r="EV27" s="267"/>
      <c r="EW27" s="267"/>
      <c r="EX27" s="267"/>
      <c r="EY27" s="267"/>
      <c r="EZ27" s="267"/>
      <c r="FA27" s="267"/>
      <c r="FB27" s="267"/>
      <c r="FC27" s="267"/>
      <c r="FD27" s="267"/>
      <c r="FE27" s="267"/>
      <c r="FF27" s="267"/>
      <c r="FG27" s="267"/>
      <c r="FH27" s="267"/>
      <c r="FI27" s="267"/>
      <c r="FJ27" s="267"/>
      <c r="FK27" s="267"/>
      <c r="FL27" s="267"/>
      <c r="FM27" s="267"/>
      <c r="FN27" s="267"/>
      <c r="FO27" s="267"/>
      <c r="FP27" s="267"/>
      <c r="FQ27" s="267"/>
      <c r="FR27" s="267"/>
      <c r="FS27" s="267"/>
      <c r="FT27" s="267"/>
      <c r="FU27" s="267"/>
      <c r="FV27" s="267"/>
      <c r="FW27" s="267"/>
      <c r="FX27" s="267"/>
      <c r="FY27" s="267"/>
      <c r="FZ27" s="267"/>
      <c r="GA27" s="267"/>
      <c r="GB27" s="267"/>
      <c r="GC27" s="267"/>
      <c r="GD27" s="267"/>
      <c r="GE27" s="267"/>
      <c r="GF27" s="267"/>
      <c r="GG27" s="267"/>
      <c r="GH27" s="267"/>
      <c r="GI27" s="267"/>
      <c r="GJ27" s="267"/>
      <c r="GK27" s="267"/>
      <c r="GL27" s="267"/>
      <c r="GM27" s="267"/>
      <c r="GN27" s="267"/>
      <c r="GO27" s="267"/>
      <c r="GP27" s="267"/>
      <c r="GQ27" s="267"/>
      <c r="GR27" s="267"/>
      <c r="GS27" s="267"/>
      <c r="GT27" s="267"/>
      <c r="GU27" s="267"/>
      <c r="GV27" s="267"/>
      <c r="GW27" s="267"/>
      <c r="GX27" s="267"/>
      <c r="GY27" s="267"/>
      <c r="GZ27" s="267"/>
      <c r="HA27" s="267"/>
      <c r="HB27" s="267"/>
      <c r="HC27" s="267"/>
      <c r="HD27" s="267"/>
      <c r="HE27" s="267"/>
      <c r="HF27" s="267"/>
      <c r="HG27" s="267"/>
      <c r="HH27" s="267"/>
      <c r="HI27" s="267"/>
      <c r="HJ27" s="267"/>
      <c r="HK27" s="267"/>
      <c r="HL27" s="267"/>
      <c r="HM27" s="267"/>
      <c r="HN27" s="267"/>
      <c r="HO27" s="267"/>
      <c r="HP27" s="267"/>
      <c r="HQ27" s="267"/>
      <c r="HR27" s="267"/>
      <c r="HS27" s="267"/>
      <c r="HT27" s="267"/>
      <c r="HU27" s="267"/>
      <c r="HV27" s="267"/>
      <c r="HW27" s="267"/>
      <c r="HX27" s="267"/>
      <c r="HY27" s="267"/>
      <c r="HZ27" s="267"/>
      <c r="IA27" s="267"/>
      <c r="IB27" s="267"/>
      <c r="IC27" s="267"/>
      <c r="ID27" s="267"/>
      <c r="IE27" s="267"/>
      <c r="IF27" s="267"/>
      <c r="IG27" s="267"/>
      <c r="IH27" s="267"/>
      <c r="II27" s="267"/>
      <c r="IJ27" s="267"/>
      <c r="IK27" s="267"/>
      <c r="IL27" s="267"/>
      <c r="IM27" s="267"/>
      <c r="IN27" s="267"/>
      <c r="IO27" s="267"/>
      <c r="IP27" s="267"/>
      <c r="IQ27" s="267"/>
      <c r="IR27" s="267"/>
      <c r="IS27" s="267"/>
      <c r="IT27" s="267"/>
      <c r="IU27" s="267"/>
      <c r="IV27" s="267"/>
      <c r="IW27" s="267"/>
    </row>
    <row r="28" customFormat="false" ht="12" hidden="false" customHeight="true" outlineLevel="0" collapsed="false">
      <c r="A28" s="294" t="s">
        <v>62</v>
      </c>
      <c r="B28" s="271" t="s">
        <v>63</v>
      </c>
      <c r="C28" s="302" t="s">
        <v>65</v>
      </c>
      <c r="D28" s="315" t="n">
        <f aca="false">'E. VaR &amp; Peak Pos By Trader'!E28</f>
        <v>9873431.09335824</v>
      </c>
      <c r="E28" s="316" t="n">
        <f aca="false">'E. VaR &amp; Peak Pos By Trader'!F28</f>
        <v>489081.91067669</v>
      </c>
      <c r="F28" s="274" t="n">
        <f aca="false">VLOOKUP($B28,'[3]Delta Monthly'!$A$1:$AW$55,5,1)</f>
        <v>0</v>
      </c>
      <c r="G28" s="274" t="n">
        <f aca="false">VLOOKUP($B28,'[3]Delta Monthly'!$A$1:$AW$55,7,1)</f>
        <v>0</v>
      </c>
      <c r="H28" s="274" t="n">
        <f aca="false">VLOOKUP($B28,'[3]Delta Monthly'!$A$1:$AW$55,9,1)</f>
        <v>0</v>
      </c>
      <c r="I28" s="274" t="n">
        <f aca="false">VLOOKUP($B28,'[3]Delta Monthly'!$A$1:$AW$55,11,1)</f>
        <v>0</v>
      </c>
      <c r="J28" s="274" t="n">
        <f aca="false">VLOOKUP($B28,'[3]Delta Monthly'!$A$1:$AW$55,13,0)</f>
        <v>0</v>
      </c>
      <c r="K28" s="274" t="n">
        <f aca="false">VLOOKUP($B28,'[3]Delta Monthly'!$A$1:$AW$55,15,0)</f>
        <v>0</v>
      </c>
      <c r="L28" s="274" t="n">
        <f aca="false">+VLOOKUP($B28,'[3]Delta Monthly'!$A$1:$AW$55,17,0)</f>
        <v>0</v>
      </c>
      <c r="M28" s="274" t="n">
        <f aca="false">VLOOKUP($B28,'[3]Delta Monthly'!$A$1:$AW$55,19,0)</f>
        <v>0</v>
      </c>
      <c r="N28" s="274" t="n">
        <f aca="false">VLOOKUP($B28,'[3]Delta Monthly'!$A$1:$AW$55,21,FALSE())</f>
        <v>0</v>
      </c>
      <c r="O28" s="274" t="n">
        <f aca="false">VLOOKUP($B28,'[3]Delta Monthly'!$A$1:$AW$55,23,FALSE())</f>
        <v>10785.6384829987</v>
      </c>
      <c r="P28" s="274" t="n">
        <f aca="false">VLOOKUP($B28,'[3]Delta Monthly'!$A$1:$AW$55,25,FALSE())</f>
        <v>54584.2937962629</v>
      </c>
      <c r="Q28" s="286" t="n">
        <f aca="false">SUM(F28:P28)</f>
        <v>65369.9322792616</v>
      </c>
      <c r="R28" s="305" t="n">
        <f aca="false">VLOOKUP($B28,'[3]Delta Monthly'!$A$1:$AW$55,27,0)+VLOOKUP($B28,'[3]Delta Monthly'!$A$1:$AW$55,29,0)</f>
        <v>-312408.215206581</v>
      </c>
      <c r="S28" s="274" t="n">
        <f aca="false">VLOOKUP($B28,'[3]Delta Monthly'!$A$1:$AW$55,31,0)+VLOOKUP($B28,'[3]Delta Monthly'!$A$1:$AW$55,33,0)</f>
        <v>-439322.35543535</v>
      </c>
      <c r="T28" s="274" t="n">
        <f aca="false">VLOOKUP($B28,'[3]Delta Monthly'!$A$1:$AW$55,35,0)</f>
        <v>-47455.4191358773</v>
      </c>
      <c r="U28" s="274" t="n">
        <f aca="false">VLOOKUP($B28,'[3]Delta Monthly'!$A$1:$AW$55,37,0)</f>
        <v>-48832.8539882515</v>
      </c>
      <c r="V28" s="274" t="n">
        <f aca="false">VLOOKUP($B28,'[3]Delta Monthly'!$A$1:$AW$55,39,0)+VLOOKUP($B28,'[3]Delta Monthly'!$A$1:$AW$55,41,0)</f>
        <v>-16930.4479529466</v>
      </c>
      <c r="W28" s="274" t="n">
        <f aca="false">VLOOKUP($B28,'[3]Delta Monthly'!$A$1:$AW$55,43,0)</f>
        <v>-87606.5107822329</v>
      </c>
      <c r="X28" s="274" t="n">
        <f aca="false">VLOOKUP($B28,'[3]Delta Monthly'!$A$1:$AW$55,45,0)+VLOOKUP($B28,'[3]Delta Monthly'!$A$1:$AW$55,47,0)+VLOOKUP($B28,'[3]Delta Monthly'!$A$1:$AW$55,49,0)</f>
        <v>-253452.831811456</v>
      </c>
      <c r="Y28" s="302" t="n">
        <f aca="false">SUM(R28:X28)</f>
        <v>-1206008.6343127</v>
      </c>
      <c r="Z28" s="287" t="n">
        <f aca="false">VLOOKUP($B28,'[5]Delta Yearly'!$A$1:$AC$55,5,0)</f>
        <v>-1990987.5546057</v>
      </c>
      <c r="AA28" s="287" t="n">
        <f aca="false">VLOOKUP($B28,'[5]Delta Yearly'!$A$1:$AC$55,7,FALSE())+VLOOKUP($B28,'[5]Delta Yearly'!$A$1:$AC$55,9,FALSE())+VLOOKUP($B28,'[5]Delta Yearly'!$A$1:$AC$55,11,FALSE())+VLOOKUP($B28,'[5]Delta Yearly'!$A$1:$AC$55,13,FALSE())+VLOOKUP($B28,'[5]Delta Yearly'!$A$1:$AC$55,15,FALSE())+VLOOKUP($B28,'[5]Delta Yearly'!$A$1:$AC$55,17,FALSE())+VLOOKUP($B28,'[5]Delta Yearly'!$A$1:$AC$55,19,FALSE())+VLOOKUP($B28,'[5]Delta Yearly'!$A$1:$AC$55,21,FALSE())+VLOOKUP($B28,'[5]Delta Yearly'!$A$1:$AC$55,23,FALSE())+VLOOKUP($B28,'[5]Delta Yearly'!$A$1:$AC$55,25,FALSE())+VLOOKUP($B28,'[5]Delta Yearly'!$A$1:$AC$55,27,FALSE())+VLOOKUP($B28,'[5]Delta Yearly'!$A$1:$AC$55,29,FALSE())</f>
        <v>-119774.776433346</v>
      </c>
      <c r="AB28" s="287" t="n">
        <f aca="false">SUM(AA28,Z28,Y28,Q28)</f>
        <v>-3251401.03307248</v>
      </c>
      <c r="AC28" s="286"/>
      <c r="AD28" s="303"/>
      <c r="AE28" s="266"/>
      <c r="AF28" s="266"/>
      <c r="AG28" s="266"/>
      <c r="AH28" s="266"/>
      <c r="AI28" s="266"/>
      <c r="AJ28" s="266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67"/>
      <c r="CE28" s="267"/>
      <c r="CF28" s="267"/>
      <c r="CG28" s="267"/>
      <c r="CH28" s="267"/>
      <c r="CI28" s="267"/>
      <c r="CJ28" s="267"/>
      <c r="CK28" s="267"/>
      <c r="CL28" s="267"/>
      <c r="CM28" s="267"/>
      <c r="CN28" s="267"/>
      <c r="CO28" s="267"/>
      <c r="CP28" s="267"/>
      <c r="CQ28" s="267"/>
      <c r="CR28" s="267"/>
      <c r="CS28" s="267"/>
      <c r="CT28" s="267"/>
      <c r="CU28" s="267"/>
      <c r="CV28" s="267"/>
      <c r="CW28" s="267"/>
      <c r="CX28" s="267"/>
      <c r="CY28" s="267"/>
      <c r="CZ28" s="267"/>
      <c r="DA28" s="267"/>
      <c r="DB28" s="267"/>
      <c r="DC28" s="267"/>
      <c r="DD28" s="267"/>
      <c r="DE28" s="267"/>
      <c r="DF28" s="267"/>
      <c r="DG28" s="267"/>
      <c r="DH28" s="267"/>
      <c r="DI28" s="267"/>
      <c r="DJ28" s="267"/>
      <c r="DK28" s="267"/>
      <c r="DL28" s="267"/>
      <c r="DM28" s="267"/>
      <c r="DN28" s="267"/>
      <c r="DO28" s="267"/>
      <c r="DP28" s="267"/>
      <c r="DQ28" s="267"/>
      <c r="DR28" s="267"/>
      <c r="DS28" s="267"/>
      <c r="DT28" s="267"/>
      <c r="DU28" s="267"/>
      <c r="DV28" s="267"/>
      <c r="DW28" s="267"/>
      <c r="DX28" s="267"/>
      <c r="DY28" s="267"/>
      <c r="DZ28" s="267"/>
      <c r="EA28" s="267"/>
      <c r="EB28" s="267"/>
      <c r="EC28" s="267"/>
      <c r="ED28" s="267"/>
      <c r="EE28" s="267"/>
      <c r="EF28" s="267"/>
      <c r="EG28" s="267"/>
      <c r="EH28" s="267"/>
      <c r="EI28" s="267"/>
      <c r="EJ28" s="267"/>
      <c r="EK28" s="267"/>
      <c r="EL28" s="267"/>
      <c r="EM28" s="267"/>
      <c r="EN28" s="267"/>
      <c r="EO28" s="267"/>
      <c r="EP28" s="267"/>
      <c r="EQ28" s="267"/>
      <c r="ER28" s="267"/>
      <c r="ES28" s="267"/>
      <c r="ET28" s="267"/>
      <c r="EU28" s="267"/>
      <c r="EV28" s="267"/>
      <c r="EW28" s="267"/>
      <c r="EX28" s="267"/>
      <c r="EY28" s="267"/>
      <c r="EZ28" s="267"/>
      <c r="FA28" s="267"/>
      <c r="FB28" s="267"/>
      <c r="FC28" s="267"/>
      <c r="FD28" s="267"/>
      <c r="FE28" s="267"/>
      <c r="FF28" s="267"/>
      <c r="FG28" s="267"/>
      <c r="FH28" s="267"/>
      <c r="FI28" s="267"/>
      <c r="FJ28" s="267"/>
      <c r="FK28" s="267"/>
      <c r="FL28" s="267"/>
      <c r="FM28" s="267"/>
      <c r="FN28" s="267"/>
      <c r="FO28" s="267"/>
      <c r="FP28" s="267"/>
      <c r="FQ28" s="267"/>
      <c r="FR28" s="267"/>
      <c r="FS28" s="267"/>
      <c r="FT28" s="267"/>
      <c r="FU28" s="267"/>
      <c r="FV28" s="267"/>
      <c r="FW28" s="267"/>
      <c r="FX28" s="267"/>
      <c r="FY28" s="267"/>
      <c r="FZ28" s="267"/>
      <c r="GA28" s="267"/>
      <c r="GB28" s="267"/>
      <c r="GC28" s="267"/>
      <c r="GD28" s="267"/>
      <c r="GE28" s="267"/>
      <c r="GF28" s="267"/>
      <c r="GG28" s="267"/>
      <c r="GH28" s="267"/>
      <c r="GI28" s="267"/>
      <c r="GJ28" s="267"/>
      <c r="GK28" s="267"/>
      <c r="GL28" s="267"/>
      <c r="GM28" s="267"/>
      <c r="GN28" s="267"/>
      <c r="GO28" s="267"/>
      <c r="GP28" s="267"/>
      <c r="GQ28" s="267"/>
      <c r="GR28" s="267"/>
      <c r="GS28" s="267"/>
      <c r="GT28" s="267"/>
      <c r="GU28" s="267"/>
      <c r="GV28" s="267"/>
      <c r="GW28" s="267"/>
      <c r="GX28" s="267"/>
      <c r="GY28" s="267"/>
      <c r="GZ28" s="267"/>
      <c r="HA28" s="267"/>
      <c r="HB28" s="267"/>
      <c r="HC28" s="267"/>
      <c r="HD28" s="267"/>
      <c r="HE28" s="267"/>
      <c r="HF28" s="267"/>
      <c r="HG28" s="267"/>
      <c r="HH28" s="267"/>
      <c r="HI28" s="267"/>
      <c r="HJ28" s="267"/>
      <c r="HK28" s="267"/>
      <c r="HL28" s="267"/>
      <c r="HM28" s="267"/>
      <c r="HN28" s="267"/>
      <c r="HO28" s="267"/>
      <c r="HP28" s="267"/>
      <c r="HQ28" s="267"/>
      <c r="HR28" s="267"/>
      <c r="HS28" s="267"/>
      <c r="HT28" s="267"/>
      <c r="HU28" s="267"/>
      <c r="HV28" s="267"/>
      <c r="HW28" s="267"/>
      <c r="HX28" s="267"/>
      <c r="HY28" s="267"/>
      <c r="HZ28" s="267"/>
      <c r="IA28" s="267"/>
      <c r="IB28" s="267"/>
      <c r="IC28" s="267"/>
      <c r="ID28" s="267"/>
      <c r="IE28" s="267"/>
      <c r="IF28" s="267"/>
      <c r="IG28" s="267"/>
      <c r="IH28" s="267"/>
      <c r="II28" s="267"/>
      <c r="IJ28" s="267"/>
      <c r="IK28" s="267"/>
      <c r="IL28" s="267"/>
      <c r="IM28" s="267"/>
      <c r="IN28" s="267"/>
      <c r="IO28" s="267"/>
      <c r="IP28" s="267"/>
      <c r="IQ28" s="267"/>
      <c r="IR28" s="267"/>
      <c r="IS28" s="267"/>
      <c r="IT28" s="267"/>
      <c r="IU28" s="267"/>
      <c r="IV28" s="267"/>
      <c r="IW28" s="267"/>
    </row>
    <row r="29" customFormat="false" ht="12" hidden="false" customHeight="true" outlineLevel="0" collapsed="false">
      <c r="A29" s="294"/>
      <c r="B29" s="271"/>
      <c r="C29" s="302"/>
      <c r="D29" s="315"/>
      <c r="E29" s="316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86"/>
      <c r="R29" s="305"/>
      <c r="S29" s="274"/>
      <c r="T29" s="274"/>
      <c r="U29" s="274"/>
      <c r="V29" s="274"/>
      <c r="W29" s="274"/>
      <c r="X29" s="274"/>
      <c r="Y29" s="302"/>
      <c r="Z29" s="287"/>
      <c r="AA29" s="287"/>
      <c r="AB29" s="287"/>
      <c r="AC29" s="284"/>
      <c r="AD29" s="303"/>
      <c r="AE29" s="266"/>
      <c r="AF29" s="266"/>
      <c r="AG29" s="266"/>
      <c r="AH29" s="266"/>
      <c r="AI29" s="266"/>
      <c r="AJ29" s="266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67"/>
      <c r="CB29" s="267"/>
      <c r="CC29" s="267"/>
      <c r="CD29" s="267"/>
      <c r="CE29" s="267"/>
      <c r="CF29" s="267"/>
      <c r="CG29" s="267"/>
      <c r="CH29" s="267"/>
      <c r="CI29" s="267"/>
      <c r="CJ29" s="267"/>
      <c r="CK29" s="267"/>
      <c r="CL29" s="267"/>
      <c r="CM29" s="267"/>
      <c r="CN29" s="267"/>
      <c r="CO29" s="267"/>
      <c r="CP29" s="267"/>
      <c r="CQ29" s="267"/>
      <c r="CR29" s="267"/>
      <c r="CS29" s="267"/>
      <c r="CT29" s="267"/>
      <c r="CU29" s="267"/>
      <c r="CV29" s="267"/>
      <c r="CW29" s="267"/>
      <c r="CX29" s="267"/>
      <c r="CY29" s="267"/>
      <c r="CZ29" s="267"/>
      <c r="DA29" s="267"/>
      <c r="DB29" s="267"/>
      <c r="DC29" s="267"/>
      <c r="DD29" s="267"/>
      <c r="DE29" s="267"/>
      <c r="DF29" s="267"/>
      <c r="DG29" s="267"/>
      <c r="DH29" s="267"/>
      <c r="DI29" s="267"/>
      <c r="DJ29" s="267"/>
      <c r="DK29" s="267"/>
      <c r="DL29" s="267"/>
      <c r="DM29" s="267"/>
      <c r="DN29" s="267"/>
      <c r="DO29" s="267"/>
      <c r="DP29" s="267"/>
      <c r="DQ29" s="267"/>
      <c r="DR29" s="267"/>
      <c r="DS29" s="267"/>
      <c r="DT29" s="267"/>
      <c r="DU29" s="267"/>
      <c r="DV29" s="267"/>
      <c r="DW29" s="267"/>
      <c r="DX29" s="267"/>
      <c r="DY29" s="267"/>
      <c r="DZ29" s="267"/>
      <c r="EA29" s="267"/>
      <c r="EB29" s="267"/>
      <c r="EC29" s="267"/>
      <c r="ED29" s="267"/>
      <c r="EE29" s="267"/>
      <c r="EF29" s="267"/>
      <c r="EG29" s="267"/>
      <c r="EH29" s="267"/>
      <c r="EI29" s="267"/>
      <c r="EJ29" s="267"/>
      <c r="EK29" s="267"/>
      <c r="EL29" s="267"/>
      <c r="EM29" s="267"/>
      <c r="EN29" s="267"/>
      <c r="EO29" s="267"/>
      <c r="EP29" s="267"/>
      <c r="EQ29" s="267"/>
      <c r="ER29" s="267"/>
      <c r="ES29" s="267"/>
      <c r="ET29" s="267"/>
      <c r="EU29" s="267"/>
      <c r="EV29" s="267"/>
      <c r="EW29" s="267"/>
      <c r="EX29" s="267"/>
      <c r="EY29" s="267"/>
      <c r="EZ29" s="267"/>
      <c r="FA29" s="267"/>
      <c r="FB29" s="267"/>
      <c r="FC29" s="267"/>
      <c r="FD29" s="267"/>
      <c r="FE29" s="267"/>
      <c r="FF29" s="267"/>
      <c r="FG29" s="267"/>
      <c r="FH29" s="267"/>
      <c r="FI29" s="267"/>
      <c r="FJ29" s="267"/>
      <c r="FK29" s="267"/>
      <c r="FL29" s="267"/>
      <c r="FM29" s="267"/>
      <c r="FN29" s="267"/>
      <c r="FO29" s="267"/>
      <c r="FP29" s="267"/>
      <c r="FQ29" s="267"/>
      <c r="FR29" s="267"/>
      <c r="FS29" s="267"/>
      <c r="FT29" s="267"/>
      <c r="FU29" s="267"/>
      <c r="FV29" s="267"/>
      <c r="FW29" s="267"/>
      <c r="FX29" s="267"/>
      <c r="FY29" s="267"/>
      <c r="FZ29" s="267"/>
      <c r="GA29" s="267"/>
      <c r="GB29" s="267"/>
      <c r="GC29" s="267"/>
      <c r="GD29" s="267"/>
      <c r="GE29" s="267"/>
      <c r="GF29" s="267"/>
      <c r="GG29" s="267"/>
      <c r="GH29" s="267"/>
      <c r="GI29" s="267"/>
      <c r="GJ29" s="267"/>
      <c r="GK29" s="267"/>
      <c r="GL29" s="267"/>
      <c r="GM29" s="267"/>
      <c r="GN29" s="267"/>
      <c r="GO29" s="267"/>
      <c r="GP29" s="267"/>
      <c r="GQ29" s="267"/>
      <c r="GR29" s="267"/>
      <c r="GS29" s="267"/>
      <c r="GT29" s="267"/>
      <c r="GU29" s="267"/>
      <c r="GV29" s="267"/>
      <c r="GW29" s="267"/>
      <c r="GX29" s="267"/>
      <c r="GY29" s="267"/>
      <c r="GZ29" s="267"/>
      <c r="HA29" s="267"/>
      <c r="HB29" s="267"/>
      <c r="HC29" s="267"/>
      <c r="HD29" s="267"/>
      <c r="HE29" s="267"/>
      <c r="HF29" s="267"/>
      <c r="HG29" s="267"/>
      <c r="HH29" s="267"/>
      <c r="HI29" s="267"/>
      <c r="HJ29" s="267"/>
      <c r="HK29" s="267"/>
      <c r="HL29" s="267"/>
      <c r="HM29" s="267"/>
      <c r="HN29" s="267"/>
      <c r="HO29" s="267"/>
      <c r="HP29" s="267"/>
      <c r="HQ29" s="267"/>
      <c r="HR29" s="267"/>
      <c r="HS29" s="267"/>
      <c r="HT29" s="267"/>
      <c r="HU29" s="267"/>
      <c r="HV29" s="267"/>
      <c r="HW29" s="267"/>
      <c r="HX29" s="267"/>
      <c r="HY29" s="267"/>
      <c r="HZ29" s="267"/>
      <c r="IA29" s="267"/>
      <c r="IB29" s="267"/>
      <c r="IC29" s="267"/>
      <c r="ID29" s="267"/>
      <c r="IE29" s="267"/>
      <c r="IF29" s="267"/>
      <c r="IG29" s="267"/>
      <c r="IH29" s="267"/>
      <c r="II29" s="267"/>
      <c r="IJ29" s="267"/>
      <c r="IK29" s="267"/>
      <c r="IL29" s="267"/>
      <c r="IM29" s="267"/>
      <c r="IN29" s="267"/>
      <c r="IO29" s="267"/>
      <c r="IP29" s="267"/>
      <c r="IQ29" s="267"/>
      <c r="IR29" s="267"/>
      <c r="IS29" s="267"/>
      <c r="IT29" s="267"/>
      <c r="IU29" s="267"/>
      <c r="IV29" s="267"/>
      <c r="IW29" s="267"/>
    </row>
    <row r="30" customFormat="false" ht="12" hidden="false" customHeight="true" outlineLevel="0" collapsed="false">
      <c r="A30" s="294" t="s">
        <v>66</v>
      </c>
      <c r="B30" s="271" t="s">
        <v>67</v>
      </c>
      <c r="C30" s="302" t="s">
        <v>69</v>
      </c>
      <c r="D30" s="315" t="n">
        <f aca="false">'E. VaR &amp; Peak Pos By Trader'!E30</f>
        <v>3540540.79727204</v>
      </c>
      <c r="E30" s="316" t="n">
        <f aca="false">'E. VaR &amp; Peak Pos By Trader'!F30</f>
        <v>45621.8640818796</v>
      </c>
      <c r="F30" s="274" t="n">
        <f aca="false">VLOOKUP($B30,'[3]Delta Monthly'!$A$1:$AW$55,5,1)</f>
        <v>0</v>
      </c>
      <c r="G30" s="274" t="n">
        <f aca="false">VLOOKUP($B30,'[3]Delta Monthly'!$A$1:$AW$55,7,1)</f>
        <v>0</v>
      </c>
      <c r="H30" s="274" t="n">
        <f aca="false">VLOOKUP($B30,'[3]Delta Monthly'!$A$1:$AW$55,9,1)</f>
        <v>0</v>
      </c>
      <c r="I30" s="274" t="n">
        <f aca="false">VLOOKUP($B30,'[3]Delta Monthly'!$A$1:$AW$55,11,1)</f>
        <v>0</v>
      </c>
      <c r="J30" s="274" t="n">
        <f aca="false">VLOOKUP($B30,'[3]Delta Monthly'!$A$1:$AW$55,13,0)</f>
        <v>0</v>
      </c>
      <c r="K30" s="274" t="n">
        <f aca="false">VLOOKUP($B30,'[3]Delta Monthly'!$A$1:$AW$55,15,0)</f>
        <v>0</v>
      </c>
      <c r="L30" s="274" t="n">
        <f aca="false">+VLOOKUP($B30,'[3]Delta Monthly'!$A$1:$AW$55,17,0)</f>
        <v>0</v>
      </c>
      <c r="M30" s="274" t="n">
        <f aca="false">VLOOKUP($B30,'[3]Delta Monthly'!$A$1:$AW$55,19,0)</f>
        <v>0</v>
      </c>
      <c r="N30" s="274" t="n">
        <f aca="false">VLOOKUP($B30,'[3]Delta Monthly'!$A$1:$AW$55,21,FALSE())</f>
        <v>0</v>
      </c>
      <c r="O30" s="274" t="n">
        <f aca="false">VLOOKUP($B30,'[3]Delta Monthly'!$A$1:$AW$55,23,FALSE())</f>
        <v>0</v>
      </c>
      <c r="P30" s="274" t="n">
        <f aca="false">VLOOKUP($B30,'[3]Delta Monthly'!$A$1:$AW$55,25,FALSE())</f>
        <v>0</v>
      </c>
      <c r="Q30" s="286" t="n">
        <f aca="false">SUM(F30:P30)</f>
        <v>0</v>
      </c>
      <c r="R30" s="305" t="n">
        <f aca="false">VLOOKUP($B30,'[3]Delta Monthly'!$A$1:$AW$55,27,0)+VLOOKUP($B30,'[3]Delta Monthly'!$A$1:$AW$55,29,0)</f>
        <v>0</v>
      </c>
      <c r="S30" s="274" t="n">
        <f aca="false">VLOOKUP($B30,'[3]Delta Monthly'!$A$1:$AW$55,31,0)+VLOOKUP($B30,'[3]Delta Monthly'!$A$1:$AW$55,33,0)</f>
        <v>0</v>
      </c>
      <c r="T30" s="274" t="n">
        <f aca="false">VLOOKUP($B30,'[3]Delta Monthly'!$A$1:$AW$55,35,0)</f>
        <v>0</v>
      </c>
      <c r="U30" s="274" t="n">
        <f aca="false">VLOOKUP($B30,'[3]Delta Monthly'!$A$1:$AW$55,37,0)</f>
        <v>0</v>
      </c>
      <c r="V30" s="274" t="n">
        <f aca="false">VLOOKUP($B30,'[3]Delta Monthly'!$A$1:$AW$55,39,0)+VLOOKUP($B30,'[3]Delta Monthly'!$A$1:$AW$55,41,0)</f>
        <v>0</v>
      </c>
      <c r="W30" s="274" t="n">
        <f aca="false">VLOOKUP($B30,'[3]Delta Monthly'!$A$1:$AW$55,43,0)</f>
        <v>0</v>
      </c>
      <c r="X30" s="274" t="n">
        <f aca="false">VLOOKUP($B30,'[3]Delta Monthly'!$A$1:$AW$55,45,0)+VLOOKUP($B30,'[3]Delta Monthly'!$A$1:$AW$55,47,0)+VLOOKUP($B30,'[3]Delta Monthly'!$A$1:$AW$55,49,0)</f>
        <v>0</v>
      </c>
      <c r="Y30" s="302" t="n">
        <f aca="false">SUM(R30:X30)</f>
        <v>0</v>
      </c>
      <c r="Z30" s="287" t="n">
        <f aca="false">VLOOKUP($B30,'[5]Delta Yearly'!$A$1:$AC$55,5,0)</f>
        <v>0</v>
      </c>
      <c r="AA30" s="287" t="n">
        <f aca="false">VLOOKUP($B30,'[5]Delta Yearly'!$A$1:$AC$55,7,FALSE())+VLOOKUP($B30,'[5]Delta Yearly'!$A$1:$AC$55,9,FALSE())+VLOOKUP($B30,'[5]Delta Yearly'!$A$1:$AC$55,11,FALSE())+VLOOKUP($B30,'[5]Delta Yearly'!$A$1:$AC$55,13,FALSE())+VLOOKUP($B30,'[5]Delta Yearly'!$A$1:$AC$55,15,FALSE())+VLOOKUP($B30,'[5]Delta Yearly'!$A$1:$AC$55,17,FALSE())+VLOOKUP($B30,'[5]Delta Yearly'!$A$1:$AC$55,19,FALSE())+VLOOKUP($B30,'[5]Delta Yearly'!$A$1:$AC$55,21,FALSE())+VLOOKUP($B30,'[5]Delta Yearly'!$A$1:$AC$55,23,FALSE())+VLOOKUP($B30,'[5]Delta Yearly'!$A$1:$AC$55,25,FALSE())+VLOOKUP($B30,'[5]Delta Yearly'!$A$1:$AC$55,27,FALSE())+VLOOKUP($B30,'[5]Delta Yearly'!$A$1:$AC$55,29,FALSE())</f>
        <v>0</v>
      </c>
      <c r="AB30" s="287" t="n">
        <f aca="false">SUM(AA30,Z30,Y30,Q30)</f>
        <v>0</v>
      </c>
      <c r="AC30" s="286"/>
      <c r="AD30" s="303"/>
      <c r="AE30" s="266"/>
      <c r="AF30" s="266"/>
      <c r="AG30" s="266"/>
      <c r="AH30" s="266"/>
      <c r="AI30" s="266"/>
      <c r="AJ30" s="266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7"/>
      <c r="BZ30" s="267"/>
      <c r="CA30" s="267"/>
      <c r="CB30" s="267"/>
      <c r="CC30" s="267"/>
      <c r="CD30" s="267"/>
      <c r="CE30" s="267"/>
      <c r="CF30" s="267"/>
      <c r="CG30" s="267"/>
      <c r="CH30" s="267"/>
      <c r="CI30" s="267"/>
      <c r="CJ30" s="267"/>
      <c r="CK30" s="267"/>
      <c r="CL30" s="267"/>
      <c r="CM30" s="267"/>
      <c r="CN30" s="267"/>
      <c r="CO30" s="267"/>
      <c r="CP30" s="267"/>
      <c r="CQ30" s="267"/>
      <c r="CR30" s="267"/>
      <c r="CS30" s="267"/>
      <c r="CT30" s="267"/>
      <c r="CU30" s="267"/>
      <c r="CV30" s="267"/>
      <c r="CW30" s="267"/>
      <c r="CX30" s="267"/>
      <c r="CY30" s="267"/>
      <c r="CZ30" s="267"/>
      <c r="DA30" s="267"/>
      <c r="DB30" s="267"/>
      <c r="DC30" s="267"/>
      <c r="DD30" s="267"/>
      <c r="DE30" s="267"/>
      <c r="DF30" s="267"/>
      <c r="DG30" s="267"/>
      <c r="DH30" s="267"/>
      <c r="DI30" s="267"/>
      <c r="DJ30" s="267"/>
      <c r="DK30" s="267"/>
      <c r="DL30" s="267"/>
      <c r="DM30" s="267"/>
      <c r="DN30" s="267"/>
      <c r="DO30" s="267"/>
      <c r="DP30" s="267"/>
      <c r="DQ30" s="267"/>
      <c r="DR30" s="267"/>
      <c r="DS30" s="267"/>
      <c r="DT30" s="267"/>
      <c r="DU30" s="267"/>
      <c r="DV30" s="267"/>
      <c r="DW30" s="267"/>
      <c r="DX30" s="267"/>
      <c r="DY30" s="267"/>
      <c r="DZ30" s="267"/>
      <c r="EA30" s="267"/>
      <c r="EB30" s="267"/>
      <c r="EC30" s="267"/>
      <c r="ED30" s="267"/>
      <c r="EE30" s="267"/>
      <c r="EF30" s="267"/>
      <c r="EG30" s="267"/>
      <c r="EH30" s="267"/>
      <c r="EI30" s="267"/>
      <c r="EJ30" s="267"/>
      <c r="EK30" s="267"/>
      <c r="EL30" s="267"/>
      <c r="EM30" s="267"/>
      <c r="EN30" s="267"/>
      <c r="EO30" s="267"/>
      <c r="EP30" s="267"/>
      <c r="EQ30" s="267"/>
      <c r="ER30" s="267"/>
      <c r="ES30" s="267"/>
      <c r="ET30" s="267"/>
      <c r="EU30" s="267"/>
      <c r="EV30" s="267"/>
      <c r="EW30" s="267"/>
      <c r="EX30" s="267"/>
      <c r="EY30" s="267"/>
      <c r="EZ30" s="267"/>
      <c r="FA30" s="267"/>
      <c r="FB30" s="267"/>
      <c r="FC30" s="267"/>
      <c r="FD30" s="267"/>
      <c r="FE30" s="267"/>
      <c r="FF30" s="267"/>
      <c r="FG30" s="267"/>
      <c r="FH30" s="267"/>
      <c r="FI30" s="267"/>
      <c r="FJ30" s="267"/>
      <c r="FK30" s="267"/>
      <c r="FL30" s="267"/>
      <c r="FM30" s="267"/>
      <c r="FN30" s="267"/>
      <c r="FO30" s="267"/>
      <c r="FP30" s="267"/>
      <c r="FQ30" s="267"/>
      <c r="FR30" s="267"/>
      <c r="FS30" s="267"/>
      <c r="FT30" s="267"/>
      <c r="FU30" s="267"/>
      <c r="FV30" s="267"/>
      <c r="FW30" s="267"/>
      <c r="FX30" s="267"/>
      <c r="FY30" s="267"/>
      <c r="FZ30" s="267"/>
      <c r="GA30" s="267"/>
      <c r="GB30" s="267"/>
      <c r="GC30" s="267"/>
      <c r="GD30" s="267"/>
      <c r="GE30" s="267"/>
      <c r="GF30" s="267"/>
      <c r="GG30" s="267"/>
      <c r="GH30" s="267"/>
      <c r="GI30" s="267"/>
      <c r="GJ30" s="267"/>
      <c r="GK30" s="267"/>
      <c r="GL30" s="267"/>
      <c r="GM30" s="267"/>
      <c r="GN30" s="267"/>
      <c r="GO30" s="267"/>
      <c r="GP30" s="267"/>
      <c r="GQ30" s="267"/>
      <c r="GR30" s="267"/>
      <c r="GS30" s="267"/>
      <c r="GT30" s="267"/>
      <c r="GU30" s="267"/>
      <c r="GV30" s="267"/>
      <c r="GW30" s="267"/>
      <c r="GX30" s="267"/>
      <c r="GY30" s="267"/>
      <c r="GZ30" s="267"/>
      <c r="HA30" s="267"/>
      <c r="HB30" s="267"/>
      <c r="HC30" s="267"/>
      <c r="HD30" s="267"/>
      <c r="HE30" s="267"/>
      <c r="HF30" s="267"/>
      <c r="HG30" s="267"/>
      <c r="HH30" s="267"/>
      <c r="HI30" s="267"/>
      <c r="HJ30" s="267"/>
      <c r="HK30" s="267"/>
      <c r="HL30" s="267"/>
      <c r="HM30" s="267"/>
      <c r="HN30" s="267"/>
      <c r="HO30" s="267"/>
      <c r="HP30" s="267"/>
      <c r="HQ30" s="267"/>
      <c r="HR30" s="267"/>
      <c r="HS30" s="267"/>
      <c r="HT30" s="267"/>
      <c r="HU30" s="267"/>
      <c r="HV30" s="267"/>
      <c r="HW30" s="267"/>
      <c r="HX30" s="267"/>
      <c r="HY30" s="267"/>
      <c r="HZ30" s="267"/>
      <c r="IA30" s="267"/>
      <c r="IB30" s="267"/>
      <c r="IC30" s="267"/>
      <c r="ID30" s="267"/>
      <c r="IE30" s="267"/>
      <c r="IF30" s="267"/>
      <c r="IG30" s="267"/>
      <c r="IH30" s="267"/>
      <c r="II30" s="267"/>
      <c r="IJ30" s="267"/>
      <c r="IK30" s="267"/>
      <c r="IL30" s="267"/>
      <c r="IM30" s="267"/>
      <c r="IN30" s="267"/>
      <c r="IO30" s="267"/>
      <c r="IP30" s="267"/>
      <c r="IQ30" s="267"/>
      <c r="IR30" s="267"/>
      <c r="IS30" s="267"/>
      <c r="IT30" s="267"/>
      <c r="IU30" s="267"/>
      <c r="IV30" s="267"/>
      <c r="IW30" s="267"/>
    </row>
    <row r="31" customFormat="false" ht="12" hidden="false" customHeight="true" outlineLevel="0" collapsed="false">
      <c r="A31" s="294"/>
      <c r="B31" s="271"/>
      <c r="C31" s="302"/>
      <c r="D31" s="315"/>
      <c r="E31" s="316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86"/>
      <c r="R31" s="286"/>
      <c r="S31" s="284"/>
      <c r="T31" s="284"/>
      <c r="U31" s="284"/>
      <c r="V31" s="284"/>
      <c r="W31" s="284"/>
      <c r="X31" s="284"/>
      <c r="Y31" s="302"/>
      <c r="Z31" s="287"/>
      <c r="AA31" s="287"/>
      <c r="AB31" s="287"/>
      <c r="AC31" s="265"/>
      <c r="AD31" s="303"/>
      <c r="AE31" s="266"/>
      <c r="AF31" s="266"/>
      <c r="AG31" s="266"/>
      <c r="AH31" s="266"/>
      <c r="AI31" s="266"/>
      <c r="AJ31" s="266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  <c r="BY31" s="267"/>
      <c r="BZ31" s="267"/>
      <c r="CA31" s="267"/>
      <c r="CB31" s="267"/>
      <c r="CC31" s="267"/>
      <c r="CD31" s="267"/>
      <c r="CE31" s="267"/>
      <c r="CF31" s="267"/>
      <c r="CG31" s="267"/>
      <c r="CH31" s="267"/>
      <c r="CI31" s="267"/>
      <c r="CJ31" s="267"/>
      <c r="CK31" s="267"/>
      <c r="CL31" s="267"/>
      <c r="CM31" s="267"/>
      <c r="CN31" s="267"/>
      <c r="CO31" s="267"/>
      <c r="CP31" s="267"/>
      <c r="CQ31" s="267"/>
      <c r="CR31" s="267"/>
      <c r="CS31" s="267"/>
      <c r="CT31" s="267"/>
      <c r="CU31" s="267"/>
      <c r="CV31" s="267"/>
      <c r="CW31" s="267"/>
      <c r="CX31" s="267"/>
      <c r="CY31" s="267"/>
      <c r="CZ31" s="267"/>
      <c r="DA31" s="267"/>
      <c r="DB31" s="267"/>
      <c r="DC31" s="267"/>
      <c r="DD31" s="267"/>
      <c r="DE31" s="267"/>
      <c r="DF31" s="267"/>
      <c r="DG31" s="267"/>
      <c r="DH31" s="267"/>
      <c r="DI31" s="267"/>
      <c r="DJ31" s="267"/>
      <c r="DK31" s="267"/>
      <c r="DL31" s="267"/>
      <c r="DM31" s="267"/>
      <c r="DN31" s="267"/>
      <c r="DO31" s="267"/>
      <c r="DP31" s="267"/>
      <c r="DQ31" s="267"/>
      <c r="DR31" s="267"/>
      <c r="DS31" s="267"/>
      <c r="DT31" s="267"/>
      <c r="DU31" s="267"/>
      <c r="DV31" s="267"/>
      <c r="DW31" s="267"/>
      <c r="DX31" s="267"/>
      <c r="DY31" s="267"/>
      <c r="DZ31" s="267"/>
      <c r="EA31" s="267"/>
      <c r="EB31" s="267"/>
      <c r="EC31" s="267"/>
      <c r="ED31" s="267"/>
      <c r="EE31" s="267"/>
      <c r="EF31" s="267"/>
      <c r="EG31" s="267"/>
      <c r="EH31" s="267"/>
      <c r="EI31" s="267"/>
      <c r="EJ31" s="267"/>
      <c r="EK31" s="267"/>
      <c r="EL31" s="267"/>
      <c r="EM31" s="267"/>
      <c r="EN31" s="267"/>
      <c r="EO31" s="267"/>
      <c r="EP31" s="267"/>
      <c r="EQ31" s="267"/>
      <c r="ER31" s="267"/>
      <c r="ES31" s="267"/>
      <c r="ET31" s="267"/>
      <c r="EU31" s="267"/>
      <c r="EV31" s="267"/>
      <c r="EW31" s="267"/>
      <c r="EX31" s="267"/>
      <c r="EY31" s="267"/>
      <c r="EZ31" s="267"/>
      <c r="FA31" s="267"/>
      <c r="FB31" s="267"/>
      <c r="FC31" s="267"/>
      <c r="FD31" s="267"/>
      <c r="FE31" s="267"/>
      <c r="FF31" s="267"/>
      <c r="FG31" s="267"/>
      <c r="FH31" s="267"/>
      <c r="FI31" s="267"/>
      <c r="FJ31" s="267"/>
      <c r="FK31" s="267"/>
      <c r="FL31" s="267"/>
      <c r="FM31" s="267"/>
      <c r="FN31" s="267"/>
      <c r="FO31" s="267"/>
      <c r="FP31" s="267"/>
      <c r="FQ31" s="267"/>
      <c r="FR31" s="267"/>
      <c r="FS31" s="267"/>
      <c r="FT31" s="267"/>
      <c r="FU31" s="267"/>
      <c r="FV31" s="267"/>
      <c r="FW31" s="267"/>
      <c r="FX31" s="267"/>
      <c r="FY31" s="267"/>
      <c r="FZ31" s="267"/>
      <c r="GA31" s="267"/>
      <c r="GB31" s="267"/>
      <c r="GC31" s="267"/>
      <c r="GD31" s="267"/>
      <c r="GE31" s="267"/>
      <c r="GF31" s="267"/>
      <c r="GG31" s="267"/>
      <c r="GH31" s="267"/>
      <c r="GI31" s="267"/>
      <c r="GJ31" s="267"/>
      <c r="GK31" s="267"/>
      <c r="GL31" s="267"/>
      <c r="GM31" s="267"/>
      <c r="GN31" s="267"/>
      <c r="GO31" s="267"/>
      <c r="GP31" s="267"/>
      <c r="GQ31" s="267"/>
      <c r="GR31" s="267"/>
      <c r="GS31" s="267"/>
      <c r="GT31" s="267"/>
      <c r="GU31" s="267"/>
      <c r="GV31" s="267"/>
      <c r="GW31" s="267"/>
      <c r="GX31" s="267"/>
      <c r="GY31" s="267"/>
      <c r="GZ31" s="267"/>
      <c r="HA31" s="267"/>
      <c r="HB31" s="267"/>
      <c r="HC31" s="267"/>
      <c r="HD31" s="267"/>
      <c r="HE31" s="267"/>
      <c r="HF31" s="267"/>
      <c r="HG31" s="267"/>
      <c r="HH31" s="267"/>
      <c r="HI31" s="267"/>
      <c r="HJ31" s="267"/>
      <c r="HK31" s="267"/>
      <c r="HL31" s="267"/>
      <c r="HM31" s="267"/>
      <c r="HN31" s="267"/>
      <c r="HO31" s="267"/>
      <c r="HP31" s="267"/>
      <c r="HQ31" s="267"/>
      <c r="HR31" s="267"/>
      <c r="HS31" s="267"/>
      <c r="HT31" s="267"/>
      <c r="HU31" s="267"/>
      <c r="HV31" s="267"/>
      <c r="HW31" s="267"/>
      <c r="HX31" s="267"/>
      <c r="HY31" s="267"/>
      <c r="HZ31" s="267"/>
      <c r="IA31" s="267"/>
      <c r="IB31" s="267"/>
      <c r="IC31" s="267"/>
      <c r="ID31" s="267"/>
      <c r="IE31" s="267"/>
      <c r="IF31" s="267"/>
      <c r="IG31" s="267"/>
      <c r="IH31" s="267"/>
      <c r="II31" s="267"/>
      <c r="IJ31" s="267"/>
      <c r="IK31" s="267"/>
      <c r="IL31" s="267"/>
      <c r="IM31" s="267"/>
      <c r="IN31" s="267"/>
      <c r="IO31" s="267"/>
      <c r="IP31" s="267"/>
      <c r="IQ31" s="267"/>
      <c r="IR31" s="267"/>
      <c r="IS31" s="267"/>
      <c r="IT31" s="267"/>
      <c r="IU31" s="267"/>
      <c r="IV31" s="267"/>
      <c r="IW31" s="267"/>
    </row>
    <row r="32" customFormat="false" ht="12" hidden="false" customHeight="true" outlineLevel="0" collapsed="false">
      <c r="A32" s="294" t="s">
        <v>70</v>
      </c>
      <c r="B32" s="271" t="s">
        <v>71</v>
      </c>
      <c r="C32" s="302" t="s">
        <v>73</v>
      </c>
      <c r="D32" s="315" t="n">
        <f aca="false">'E. VaR &amp; Peak Pos By Trader'!E32</f>
        <v>157062.627860748</v>
      </c>
      <c r="E32" s="316" t="n">
        <f aca="false">'E. VaR &amp; Peak Pos By Trader'!F32</f>
        <v>-62214.897017943</v>
      </c>
      <c r="F32" s="274" t="n">
        <f aca="false">VLOOKUP($B32,'[3]Delta Monthly'!$A$1:$AW$55,5,1)</f>
        <v>0</v>
      </c>
      <c r="G32" s="274" t="n">
        <f aca="false">VLOOKUP($B32,'[3]Delta Monthly'!$A$1:$AW$55,7,1)</f>
        <v>0</v>
      </c>
      <c r="H32" s="274" t="n">
        <f aca="false">VLOOKUP($B32,'[3]Delta Monthly'!$A$1:$AW$55,9,1)</f>
        <v>0</v>
      </c>
      <c r="I32" s="274" t="n">
        <f aca="false">VLOOKUP($B32,'[3]Delta Monthly'!$A$1:$AW$55,11,0)</f>
        <v>0</v>
      </c>
      <c r="J32" s="274" t="n">
        <f aca="false">VLOOKUP($B32,'[3]Delta Monthly'!$A$1:$AW$55,13,0)</f>
        <v>0</v>
      </c>
      <c r="K32" s="274" t="n">
        <f aca="false">VLOOKUP($B32,'[3]Delta Monthly'!$A$1:$AW$55,15,0)</f>
        <v>0</v>
      </c>
      <c r="L32" s="274" t="n">
        <f aca="false">+VLOOKUP($B32,'[3]Delta Monthly'!$A$1:$AW$55,17,0)</f>
        <v>0</v>
      </c>
      <c r="M32" s="274" t="n">
        <f aca="false">VLOOKUP($B32,'[3]Delta Monthly'!$A$1:$AW$55,19,0)</f>
        <v>0</v>
      </c>
      <c r="N32" s="274" t="n">
        <f aca="false">VLOOKUP($B32,'[3]Delta Monthly'!$A$1:$AW$55,21,FALSE())</f>
        <v>0</v>
      </c>
      <c r="O32" s="274" t="n">
        <f aca="false">VLOOKUP($B32,'[3]Delta Monthly'!$A$1:$AW$55,23,FALSE())</f>
        <v>0</v>
      </c>
      <c r="P32" s="274" t="n">
        <f aca="false">VLOOKUP($B32,'[3]Delta Monthly'!$A$1:$AW$55,25,FALSE())</f>
        <v>0</v>
      </c>
      <c r="Q32" s="286" t="n">
        <f aca="false">SUM(F32:P32)</f>
        <v>0</v>
      </c>
      <c r="R32" s="305" t="n">
        <f aca="false">VLOOKUP($B32,'[3]Delta Monthly'!$A$1:$AW$55,27,0)+VLOOKUP($B32,'[3]Delta Monthly'!$A$1:$AW$55,29,0)</f>
        <v>0</v>
      </c>
      <c r="S32" s="274" t="n">
        <f aca="false">VLOOKUP($B32,'[3]Delta Monthly'!$A$1:$AW$55,31,0)+VLOOKUP($B32,'[3]Delta Monthly'!$A$1:$AW$55,33,0)</f>
        <v>0</v>
      </c>
      <c r="T32" s="274" t="n">
        <f aca="false">VLOOKUP($B32,'[3]Delta Monthly'!$A$1:$AW$55,35,0)</f>
        <v>0</v>
      </c>
      <c r="U32" s="274" t="n">
        <f aca="false">VLOOKUP($B32,'[3]Delta Monthly'!$A$1:$AW$55,37,0)</f>
        <v>0</v>
      </c>
      <c r="V32" s="274" t="n">
        <f aca="false">VLOOKUP($B32,'[3]Delta Monthly'!$A$1:$AW$55,39,0)+VLOOKUP($B32,'[3]Delta Monthly'!$A$1:$AW$55,41,0)</f>
        <v>0</v>
      </c>
      <c r="W32" s="274" t="n">
        <f aca="false">VLOOKUP($B32,'[3]Delta Monthly'!$A$1:$AW$55,43,0)</f>
        <v>0</v>
      </c>
      <c r="X32" s="274" t="n">
        <f aca="false">VLOOKUP($B32,'[3]Delta Monthly'!$A$1:$AW$55,45,0)+VLOOKUP($B32,'[3]Delta Monthly'!$A$1:$AW$55,47,0)+VLOOKUP($B32,'[3]Delta Monthly'!$A$1:$AW$55,49,0)</f>
        <v>0</v>
      </c>
      <c r="Y32" s="302" t="n">
        <f aca="false">SUM(R32:X32)</f>
        <v>0</v>
      </c>
      <c r="Z32" s="287" t="n">
        <f aca="false">VLOOKUP($B32,'[5]Delta Yearly'!$A$1:$AC$55,5,0)</f>
        <v>0</v>
      </c>
      <c r="AA32" s="287" t="n">
        <f aca="false">VLOOKUP($B32,'[5]Delta Yearly'!$A$1:$AC$55,7,FALSE())+VLOOKUP($B32,'[5]Delta Yearly'!$A$1:$AC$55,9,FALSE())+VLOOKUP($B32,'[5]Delta Yearly'!$A$1:$AC$55,11,FALSE())+VLOOKUP($B32,'[5]Delta Yearly'!$A$1:$AC$55,13,FALSE())+VLOOKUP($B32,'[5]Delta Yearly'!$A$1:$AC$55,15,FALSE())+VLOOKUP($B32,'[5]Delta Yearly'!$A$1:$AC$55,17,FALSE())+VLOOKUP($B32,'[5]Delta Yearly'!$A$1:$AC$55,19,FALSE())+VLOOKUP($B32,'[5]Delta Yearly'!$A$1:$AC$55,21,FALSE())+VLOOKUP($B32,'[5]Delta Yearly'!$A$1:$AC$55,23,FALSE())+VLOOKUP($B32,'[5]Delta Yearly'!$A$1:$AC$55,25,FALSE())+VLOOKUP($B32,'[5]Delta Yearly'!$A$1:$AC$55,27,FALSE())+VLOOKUP($B32,'[5]Delta Yearly'!$A$1:$AC$55,29,FALSE())</f>
        <v>0</v>
      </c>
      <c r="AB32" s="287" t="n">
        <f aca="false">SUM(AA32,Z32,Y32,Q32)</f>
        <v>0</v>
      </c>
      <c r="AC32" s="265"/>
      <c r="AD32" s="303"/>
      <c r="AE32" s="266"/>
      <c r="AF32" s="266"/>
      <c r="AG32" s="266"/>
      <c r="AH32" s="266"/>
      <c r="AI32" s="266"/>
      <c r="AJ32" s="266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  <c r="CB32" s="267"/>
      <c r="CC32" s="267"/>
      <c r="CD32" s="267"/>
      <c r="CE32" s="267"/>
      <c r="CF32" s="267"/>
      <c r="CG32" s="267"/>
      <c r="CH32" s="267"/>
      <c r="CI32" s="267"/>
      <c r="CJ32" s="267"/>
      <c r="CK32" s="267"/>
      <c r="CL32" s="267"/>
      <c r="CM32" s="267"/>
      <c r="CN32" s="267"/>
      <c r="CO32" s="267"/>
      <c r="CP32" s="267"/>
      <c r="CQ32" s="267"/>
      <c r="CR32" s="267"/>
      <c r="CS32" s="267"/>
      <c r="CT32" s="267"/>
      <c r="CU32" s="267"/>
      <c r="CV32" s="267"/>
      <c r="CW32" s="267"/>
      <c r="CX32" s="267"/>
      <c r="CY32" s="267"/>
      <c r="CZ32" s="267"/>
      <c r="DA32" s="267"/>
      <c r="DB32" s="267"/>
      <c r="DC32" s="267"/>
      <c r="DD32" s="267"/>
      <c r="DE32" s="267"/>
      <c r="DF32" s="267"/>
      <c r="DG32" s="267"/>
      <c r="DH32" s="267"/>
      <c r="DI32" s="267"/>
      <c r="DJ32" s="267"/>
      <c r="DK32" s="267"/>
      <c r="DL32" s="267"/>
      <c r="DM32" s="267"/>
      <c r="DN32" s="267"/>
      <c r="DO32" s="267"/>
      <c r="DP32" s="267"/>
      <c r="DQ32" s="267"/>
      <c r="DR32" s="267"/>
      <c r="DS32" s="267"/>
      <c r="DT32" s="267"/>
      <c r="DU32" s="267"/>
      <c r="DV32" s="267"/>
      <c r="DW32" s="267"/>
      <c r="DX32" s="267"/>
      <c r="DY32" s="267"/>
      <c r="DZ32" s="267"/>
      <c r="EA32" s="267"/>
      <c r="EB32" s="267"/>
      <c r="EC32" s="267"/>
      <c r="ED32" s="267"/>
      <c r="EE32" s="267"/>
      <c r="EF32" s="267"/>
      <c r="EG32" s="267"/>
      <c r="EH32" s="267"/>
      <c r="EI32" s="267"/>
      <c r="EJ32" s="267"/>
      <c r="EK32" s="267"/>
      <c r="EL32" s="267"/>
      <c r="EM32" s="267"/>
      <c r="EN32" s="267"/>
      <c r="EO32" s="267"/>
      <c r="EP32" s="267"/>
      <c r="EQ32" s="267"/>
      <c r="ER32" s="267"/>
      <c r="ES32" s="267"/>
      <c r="ET32" s="267"/>
      <c r="EU32" s="267"/>
      <c r="EV32" s="267"/>
      <c r="EW32" s="267"/>
      <c r="EX32" s="267"/>
      <c r="EY32" s="267"/>
      <c r="EZ32" s="267"/>
      <c r="FA32" s="267"/>
      <c r="FB32" s="267"/>
      <c r="FC32" s="267"/>
      <c r="FD32" s="267"/>
      <c r="FE32" s="267"/>
      <c r="FF32" s="267"/>
      <c r="FG32" s="267"/>
      <c r="FH32" s="267"/>
      <c r="FI32" s="267"/>
      <c r="FJ32" s="267"/>
      <c r="FK32" s="267"/>
      <c r="FL32" s="267"/>
      <c r="FM32" s="267"/>
      <c r="FN32" s="267"/>
      <c r="FO32" s="267"/>
      <c r="FP32" s="267"/>
      <c r="FQ32" s="267"/>
      <c r="FR32" s="267"/>
      <c r="FS32" s="267"/>
      <c r="FT32" s="267"/>
      <c r="FU32" s="267"/>
      <c r="FV32" s="267"/>
      <c r="FW32" s="267"/>
      <c r="FX32" s="267"/>
      <c r="FY32" s="267"/>
      <c r="FZ32" s="267"/>
      <c r="GA32" s="267"/>
      <c r="GB32" s="267"/>
      <c r="GC32" s="267"/>
      <c r="GD32" s="267"/>
      <c r="GE32" s="267"/>
      <c r="GF32" s="267"/>
      <c r="GG32" s="267"/>
      <c r="GH32" s="267"/>
      <c r="GI32" s="267"/>
      <c r="GJ32" s="267"/>
      <c r="GK32" s="267"/>
      <c r="GL32" s="267"/>
      <c r="GM32" s="267"/>
      <c r="GN32" s="267"/>
      <c r="GO32" s="267"/>
      <c r="GP32" s="267"/>
      <c r="GQ32" s="267"/>
      <c r="GR32" s="267"/>
      <c r="GS32" s="267"/>
      <c r="GT32" s="267"/>
      <c r="GU32" s="267"/>
      <c r="GV32" s="267"/>
      <c r="GW32" s="267"/>
      <c r="GX32" s="267"/>
      <c r="GY32" s="267"/>
      <c r="GZ32" s="267"/>
      <c r="HA32" s="267"/>
      <c r="HB32" s="267"/>
      <c r="HC32" s="267"/>
      <c r="HD32" s="267"/>
      <c r="HE32" s="267"/>
      <c r="HF32" s="267"/>
      <c r="HG32" s="267"/>
      <c r="HH32" s="267"/>
      <c r="HI32" s="267"/>
      <c r="HJ32" s="267"/>
      <c r="HK32" s="267"/>
      <c r="HL32" s="267"/>
      <c r="HM32" s="267"/>
      <c r="HN32" s="267"/>
      <c r="HO32" s="267"/>
      <c r="HP32" s="267"/>
      <c r="HQ32" s="267"/>
      <c r="HR32" s="267"/>
      <c r="HS32" s="267"/>
      <c r="HT32" s="267"/>
      <c r="HU32" s="267"/>
      <c r="HV32" s="267"/>
      <c r="HW32" s="267"/>
      <c r="HX32" s="267"/>
      <c r="HY32" s="267"/>
      <c r="HZ32" s="267"/>
      <c r="IA32" s="267"/>
      <c r="IB32" s="267"/>
      <c r="IC32" s="267"/>
      <c r="ID32" s="267"/>
      <c r="IE32" s="267"/>
      <c r="IF32" s="267"/>
      <c r="IG32" s="267"/>
      <c r="IH32" s="267"/>
      <c r="II32" s="267"/>
      <c r="IJ32" s="267"/>
      <c r="IK32" s="267"/>
      <c r="IL32" s="267"/>
      <c r="IM32" s="267"/>
      <c r="IN32" s="267"/>
      <c r="IO32" s="267"/>
      <c r="IP32" s="267"/>
      <c r="IQ32" s="267"/>
      <c r="IR32" s="267"/>
      <c r="IS32" s="267"/>
      <c r="IT32" s="267"/>
      <c r="IU32" s="267"/>
      <c r="IV32" s="267"/>
      <c r="IW32" s="267"/>
    </row>
    <row r="33" customFormat="false" ht="12" hidden="false" customHeight="true" outlineLevel="0" collapsed="false">
      <c r="A33" s="294"/>
      <c r="B33" s="272"/>
      <c r="C33" s="302"/>
      <c r="D33" s="315"/>
      <c r="E33" s="316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86"/>
      <c r="R33" s="286"/>
      <c r="S33" s="284"/>
      <c r="T33" s="284"/>
      <c r="U33" s="284"/>
      <c r="V33" s="284"/>
      <c r="W33" s="284"/>
      <c r="X33" s="284"/>
      <c r="Y33" s="302"/>
      <c r="Z33" s="287"/>
      <c r="AA33" s="287"/>
      <c r="AB33" s="287"/>
      <c r="AC33" s="265"/>
      <c r="AD33" s="303"/>
      <c r="AE33" s="266"/>
      <c r="AF33" s="266"/>
      <c r="AG33" s="266"/>
      <c r="AH33" s="266"/>
      <c r="AI33" s="266"/>
      <c r="AJ33" s="266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  <c r="CB33" s="267"/>
      <c r="CC33" s="267"/>
      <c r="CD33" s="267"/>
      <c r="CE33" s="267"/>
      <c r="CF33" s="267"/>
      <c r="CG33" s="267"/>
      <c r="CH33" s="267"/>
      <c r="CI33" s="267"/>
      <c r="CJ33" s="267"/>
      <c r="CK33" s="267"/>
      <c r="CL33" s="267"/>
      <c r="CM33" s="267"/>
      <c r="CN33" s="267"/>
      <c r="CO33" s="267"/>
      <c r="CP33" s="267"/>
      <c r="CQ33" s="267"/>
      <c r="CR33" s="267"/>
      <c r="CS33" s="267"/>
      <c r="CT33" s="267"/>
      <c r="CU33" s="267"/>
      <c r="CV33" s="267"/>
      <c r="CW33" s="267"/>
      <c r="CX33" s="267"/>
      <c r="CY33" s="267"/>
      <c r="CZ33" s="267"/>
      <c r="DA33" s="267"/>
      <c r="DB33" s="267"/>
      <c r="DC33" s="267"/>
      <c r="DD33" s="267"/>
      <c r="DE33" s="267"/>
      <c r="DF33" s="267"/>
      <c r="DG33" s="267"/>
      <c r="DH33" s="267"/>
      <c r="DI33" s="267"/>
      <c r="DJ33" s="267"/>
      <c r="DK33" s="267"/>
      <c r="DL33" s="267"/>
      <c r="DM33" s="267"/>
      <c r="DN33" s="267"/>
      <c r="DO33" s="267"/>
      <c r="DP33" s="267"/>
      <c r="DQ33" s="267"/>
      <c r="DR33" s="267"/>
      <c r="DS33" s="267"/>
      <c r="DT33" s="267"/>
      <c r="DU33" s="267"/>
      <c r="DV33" s="267"/>
      <c r="DW33" s="267"/>
      <c r="DX33" s="267"/>
      <c r="DY33" s="267"/>
      <c r="DZ33" s="267"/>
      <c r="EA33" s="267"/>
      <c r="EB33" s="267"/>
      <c r="EC33" s="267"/>
      <c r="ED33" s="267"/>
      <c r="EE33" s="267"/>
      <c r="EF33" s="267"/>
      <c r="EG33" s="267"/>
      <c r="EH33" s="267"/>
      <c r="EI33" s="267"/>
      <c r="EJ33" s="267"/>
      <c r="EK33" s="267"/>
      <c r="EL33" s="267"/>
      <c r="EM33" s="267"/>
      <c r="EN33" s="267"/>
      <c r="EO33" s="267"/>
      <c r="EP33" s="267"/>
      <c r="EQ33" s="267"/>
      <c r="ER33" s="267"/>
      <c r="ES33" s="267"/>
      <c r="ET33" s="267"/>
      <c r="EU33" s="267"/>
      <c r="EV33" s="267"/>
      <c r="EW33" s="267"/>
      <c r="EX33" s="267"/>
      <c r="EY33" s="267"/>
      <c r="EZ33" s="267"/>
      <c r="FA33" s="267"/>
      <c r="FB33" s="267"/>
      <c r="FC33" s="267"/>
      <c r="FD33" s="267"/>
      <c r="FE33" s="267"/>
      <c r="FF33" s="267"/>
      <c r="FG33" s="267"/>
      <c r="FH33" s="267"/>
      <c r="FI33" s="267"/>
      <c r="FJ33" s="267"/>
      <c r="FK33" s="267"/>
      <c r="FL33" s="267"/>
      <c r="FM33" s="267"/>
      <c r="FN33" s="267"/>
      <c r="FO33" s="267"/>
      <c r="FP33" s="267"/>
      <c r="FQ33" s="267"/>
      <c r="FR33" s="267"/>
      <c r="FS33" s="267"/>
      <c r="FT33" s="267"/>
      <c r="FU33" s="267"/>
      <c r="FV33" s="267"/>
      <c r="FW33" s="267"/>
      <c r="FX33" s="267"/>
      <c r="FY33" s="267"/>
      <c r="FZ33" s="267"/>
      <c r="GA33" s="267"/>
      <c r="GB33" s="267"/>
      <c r="GC33" s="267"/>
      <c r="GD33" s="267"/>
      <c r="GE33" s="267"/>
      <c r="GF33" s="267"/>
      <c r="GG33" s="267"/>
      <c r="GH33" s="267"/>
      <c r="GI33" s="267"/>
      <c r="GJ33" s="267"/>
      <c r="GK33" s="267"/>
      <c r="GL33" s="267"/>
      <c r="GM33" s="267"/>
      <c r="GN33" s="267"/>
      <c r="GO33" s="267"/>
      <c r="GP33" s="267"/>
      <c r="GQ33" s="267"/>
      <c r="GR33" s="267"/>
      <c r="GS33" s="267"/>
      <c r="GT33" s="267"/>
      <c r="GU33" s="267"/>
      <c r="GV33" s="267"/>
      <c r="GW33" s="267"/>
      <c r="GX33" s="267"/>
      <c r="GY33" s="267"/>
      <c r="GZ33" s="267"/>
      <c r="HA33" s="267"/>
      <c r="HB33" s="267"/>
      <c r="HC33" s="267"/>
      <c r="HD33" s="267"/>
      <c r="HE33" s="267"/>
      <c r="HF33" s="267"/>
      <c r="HG33" s="267"/>
      <c r="HH33" s="267"/>
      <c r="HI33" s="267"/>
      <c r="HJ33" s="267"/>
      <c r="HK33" s="267"/>
      <c r="HL33" s="267"/>
      <c r="HM33" s="267"/>
      <c r="HN33" s="267"/>
      <c r="HO33" s="267"/>
      <c r="HP33" s="267"/>
      <c r="HQ33" s="267"/>
      <c r="HR33" s="267"/>
      <c r="HS33" s="267"/>
      <c r="HT33" s="267"/>
      <c r="HU33" s="267"/>
      <c r="HV33" s="267"/>
      <c r="HW33" s="267"/>
      <c r="HX33" s="267"/>
      <c r="HY33" s="267"/>
      <c r="HZ33" s="267"/>
      <c r="IA33" s="267"/>
      <c r="IB33" s="267"/>
      <c r="IC33" s="267"/>
      <c r="ID33" s="267"/>
      <c r="IE33" s="267"/>
      <c r="IF33" s="267"/>
      <c r="IG33" s="267"/>
      <c r="IH33" s="267"/>
      <c r="II33" s="267"/>
      <c r="IJ33" s="267"/>
      <c r="IK33" s="267"/>
      <c r="IL33" s="267"/>
      <c r="IM33" s="267"/>
      <c r="IN33" s="267"/>
      <c r="IO33" s="267"/>
      <c r="IP33" s="267"/>
      <c r="IQ33" s="267"/>
      <c r="IR33" s="267"/>
      <c r="IS33" s="267"/>
      <c r="IT33" s="267"/>
      <c r="IU33" s="267"/>
      <c r="IV33" s="267"/>
      <c r="IW33" s="267"/>
    </row>
    <row r="34" customFormat="false" ht="12" hidden="false" customHeight="true" outlineLevel="0" collapsed="false">
      <c r="A34" s="294" t="s">
        <v>74</v>
      </c>
      <c r="B34" s="271" t="s">
        <v>75</v>
      </c>
      <c r="C34" s="302" t="s">
        <v>77</v>
      </c>
      <c r="D34" s="315" t="n">
        <f aca="false">'E. VaR &amp; Peak Pos By Trader'!E34</f>
        <v>36695.2058111901</v>
      </c>
      <c r="E34" s="316" t="n">
        <f aca="false">'E. VaR &amp; Peak Pos By Trader'!F34</f>
        <v>2341.26130558961</v>
      </c>
      <c r="F34" s="274" t="n">
        <f aca="false">VLOOKUP($B34,'[3]Delta Monthly'!$A$1:$AW$55,5,1)</f>
        <v>0</v>
      </c>
      <c r="G34" s="274" t="n">
        <f aca="false">VLOOKUP($B34,'[3]Delta Monthly'!$A$1:$AW$55,7,1)</f>
        <v>0</v>
      </c>
      <c r="H34" s="274" t="n">
        <f aca="false">VLOOKUP($B34,'[3]Delta Monthly'!$A$1:$AW$55,9,1)</f>
        <v>0</v>
      </c>
      <c r="I34" s="274" t="n">
        <f aca="false">VLOOKUP($B34,'[3]Delta Monthly'!$A$1:$AW$55,11,0)</f>
        <v>0</v>
      </c>
      <c r="J34" s="274" t="n">
        <f aca="false">VLOOKUP($B34,'[3]Delta Monthly'!$A$1:$AW$55,13,0)</f>
        <v>0</v>
      </c>
      <c r="K34" s="274" t="n">
        <f aca="false">VLOOKUP($B34,'[3]Delta Monthly'!$A$1:$AW$55,15,0)</f>
        <v>0</v>
      </c>
      <c r="L34" s="274" t="n">
        <f aca="false">+VLOOKUP($B34,'[3]Delta Monthly'!$A$1:$AW$55,17,0)</f>
        <v>0</v>
      </c>
      <c r="M34" s="274" t="n">
        <f aca="false">VLOOKUP($B34,'[3]Delta Monthly'!$A$1:$AW$55,19,0)</f>
        <v>0</v>
      </c>
      <c r="N34" s="274" t="n">
        <f aca="false">VLOOKUP($B34,'[3]Delta Monthly'!$A$1:$AW$55,21,FALSE())</f>
        <v>0</v>
      </c>
      <c r="O34" s="274" t="n">
        <f aca="false">VLOOKUP($B34,'[3]Delta Monthly'!$A$1:$AW$55,23,FALSE())</f>
        <v>17167.3363353253</v>
      </c>
      <c r="P34" s="274" t="n">
        <f aca="false">VLOOKUP($B34,'[3]Delta Monthly'!$A$1:$AW$55,25,FALSE())</f>
        <v>21122.4595828265</v>
      </c>
      <c r="Q34" s="286" t="n">
        <f aca="false">SUM(F34:P34)</f>
        <v>38289.7959181518</v>
      </c>
      <c r="R34" s="305" t="n">
        <f aca="false">VLOOKUP($B34,'[3]Delta Monthly'!$A$1:$AW$55,27,0)+VLOOKUP($B34,'[3]Delta Monthly'!$A$1:$AW$55,29,0)</f>
        <v>0</v>
      </c>
      <c r="S34" s="274" t="n">
        <f aca="false">VLOOKUP($B34,'[3]Delta Monthly'!$A$1:$AW$55,31,0)+VLOOKUP($B34,'[3]Delta Monthly'!$A$1:$AW$55,33,0)</f>
        <v>0</v>
      </c>
      <c r="T34" s="274" t="n">
        <f aca="false">VLOOKUP($B34,'[3]Delta Monthly'!$A$1:$AW$55,35,0)</f>
        <v>0</v>
      </c>
      <c r="U34" s="274" t="n">
        <f aca="false">VLOOKUP($B34,'[3]Delta Monthly'!$A$1:$AW$55,37,0)</f>
        <v>0</v>
      </c>
      <c r="V34" s="274" t="n">
        <f aca="false">VLOOKUP($B34,'[3]Delta Monthly'!$A$1:$AW$55,39,0)+VLOOKUP($B34,'[3]Delta Monthly'!$A$1:$AW$55,41,0)</f>
        <v>0</v>
      </c>
      <c r="W34" s="274" t="n">
        <f aca="false">VLOOKUP($B34,'[3]Delta Monthly'!$A$1:$AW$55,43,0)</f>
        <v>0</v>
      </c>
      <c r="X34" s="274" t="n">
        <f aca="false">VLOOKUP($B34,'[3]Delta Monthly'!$A$1:$AW$55,45,0)+VLOOKUP($B34,'[3]Delta Monthly'!$A$1:$AW$55,47,0)+VLOOKUP($B34,'[3]Delta Monthly'!$A$1:$AW$55,49,0)</f>
        <v>0</v>
      </c>
      <c r="Y34" s="302" t="n">
        <f aca="false">SUM(R34:X34)</f>
        <v>0</v>
      </c>
      <c r="Z34" s="287" t="n">
        <f aca="false">VLOOKUP($B34,'[5]Delta Yearly'!$A$1:$AC$55,5,0)</f>
        <v>0</v>
      </c>
      <c r="AA34" s="287" t="n">
        <f aca="false">VLOOKUP($B34,'[5]Delta Yearly'!$A$1:$AC$55,7,FALSE())+VLOOKUP($B34,'[5]Delta Yearly'!$A$1:$AC$55,9,FALSE())+VLOOKUP($B34,'[5]Delta Yearly'!$A$1:$AC$55,11,FALSE())+VLOOKUP($B34,'[5]Delta Yearly'!$A$1:$AC$55,13,FALSE())+VLOOKUP($B34,'[5]Delta Yearly'!$A$1:$AC$55,15,FALSE())+VLOOKUP($B34,'[5]Delta Yearly'!$A$1:$AC$55,17,FALSE())+VLOOKUP($B34,'[5]Delta Yearly'!$A$1:$AC$55,19,FALSE())+VLOOKUP($B34,'[5]Delta Yearly'!$A$1:$AC$55,21,FALSE())+VLOOKUP($B34,'[5]Delta Yearly'!$A$1:$AC$55,23,FALSE())+VLOOKUP($B34,'[5]Delta Yearly'!$A$1:$AC$55,25,FALSE())+VLOOKUP($B34,'[5]Delta Yearly'!$A$1:$AC$55,27,FALSE())+VLOOKUP($B34,'[5]Delta Yearly'!$A$1:$AC$55,29,FALSE())</f>
        <v>0</v>
      </c>
      <c r="AB34" s="287" t="n">
        <f aca="false">SUM(AA34,Z34,Y34,Q34)</f>
        <v>38289.7959181518</v>
      </c>
      <c r="AC34" s="265"/>
      <c r="AD34" s="303"/>
      <c r="AE34" s="266"/>
      <c r="AF34" s="266"/>
      <c r="AG34" s="266"/>
      <c r="AH34" s="266"/>
      <c r="AI34" s="266"/>
      <c r="AJ34" s="266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  <c r="BY34" s="267"/>
      <c r="BZ34" s="267"/>
      <c r="CA34" s="267"/>
      <c r="CB34" s="267"/>
      <c r="CC34" s="267"/>
      <c r="CD34" s="267"/>
      <c r="CE34" s="267"/>
      <c r="CF34" s="267"/>
      <c r="CG34" s="267"/>
      <c r="CH34" s="267"/>
      <c r="CI34" s="267"/>
      <c r="CJ34" s="267"/>
      <c r="CK34" s="267"/>
      <c r="CL34" s="267"/>
      <c r="CM34" s="267"/>
      <c r="CN34" s="267"/>
      <c r="CO34" s="267"/>
      <c r="CP34" s="267"/>
      <c r="CQ34" s="267"/>
      <c r="CR34" s="267"/>
      <c r="CS34" s="267"/>
      <c r="CT34" s="267"/>
      <c r="CU34" s="267"/>
      <c r="CV34" s="267"/>
      <c r="CW34" s="267"/>
      <c r="CX34" s="267"/>
      <c r="CY34" s="267"/>
      <c r="CZ34" s="267"/>
      <c r="DA34" s="267"/>
      <c r="DB34" s="267"/>
      <c r="DC34" s="267"/>
      <c r="DD34" s="267"/>
      <c r="DE34" s="267"/>
      <c r="DF34" s="267"/>
      <c r="DG34" s="267"/>
      <c r="DH34" s="267"/>
      <c r="DI34" s="267"/>
      <c r="DJ34" s="267"/>
      <c r="DK34" s="267"/>
      <c r="DL34" s="267"/>
      <c r="DM34" s="267"/>
      <c r="DN34" s="267"/>
      <c r="DO34" s="267"/>
      <c r="DP34" s="267"/>
      <c r="DQ34" s="267"/>
      <c r="DR34" s="267"/>
      <c r="DS34" s="267"/>
      <c r="DT34" s="267"/>
      <c r="DU34" s="267"/>
      <c r="DV34" s="267"/>
      <c r="DW34" s="267"/>
      <c r="DX34" s="267"/>
      <c r="DY34" s="267"/>
      <c r="DZ34" s="267"/>
      <c r="EA34" s="267"/>
      <c r="EB34" s="267"/>
      <c r="EC34" s="267"/>
      <c r="ED34" s="267"/>
      <c r="EE34" s="267"/>
      <c r="EF34" s="267"/>
      <c r="EG34" s="267"/>
      <c r="EH34" s="267"/>
      <c r="EI34" s="267"/>
      <c r="EJ34" s="267"/>
      <c r="EK34" s="267"/>
      <c r="EL34" s="267"/>
      <c r="EM34" s="267"/>
      <c r="EN34" s="267"/>
      <c r="EO34" s="267"/>
      <c r="EP34" s="267"/>
      <c r="EQ34" s="267"/>
      <c r="ER34" s="267"/>
      <c r="ES34" s="267"/>
      <c r="ET34" s="267"/>
      <c r="EU34" s="267"/>
      <c r="EV34" s="267"/>
      <c r="EW34" s="267"/>
      <c r="EX34" s="267"/>
      <c r="EY34" s="267"/>
      <c r="EZ34" s="267"/>
      <c r="FA34" s="267"/>
      <c r="FB34" s="267"/>
      <c r="FC34" s="267"/>
      <c r="FD34" s="267"/>
      <c r="FE34" s="267"/>
      <c r="FF34" s="267"/>
      <c r="FG34" s="267"/>
      <c r="FH34" s="267"/>
      <c r="FI34" s="267"/>
      <c r="FJ34" s="267"/>
      <c r="FK34" s="267"/>
      <c r="FL34" s="267"/>
      <c r="FM34" s="267"/>
      <c r="FN34" s="267"/>
      <c r="FO34" s="267"/>
      <c r="FP34" s="267"/>
      <c r="FQ34" s="267"/>
      <c r="FR34" s="267"/>
      <c r="FS34" s="267"/>
      <c r="FT34" s="267"/>
      <c r="FU34" s="267"/>
      <c r="FV34" s="267"/>
      <c r="FW34" s="267"/>
      <c r="FX34" s="267"/>
      <c r="FY34" s="267"/>
      <c r="FZ34" s="267"/>
      <c r="GA34" s="267"/>
      <c r="GB34" s="267"/>
      <c r="GC34" s="267"/>
      <c r="GD34" s="267"/>
      <c r="GE34" s="267"/>
      <c r="GF34" s="267"/>
      <c r="GG34" s="267"/>
      <c r="GH34" s="267"/>
      <c r="GI34" s="267"/>
      <c r="GJ34" s="267"/>
      <c r="GK34" s="267"/>
      <c r="GL34" s="267"/>
      <c r="GM34" s="267"/>
      <c r="GN34" s="267"/>
      <c r="GO34" s="267"/>
      <c r="GP34" s="267"/>
      <c r="GQ34" s="267"/>
      <c r="GR34" s="267"/>
      <c r="GS34" s="267"/>
      <c r="GT34" s="267"/>
      <c r="GU34" s="267"/>
      <c r="GV34" s="267"/>
      <c r="GW34" s="267"/>
      <c r="GX34" s="267"/>
      <c r="GY34" s="267"/>
      <c r="GZ34" s="267"/>
      <c r="HA34" s="267"/>
      <c r="HB34" s="267"/>
      <c r="HC34" s="267"/>
      <c r="HD34" s="267"/>
      <c r="HE34" s="267"/>
      <c r="HF34" s="267"/>
      <c r="HG34" s="267"/>
      <c r="HH34" s="267"/>
      <c r="HI34" s="267"/>
      <c r="HJ34" s="267"/>
      <c r="HK34" s="267"/>
      <c r="HL34" s="267"/>
      <c r="HM34" s="267"/>
      <c r="HN34" s="267"/>
      <c r="HO34" s="267"/>
      <c r="HP34" s="267"/>
      <c r="HQ34" s="267"/>
      <c r="HR34" s="267"/>
      <c r="HS34" s="267"/>
      <c r="HT34" s="267"/>
      <c r="HU34" s="267"/>
      <c r="HV34" s="267"/>
      <c r="HW34" s="267"/>
      <c r="HX34" s="267"/>
      <c r="HY34" s="267"/>
      <c r="HZ34" s="267"/>
      <c r="IA34" s="267"/>
      <c r="IB34" s="267"/>
      <c r="IC34" s="267"/>
      <c r="ID34" s="267"/>
      <c r="IE34" s="267"/>
      <c r="IF34" s="267"/>
      <c r="IG34" s="267"/>
      <c r="IH34" s="267"/>
      <c r="II34" s="267"/>
      <c r="IJ34" s="267"/>
      <c r="IK34" s="267"/>
      <c r="IL34" s="267"/>
      <c r="IM34" s="267"/>
      <c r="IN34" s="267"/>
      <c r="IO34" s="267"/>
      <c r="IP34" s="267"/>
      <c r="IQ34" s="267"/>
      <c r="IR34" s="267"/>
      <c r="IS34" s="267"/>
      <c r="IT34" s="267"/>
      <c r="IU34" s="267"/>
      <c r="IV34" s="267"/>
      <c r="IW34" s="267"/>
    </row>
    <row r="35" customFormat="false" ht="11.1" hidden="false" customHeight="true" outlineLevel="0" collapsed="false">
      <c r="A35" s="294"/>
      <c r="B35" s="272"/>
      <c r="C35" s="302"/>
      <c r="D35" s="315"/>
      <c r="E35" s="317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86"/>
      <c r="R35" s="286"/>
      <c r="S35" s="284"/>
      <c r="T35" s="284"/>
      <c r="U35" s="284"/>
      <c r="V35" s="284"/>
      <c r="W35" s="284"/>
      <c r="X35" s="284"/>
      <c r="Y35" s="308"/>
      <c r="Z35" s="309"/>
      <c r="AA35" s="309"/>
      <c r="AB35" s="287"/>
      <c r="AC35" s="265"/>
      <c r="AD35" s="303"/>
      <c r="AE35" s="266"/>
      <c r="AF35" s="266"/>
      <c r="AG35" s="266"/>
      <c r="AH35" s="266"/>
      <c r="AI35" s="266"/>
      <c r="AJ35" s="266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  <c r="CB35" s="267"/>
      <c r="CC35" s="267"/>
      <c r="CD35" s="267"/>
      <c r="CE35" s="267"/>
      <c r="CF35" s="267"/>
      <c r="CG35" s="267"/>
      <c r="CH35" s="267"/>
      <c r="CI35" s="267"/>
      <c r="CJ35" s="267"/>
      <c r="CK35" s="267"/>
      <c r="CL35" s="267"/>
      <c r="CM35" s="267"/>
      <c r="CN35" s="267"/>
      <c r="CO35" s="267"/>
      <c r="CP35" s="267"/>
      <c r="CQ35" s="267"/>
      <c r="CR35" s="267"/>
      <c r="CS35" s="267"/>
      <c r="CT35" s="267"/>
      <c r="CU35" s="267"/>
      <c r="CV35" s="267"/>
      <c r="CW35" s="267"/>
      <c r="CX35" s="267"/>
      <c r="CY35" s="267"/>
      <c r="CZ35" s="267"/>
      <c r="DA35" s="267"/>
      <c r="DB35" s="267"/>
      <c r="DC35" s="267"/>
      <c r="DD35" s="267"/>
      <c r="DE35" s="267"/>
      <c r="DF35" s="267"/>
      <c r="DG35" s="267"/>
      <c r="DH35" s="267"/>
      <c r="DI35" s="267"/>
      <c r="DJ35" s="267"/>
      <c r="DK35" s="267"/>
      <c r="DL35" s="267"/>
      <c r="DM35" s="267"/>
      <c r="DN35" s="267"/>
      <c r="DO35" s="267"/>
      <c r="DP35" s="267"/>
      <c r="DQ35" s="267"/>
      <c r="DR35" s="267"/>
      <c r="DS35" s="267"/>
      <c r="DT35" s="267"/>
      <c r="DU35" s="267"/>
      <c r="DV35" s="267"/>
      <c r="DW35" s="267"/>
      <c r="DX35" s="267"/>
      <c r="DY35" s="267"/>
      <c r="DZ35" s="267"/>
      <c r="EA35" s="267"/>
      <c r="EB35" s="267"/>
      <c r="EC35" s="267"/>
      <c r="ED35" s="267"/>
      <c r="EE35" s="267"/>
      <c r="EF35" s="267"/>
      <c r="EG35" s="267"/>
      <c r="EH35" s="267"/>
      <c r="EI35" s="267"/>
      <c r="EJ35" s="267"/>
      <c r="EK35" s="267"/>
      <c r="EL35" s="267"/>
      <c r="EM35" s="267"/>
      <c r="EN35" s="267"/>
      <c r="EO35" s="267"/>
      <c r="EP35" s="267"/>
      <c r="EQ35" s="267"/>
      <c r="ER35" s="267"/>
      <c r="ES35" s="267"/>
      <c r="ET35" s="267"/>
      <c r="EU35" s="267"/>
      <c r="EV35" s="267"/>
      <c r="EW35" s="267"/>
      <c r="EX35" s="267"/>
      <c r="EY35" s="267"/>
      <c r="EZ35" s="267"/>
      <c r="FA35" s="267"/>
      <c r="FB35" s="267"/>
      <c r="FC35" s="267"/>
      <c r="FD35" s="267"/>
      <c r="FE35" s="267"/>
      <c r="FF35" s="267"/>
      <c r="FG35" s="267"/>
      <c r="FH35" s="267"/>
      <c r="FI35" s="267"/>
      <c r="FJ35" s="267"/>
      <c r="FK35" s="267"/>
      <c r="FL35" s="267"/>
      <c r="FM35" s="267"/>
      <c r="FN35" s="267"/>
      <c r="FO35" s="267"/>
      <c r="FP35" s="267"/>
      <c r="FQ35" s="267"/>
      <c r="FR35" s="267"/>
      <c r="FS35" s="267"/>
      <c r="FT35" s="267"/>
      <c r="FU35" s="267"/>
      <c r="FV35" s="267"/>
      <c r="FW35" s="267"/>
      <c r="FX35" s="267"/>
      <c r="FY35" s="267"/>
      <c r="FZ35" s="267"/>
      <c r="GA35" s="267"/>
      <c r="GB35" s="267"/>
      <c r="GC35" s="267"/>
      <c r="GD35" s="267"/>
      <c r="GE35" s="267"/>
      <c r="GF35" s="267"/>
      <c r="GG35" s="267"/>
      <c r="GH35" s="267"/>
      <c r="GI35" s="267"/>
      <c r="GJ35" s="267"/>
      <c r="GK35" s="267"/>
      <c r="GL35" s="267"/>
      <c r="GM35" s="267"/>
      <c r="GN35" s="267"/>
      <c r="GO35" s="267"/>
      <c r="GP35" s="267"/>
      <c r="GQ35" s="267"/>
      <c r="GR35" s="267"/>
      <c r="GS35" s="267"/>
      <c r="GT35" s="267"/>
      <c r="GU35" s="267"/>
      <c r="GV35" s="267"/>
      <c r="GW35" s="267"/>
      <c r="GX35" s="267"/>
      <c r="GY35" s="267"/>
      <c r="GZ35" s="267"/>
      <c r="HA35" s="267"/>
      <c r="HB35" s="267"/>
      <c r="HC35" s="267"/>
      <c r="HD35" s="267"/>
      <c r="HE35" s="267"/>
      <c r="HF35" s="267"/>
      <c r="HG35" s="267"/>
      <c r="HH35" s="267"/>
      <c r="HI35" s="267"/>
      <c r="HJ35" s="267"/>
      <c r="HK35" s="267"/>
      <c r="HL35" s="267"/>
      <c r="HM35" s="267"/>
      <c r="HN35" s="267"/>
      <c r="HO35" s="267"/>
      <c r="HP35" s="267"/>
      <c r="HQ35" s="267"/>
      <c r="HR35" s="267"/>
      <c r="HS35" s="267"/>
      <c r="HT35" s="267"/>
      <c r="HU35" s="267"/>
      <c r="HV35" s="267"/>
      <c r="HW35" s="267"/>
      <c r="HX35" s="267"/>
      <c r="HY35" s="267"/>
      <c r="HZ35" s="267"/>
      <c r="IA35" s="267"/>
      <c r="IB35" s="267"/>
      <c r="IC35" s="267"/>
      <c r="ID35" s="267"/>
      <c r="IE35" s="267"/>
      <c r="IF35" s="267"/>
      <c r="IG35" s="267"/>
      <c r="IH35" s="267"/>
      <c r="II35" s="267"/>
      <c r="IJ35" s="267"/>
      <c r="IK35" s="267"/>
      <c r="IL35" s="267"/>
      <c r="IM35" s="267"/>
      <c r="IN35" s="267"/>
      <c r="IO35" s="267"/>
      <c r="IP35" s="267"/>
      <c r="IQ35" s="267"/>
      <c r="IR35" s="267"/>
      <c r="IS35" s="267"/>
      <c r="IT35" s="267"/>
      <c r="IU35" s="267"/>
      <c r="IV35" s="267"/>
      <c r="IW35" s="267"/>
    </row>
    <row r="36" customFormat="false" ht="12" hidden="false" customHeight="true" outlineLevel="0" collapsed="false">
      <c r="A36" s="318" t="s">
        <v>78</v>
      </c>
      <c r="B36" s="319" t="s">
        <v>78</v>
      </c>
      <c r="C36" s="320"/>
      <c r="D36" s="320" t="n">
        <f aca="false">'E. VaR &amp; Peak Pos By Trader'!E36</f>
        <v>10783563.586213</v>
      </c>
      <c r="E36" s="321" t="n">
        <f aca="false">'E. VaR &amp; Peak Pos By Trader'!F36</f>
        <v>597867.8213808</v>
      </c>
      <c r="F36" s="322" t="e">
        <f aca="false">SUM(F28,F30,#REF!,F32,F34)</f>
        <v>#REF!</v>
      </c>
      <c r="G36" s="322" t="e">
        <f aca="false">SUM(G28,G30,#REF!,G32,G34)</f>
        <v>#REF!</v>
      </c>
      <c r="H36" s="322" t="e">
        <f aca="false">SUM(H28,H30,#REF!,H32,H34)</f>
        <v>#REF!</v>
      </c>
      <c r="I36" s="322" t="e">
        <f aca="false">SUM(I28,I30,#REF!,I32,I34)</f>
        <v>#REF!</v>
      </c>
      <c r="J36" s="322" t="e">
        <f aca="false">SUM(J28,J30,#REF!,J32,J34)</f>
        <v>#REF!</v>
      </c>
      <c r="K36" s="322" t="e">
        <f aca="false">SUM(K28,K30,#REF!,K32,K34)</f>
        <v>#REF!</v>
      </c>
      <c r="L36" s="322" t="e">
        <f aca="false">SUM(L28,L30,#REF!,L32,L34)</f>
        <v>#REF!</v>
      </c>
      <c r="M36" s="322" t="e">
        <f aca="false">SUM(M28,M30,#REF!,M32,M34)</f>
        <v>#REF!</v>
      </c>
      <c r="N36" s="322" t="n">
        <f aca="false">SUM(N28,N30,N32,N34)</f>
        <v>0</v>
      </c>
      <c r="O36" s="322" t="n">
        <f aca="false">SUM(O28,O30,O32,O34)</f>
        <v>27952.9748183241</v>
      </c>
      <c r="P36" s="322" t="n">
        <f aca="false">SUM(P28,P30,P32,P34)</f>
        <v>75706.7533790893</v>
      </c>
      <c r="Q36" s="320" t="n">
        <f aca="false">SUM(Q28,Q30,Q32,Q34)</f>
        <v>103659.728197413</v>
      </c>
      <c r="R36" s="322" t="n">
        <f aca="false">SUM(R28,R30,R32,R34)</f>
        <v>-312408.215206581</v>
      </c>
      <c r="S36" s="322" t="n">
        <f aca="false">SUM(S28,S30,S32,S34)</f>
        <v>-439322.35543535</v>
      </c>
      <c r="T36" s="322" t="n">
        <f aca="false">SUM(T28,T30,T32,T34)</f>
        <v>-47455.4191358773</v>
      </c>
      <c r="U36" s="322" t="n">
        <f aca="false">SUM(U28,U30,U32,U34)</f>
        <v>-48832.8539882515</v>
      </c>
      <c r="V36" s="322" t="n">
        <f aca="false">SUM(V28,V30,V32,V34)</f>
        <v>-16930.4479529466</v>
      </c>
      <c r="W36" s="322" t="n">
        <f aca="false">SUM(W28,W30,W32,W34)</f>
        <v>-87606.5107822329</v>
      </c>
      <c r="X36" s="322" t="n">
        <f aca="false">SUM(X28,X30,X32,X34)</f>
        <v>-253452.831811456</v>
      </c>
      <c r="Y36" s="320" t="n">
        <f aca="false">SUM(Y28,Y30,Y32,Y34)</f>
        <v>-1206008.6343127</v>
      </c>
      <c r="Z36" s="320" t="n">
        <f aca="false">SUM(Z28,Z30,Z32,Z34)</f>
        <v>-1990987.5546057</v>
      </c>
      <c r="AA36" s="323" t="n">
        <f aca="false">SUM(AA28,AA30,AA32,AA34)</f>
        <v>-119774.776433346</v>
      </c>
      <c r="AB36" s="320" t="n">
        <f aca="false">SUM(AB28,AB30,AB32,AB34)</f>
        <v>-3213111.23715433</v>
      </c>
      <c r="AC36" s="265"/>
      <c r="AD36" s="303"/>
      <c r="AE36" s="266"/>
      <c r="AF36" s="266"/>
      <c r="AG36" s="266"/>
      <c r="AH36" s="266"/>
      <c r="AI36" s="266"/>
      <c r="AJ36" s="266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  <c r="CB36" s="267"/>
      <c r="CC36" s="267"/>
      <c r="CD36" s="267"/>
      <c r="CE36" s="267"/>
      <c r="CF36" s="267"/>
      <c r="CG36" s="267"/>
      <c r="CH36" s="267"/>
      <c r="CI36" s="267"/>
      <c r="CJ36" s="267"/>
      <c r="CK36" s="267"/>
      <c r="CL36" s="267"/>
      <c r="CM36" s="267"/>
      <c r="CN36" s="267"/>
      <c r="CO36" s="267"/>
      <c r="CP36" s="267"/>
      <c r="CQ36" s="267"/>
      <c r="CR36" s="267"/>
      <c r="CS36" s="267"/>
      <c r="CT36" s="267"/>
      <c r="CU36" s="267"/>
      <c r="CV36" s="267"/>
      <c r="CW36" s="267"/>
      <c r="CX36" s="267"/>
      <c r="CY36" s="267"/>
      <c r="CZ36" s="267"/>
      <c r="DA36" s="267"/>
      <c r="DB36" s="267"/>
      <c r="DC36" s="267"/>
      <c r="DD36" s="267"/>
      <c r="DE36" s="267"/>
      <c r="DF36" s="267"/>
      <c r="DG36" s="267"/>
      <c r="DH36" s="267"/>
      <c r="DI36" s="267"/>
      <c r="DJ36" s="267"/>
      <c r="DK36" s="267"/>
      <c r="DL36" s="267"/>
      <c r="DM36" s="267"/>
      <c r="DN36" s="267"/>
      <c r="DO36" s="267"/>
      <c r="DP36" s="267"/>
      <c r="DQ36" s="267"/>
      <c r="DR36" s="267"/>
      <c r="DS36" s="267"/>
      <c r="DT36" s="267"/>
      <c r="DU36" s="267"/>
      <c r="DV36" s="267"/>
      <c r="DW36" s="267"/>
      <c r="DX36" s="267"/>
      <c r="DY36" s="267"/>
      <c r="DZ36" s="267"/>
      <c r="EA36" s="267"/>
      <c r="EB36" s="267"/>
      <c r="EC36" s="267"/>
      <c r="ED36" s="267"/>
      <c r="EE36" s="267"/>
      <c r="EF36" s="267"/>
      <c r="EG36" s="267"/>
      <c r="EH36" s="267"/>
      <c r="EI36" s="267"/>
      <c r="EJ36" s="267"/>
      <c r="EK36" s="267"/>
      <c r="EL36" s="267"/>
      <c r="EM36" s="267"/>
      <c r="EN36" s="267"/>
      <c r="EO36" s="267"/>
      <c r="EP36" s="267"/>
      <c r="EQ36" s="267"/>
      <c r="ER36" s="267"/>
      <c r="ES36" s="267"/>
      <c r="ET36" s="267"/>
      <c r="EU36" s="267"/>
      <c r="EV36" s="267"/>
      <c r="EW36" s="267"/>
      <c r="EX36" s="267"/>
      <c r="EY36" s="267"/>
      <c r="EZ36" s="267"/>
      <c r="FA36" s="267"/>
      <c r="FB36" s="267"/>
      <c r="FC36" s="267"/>
      <c r="FD36" s="267"/>
      <c r="FE36" s="267"/>
      <c r="FF36" s="267"/>
      <c r="FG36" s="267"/>
      <c r="FH36" s="267"/>
      <c r="FI36" s="267"/>
      <c r="FJ36" s="267"/>
      <c r="FK36" s="267"/>
      <c r="FL36" s="267"/>
      <c r="FM36" s="267"/>
      <c r="FN36" s="267"/>
      <c r="FO36" s="267"/>
      <c r="FP36" s="267"/>
      <c r="FQ36" s="267"/>
      <c r="FR36" s="267"/>
      <c r="FS36" s="267"/>
      <c r="FT36" s="267"/>
      <c r="FU36" s="267"/>
      <c r="FV36" s="267"/>
      <c r="FW36" s="267"/>
      <c r="FX36" s="267"/>
      <c r="FY36" s="267"/>
      <c r="FZ36" s="267"/>
      <c r="GA36" s="267"/>
      <c r="GB36" s="267"/>
      <c r="GC36" s="267"/>
      <c r="GD36" s="267"/>
      <c r="GE36" s="267"/>
      <c r="GF36" s="267"/>
      <c r="GG36" s="267"/>
      <c r="GH36" s="267"/>
      <c r="GI36" s="267"/>
      <c r="GJ36" s="267"/>
      <c r="GK36" s="267"/>
      <c r="GL36" s="267"/>
      <c r="GM36" s="267"/>
      <c r="GN36" s="267"/>
      <c r="GO36" s="267"/>
      <c r="GP36" s="267"/>
      <c r="GQ36" s="267"/>
      <c r="GR36" s="267"/>
      <c r="GS36" s="267"/>
      <c r="GT36" s="267"/>
      <c r="GU36" s="267"/>
      <c r="GV36" s="267"/>
      <c r="GW36" s="267"/>
      <c r="GX36" s="267"/>
      <c r="GY36" s="267"/>
      <c r="GZ36" s="267"/>
      <c r="HA36" s="267"/>
      <c r="HB36" s="267"/>
      <c r="HC36" s="267"/>
      <c r="HD36" s="267"/>
      <c r="HE36" s="267"/>
      <c r="HF36" s="267"/>
      <c r="HG36" s="267"/>
      <c r="HH36" s="267"/>
      <c r="HI36" s="267"/>
      <c r="HJ36" s="267"/>
      <c r="HK36" s="267"/>
      <c r="HL36" s="267"/>
      <c r="HM36" s="267"/>
      <c r="HN36" s="267"/>
      <c r="HO36" s="267"/>
      <c r="HP36" s="267"/>
      <c r="HQ36" s="267"/>
      <c r="HR36" s="267"/>
      <c r="HS36" s="267"/>
      <c r="HT36" s="267"/>
      <c r="HU36" s="267"/>
      <c r="HV36" s="267"/>
      <c r="HW36" s="267"/>
      <c r="HX36" s="267"/>
      <c r="HY36" s="267"/>
      <c r="HZ36" s="267"/>
      <c r="IA36" s="267"/>
      <c r="IB36" s="267"/>
      <c r="IC36" s="267"/>
      <c r="ID36" s="267"/>
      <c r="IE36" s="267"/>
      <c r="IF36" s="267"/>
      <c r="IG36" s="267"/>
      <c r="IH36" s="267"/>
      <c r="II36" s="267"/>
      <c r="IJ36" s="267"/>
      <c r="IK36" s="267"/>
      <c r="IL36" s="267"/>
      <c r="IM36" s="267"/>
      <c r="IN36" s="267"/>
      <c r="IO36" s="267"/>
      <c r="IP36" s="267"/>
      <c r="IQ36" s="267"/>
      <c r="IR36" s="267"/>
      <c r="IS36" s="267"/>
      <c r="IT36" s="267"/>
      <c r="IU36" s="267"/>
      <c r="IV36" s="267"/>
      <c r="IW36" s="267"/>
    </row>
    <row r="37" customFormat="false" ht="12" hidden="false" customHeight="true" outlineLevel="0" collapsed="false">
      <c r="A37" s="271"/>
      <c r="B37" s="271"/>
      <c r="C37" s="28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32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65"/>
      <c r="AD37" s="303"/>
      <c r="AE37" s="266"/>
      <c r="AF37" s="266"/>
      <c r="AG37" s="266"/>
      <c r="AH37" s="266"/>
      <c r="AI37" s="266"/>
      <c r="AJ37" s="266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  <c r="CB37" s="267"/>
      <c r="CC37" s="267"/>
      <c r="CD37" s="267"/>
      <c r="CE37" s="267"/>
      <c r="CF37" s="267"/>
      <c r="CG37" s="267"/>
      <c r="CH37" s="267"/>
      <c r="CI37" s="267"/>
      <c r="CJ37" s="267"/>
      <c r="CK37" s="267"/>
      <c r="CL37" s="267"/>
      <c r="CM37" s="267"/>
      <c r="CN37" s="267"/>
      <c r="CO37" s="267"/>
      <c r="CP37" s="267"/>
      <c r="CQ37" s="267"/>
      <c r="CR37" s="267"/>
      <c r="CS37" s="267"/>
      <c r="CT37" s="267"/>
      <c r="CU37" s="267"/>
      <c r="CV37" s="267"/>
      <c r="CW37" s="267"/>
      <c r="CX37" s="267"/>
      <c r="CY37" s="267"/>
      <c r="CZ37" s="267"/>
      <c r="DA37" s="267"/>
      <c r="DB37" s="267"/>
      <c r="DC37" s="267"/>
      <c r="DD37" s="267"/>
      <c r="DE37" s="267"/>
      <c r="DF37" s="267"/>
      <c r="DG37" s="267"/>
      <c r="DH37" s="267"/>
      <c r="DI37" s="267"/>
      <c r="DJ37" s="267"/>
      <c r="DK37" s="267"/>
      <c r="DL37" s="267"/>
      <c r="DM37" s="267"/>
      <c r="DN37" s="267"/>
      <c r="DO37" s="267"/>
      <c r="DP37" s="267"/>
      <c r="DQ37" s="267"/>
      <c r="DR37" s="267"/>
      <c r="DS37" s="267"/>
      <c r="DT37" s="267"/>
      <c r="DU37" s="267"/>
      <c r="DV37" s="267"/>
      <c r="DW37" s="267"/>
      <c r="DX37" s="267"/>
      <c r="DY37" s="267"/>
      <c r="DZ37" s="267"/>
      <c r="EA37" s="267"/>
      <c r="EB37" s="267"/>
      <c r="EC37" s="267"/>
      <c r="ED37" s="267"/>
      <c r="EE37" s="267"/>
      <c r="EF37" s="267"/>
      <c r="EG37" s="267"/>
      <c r="EH37" s="267"/>
      <c r="EI37" s="267"/>
      <c r="EJ37" s="267"/>
      <c r="EK37" s="267"/>
      <c r="EL37" s="267"/>
      <c r="EM37" s="267"/>
      <c r="EN37" s="267"/>
      <c r="EO37" s="267"/>
      <c r="EP37" s="267"/>
      <c r="EQ37" s="267"/>
      <c r="ER37" s="267"/>
      <c r="ES37" s="267"/>
      <c r="ET37" s="267"/>
      <c r="EU37" s="267"/>
      <c r="EV37" s="267"/>
      <c r="EW37" s="267"/>
      <c r="EX37" s="267"/>
      <c r="EY37" s="267"/>
      <c r="EZ37" s="267"/>
      <c r="FA37" s="267"/>
      <c r="FB37" s="267"/>
      <c r="FC37" s="267"/>
      <c r="FD37" s="267"/>
      <c r="FE37" s="267"/>
      <c r="FF37" s="267"/>
      <c r="FG37" s="267"/>
      <c r="FH37" s="267"/>
      <c r="FI37" s="267"/>
      <c r="FJ37" s="267"/>
      <c r="FK37" s="267"/>
      <c r="FL37" s="267"/>
      <c r="FM37" s="267"/>
      <c r="FN37" s="267"/>
      <c r="FO37" s="267"/>
      <c r="FP37" s="267"/>
      <c r="FQ37" s="267"/>
      <c r="FR37" s="267"/>
      <c r="FS37" s="267"/>
      <c r="FT37" s="267"/>
      <c r="FU37" s="267"/>
      <c r="FV37" s="267"/>
      <c r="FW37" s="267"/>
      <c r="FX37" s="267"/>
      <c r="FY37" s="267"/>
      <c r="FZ37" s="267"/>
      <c r="GA37" s="267"/>
      <c r="GB37" s="267"/>
      <c r="GC37" s="267"/>
      <c r="GD37" s="267"/>
      <c r="GE37" s="267"/>
      <c r="GF37" s="267"/>
      <c r="GG37" s="267"/>
      <c r="GH37" s="267"/>
      <c r="GI37" s="267"/>
      <c r="GJ37" s="267"/>
      <c r="GK37" s="267"/>
      <c r="GL37" s="267"/>
      <c r="GM37" s="267"/>
      <c r="GN37" s="267"/>
      <c r="GO37" s="267"/>
      <c r="GP37" s="267"/>
      <c r="GQ37" s="267"/>
      <c r="GR37" s="267"/>
      <c r="GS37" s="267"/>
      <c r="GT37" s="267"/>
      <c r="GU37" s="267"/>
      <c r="GV37" s="267"/>
      <c r="GW37" s="267"/>
      <c r="GX37" s="267"/>
      <c r="GY37" s="267"/>
      <c r="GZ37" s="267"/>
      <c r="HA37" s="267"/>
      <c r="HB37" s="267"/>
      <c r="HC37" s="267"/>
      <c r="HD37" s="267"/>
      <c r="HE37" s="267"/>
      <c r="HF37" s="267"/>
      <c r="HG37" s="267"/>
      <c r="HH37" s="267"/>
      <c r="HI37" s="267"/>
      <c r="HJ37" s="267"/>
      <c r="HK37" s="267"/>
      <c r="HL37" s="267"/>
      <c r="HM37" s="267"/>
      <c r="HN37" s="267"/>
      <c r="HO37" s="267"/>
      <c r="HP37" s="267"/>
      <c r="HQ37" s="267"/>
      <c r="HR37" s="267"/>
      <c r="HS37" s="267"/>
      <c r="HT37" s="267"/>
      <c r="HU37" s="267"/>
      <c r="HV37" s="267"/>
      <c r="HW37" s="267"/>
      <c r="HX37" s="267"/>
      <c r="HY37" s="267"/>
      <c r="HZ37" s="267"/>
      <c r="IA37" s="267"/>
      <c r="IB37" s="267"/>
      <c r="IC37" s="267"/>
      <c r="ID37" s="267"/>
      <c r="IE37" s="267"/>
      <c r="IF37" s="267"/>
      <c r="IG37" s="267"/>
      <c r="IH37" s="267"/>
      <c r="II37" s="267"/>
      <c r="IJ37" s="267"/>
      <c r="IK37" s="267"/>
      <c r="IL37" s="267"/>
      <c r="IM37" s="267"/>
      <c r="IN37" s="267"/>
      <c r="IO37" s="267"/>
      <c r="IP37" s="267"/>
      <c r="IQ37" s="267"/>
      <c r="IR37" s="267"/>
      <c r="IS37" s="267"/>
      <c r="IT37" s="267"/>
      <c r="IU37" s="267"/>
      <c r="IV37" s="267"/>
      <c r="IW37" s="267"/>
    </row>
    <row r="38" customFormat="false" ht="12" hidden="false" customHeight="true" outlineLevel="0" collapsed="false">
      <c r="A38" s="295"/>
      <c r="B38" s="296"/>
      <c r="C38" s="279" t="s">
        <v>26</v>
      </c>
      <c r="D38" s="298" t="n">
        <f aca="false">'E. VaR &amp; Peak Pos By Trader'!E38</f>
        <v>12500000</v>
      </c>
      <c r="E38" s="325"/>
      <c r="F38" s="283"/>
      <c r="G38" s="283"/>
      <c r="H38" s="283"/>
      <c r="I38" s="281" t="s">
        <v>80</v>
      </c>
      <c r="J38" s="283"/>
      <c r="K38" s="283"/>
      <c r="L38" s="283"/>
      <c r="M38" s="283"/>
      <c r="N38" s="283"/>
      <c r="O38" s="283"/>
      <c r="P38" s="283"/>
      <c r="Q38" s="298"/>
      <c r="R38" s="298"/>
      <c r="S38" s="281"/>
      <c r="T38" s="281"/>
      <c r="U38" s="281"/>
      <c r="V38" s="281"/>
      <c r="W38" s="281"/>
      <c r="X38" s="281"/>
      <c r="Y38" s="279"/>
      <c r="Z38" s="281"/>
      <c r="AA38" s="279"/>
      <c r="AB38" s="280"/>
      <c r="AC38" s="326"/>
      <c r="AD38" s="303"/>
      <c r="AE38" s="266"/>
      <c r="AF38" s="266"/>
      <c r="AG38" s="266"/>
      <c r="AH38" s="266"/>
      <c r="AI38" s="266"/>
      <c r="AJ38" s="266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  <c r="CB38" s="267"/>
      <c r="CC38" s="267"/>
      <c r="CD38" s="267"/>
      <c r="CE38" s="267"/>
      <c r="CF38" s="267"/>
      <c r="CG38" s="267"/>
      <c r="CH38" s="267"/>
      <c r="CI38" s="267"/>
      <c r="CJ38" s="267"/>
      <c r="CK38" s="267"/>
      <c r="CL38" s="267"/>
      <c r="CM38" s="267"/>
      <c r="CN38" s="267"/>
      <c r="CO38" s="267"/>
      <c r="CP38" s="267"/>
      <c r="CQ38" s="267"/>
      <c r="CR38" s="267"/>
      <c r="CS38" s="267"/>
      <c r="CT38" s="267"/>
      <c r="CU38" s="267"/>
      <c r="CV38" s="267"/>
      <c r="CW38" s="267"/>
      <c r="CX38" s="267"/>
      <c r="CY38" s="267"/>
      <c r="CZ38" s="267"/>
      <c r="DA38" s="267"/>
      <c r="DB38" s="267"/>
      <c r="DC38" s="267"/>
      <c r="DD38" s="267"/>
      <c r="DE38" s="267"/>
      <c r="DF38" s="267"/>
      <c r="DG38" s="267"/>
      <c r="DH38" s="267"/>
      <c r="DI38" s="267"/>
      <c r="DJ38" s="267"/>
      <c r="DK38" s="267"/>
      <c r="DL38" s="267"/>
      <c r="DM38" s="267"/>
      <c r="DN38" s="267"/>
      <c r="DO38" s="267"/>
      <c r="DP38" s="267"/>
      <c r="DQ38" s="267"/>
      <c r="DR38" s="267"/>
      <c r="DS38" s="267"/>
      <c r="DT38" s="267"/>
      <c r="DU38" s="267"/>
      <c r="DV38" s="267"/>
      <c r="DW38" s="267"/>
      <c r="DX38" s="267"/>
      <c r="DY38" s="267"/>
      <c r="DZ38" s="267"/>
      <c r="EA38" s="267"/>
      <c r="EB38" s="267"/>
      <c r="EC38" s="267"/>
      <c r="ED38" s="267"/>
      <c r="EE38" s="267"/>
      <c r="EF38" s="267"/>
      <c r="EG38" s="267"/>
      <c r="EH38" s="267"/>
      <c r="EI38" s="267"/>
      <c r="EJ38" s="267"/>
      <c r="EK38" s="267"/>
      <c r="EL38" s="267"/>
      <c r="EM38" s="267"/>
      <c r="EN38" s="267"/>
      <c r="EO38" s="267"/>
      <c r="EP38" s="267"/>
      <c r="EQ38" s="267"/>
      <c r="ER38" s="267"/>
      <c r="ES38" s="267"/>
      <c r="ET38" s="267"/>
      <c r="EU38" s="267"/>
      <c r="EV38" s="267"/>
      <c r="EW38" s="267"/>
      <c r="EX38" s="267"/>
      <c r="EY38" s="267"/>
      <c r="EZ38" s="267"/>
      <c r="FA38" s="267"/>
      <c r="FB38" s="267"/>
      <c r="FC38" s="267"/>
      <c r="FD38" s="267"/>
      <c r="FE38" s="267"/>
      <c r="FF38" s="267"/>
      <c r="FG38" s="267"/>
      <c r="FH38" s="267"/>
      <c r="FI38" s="267"/>
      <c r="FJ38" s="267"/>
      <c r="FK38" s="267"/>
      <c r="FL38" s="267"/>
      <c r="FM38" s="267"/>
      <c r="FN38" s="267"/>
      <c r="FO38" s="267"/>
      <c r="FP38" s="267"/>
      <c r="FQ38" s="267"/>
      <c r="FR38" s="267"/>
      <c r="FS38" s="267"/>
      <c r="FT38" s="267"/>
      <c r="FU38" s="267"/>
      <c r="FV38" s="267"/>
      <c r="FW38" s="267"/>
      <c r="FX38" s="267"/>
      <c r="FY38" s="267"/>
      <c r="FZ38" s="267"/>
      <c r="GA38" s="267"/>
      <c r="GB38" s="267"/>
      <c r="GC38" s="267"/>
      <c r="GD38" s="267"/>
      <c r="GE38" s="267"/>
      <c r="GF38" s="267"/>
      <c r="GG38" s="267"/>
      <c r="GH38" s="267"/>
      <c r="GI38" s="267"/>
      <c r="GJ38" s="267"/>
      <c r="GK38" s="267"/>
      <c r="GL38" s="267"/>
      <c r="GM38" s="267"/>
      <c r="GN38" s="267"/>
      <c r="GO38" s="267"/>
      <c r="GP38" s="267"/>
      <c r="GQ38" s="267"/>
      <c r="GR38" s="267"/>
      <c r="GS38" s="267"/>
      <c r="GT38" s="267"/>
      <c r="GU38" s="267"/>
      <c r="GV38" s="267"/>
      <c r="GW38" s="267"/>
      <c r="GX38" s="267"/>
      <c r="GY38" s="267"/>
      <c r="GZ38" s="267"/>
      <c r="HA38" s="267"/>
      <c r="HB38" s="267"/>
      <c r="HC38" s="267"/>
      <c r="HD38" s="267"/>
      <c r="HE38" s="267"/>
      <c r="HF38" s="267"/>
      <c r="HG38" s="267"/>
      <c r="HH38" s="267"/>
      <c r="HI38" s="267"/>
      <c r="HJ38" s="267"/>
      <c r="HK38" s="267"/>
      <c r="HL38" s="267"/>
      <c r="HM38" s="267"/>
      <c r="HN38" s="267"/>
      <c r="HO38" s="267"/>
      <c r="HP38" s="267"/>
      <c r="HQ38" s="267"/>
      <c r="HR38" s="267"/>
      <c r="HS38" s="267"/>
      <c r="HT38" s="267"/>
      <c r="HU38" s="267"/>
      <c r="HV38" s="267"/>
      <c r="HW38" s="267"/>
      <c r="HX38" s="267"/>
      <c r="HY38" s="267"/>
      <c r="HZ38" s="267"/>
      <c r="IA38" s="267"/>
      <c r="IB38" s="267"/>
      <c r="IC38" s="267"/>
      <c r="ID38" s="267"/>
      <c r="IE38" s="267"/>
      <c r="IF38" s="267"/>
      <c r="IG38" s="267"/>
      <c r="IH38" s="267"/>
      <c r="II38" s="267"/>
      <c r="IJ38" s="267"/>
      <c r="IK38" s="267"/>
      <c r="IL38" s="267"/>
      <c r="IM38" s="267"/>
      <c r="IN38" s="267"/>
      <c r="IO38" s="267"/>
      <c r="IP38" s="267"/>
      <c r="IQ38" s="267"/>
      <c r="IR38" s="267"/>
      <c r="IS38" s="267"/>
      <c r="IT38" s="267"/>
      <c r="IU38" s="267"/>
      <c r="IV38" s="267"/>
      <c r="IW38" s="267"/>
    </row>
    <row r="39" customFormat="false" ht="12" hidden="false" customHeight="true" outlineLevel="0" collapsed="false">
      <c r="A39" s="314"/>
      <c r="B39" s="271"/>
      <c r="C39" s="302"/>
      <c r="D39" s="286"/>
      <c r="E39" s="327"/>
      <c r="F39" s="274"/>
      <c r="G39" s="274"/>
      <c r="H39" s="274"/>
      <c r="I39" s="284"/>
      <c r="J39" s="274"/>
      <c r="K39" s="274"/>
      <c r="L39" s="274"/>
      <c r="M39" s="274"/>
      <c r="N39" s="274"/>
      <c r="O39" s="274"/>
      <c r="P39" s="274"/>
      <c r="Q39" s="286"/>
      <c r="R39" s="286"/>
      <c r="S39" s="284"/>
      <c r="T39" s="284"/>
      <c r="U39" s="284"/>
      <c r="V39" s="284"/>
      <c r="W39" s="284"/>
      <c r="X39" s="284"/>
      <c r="Y39" s="302"/>
      <c r="Z39" s="328"/>
      <c r="AA39" s="300"/>
      <c r="AB39" s="287"/>
      <c r="AC39" s="329"/>
      <c r="AD39" s="330"/>
      <c r="AE39" s="331"/>
      <c r="AF39" s="331"/>
      <c r="AG39" s="331"/>
      <c r="AH39" s="331"/>
      <c r="AI39" s="331"/>
      <c r="AJ39" s="331"/>
      <c r="AK39" s="3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32"/>
      <c r="AV39" s="332"/>
      <c r="AW39" s="332"/>
      <c r="AX39" s="332"/>
      <c r="AY39" s="332"/>
      <c r="AZ39" s="332"/>
      <c r="BA39" s="332"/>
      <c r="BB39" s="332"/>
      <c r="BC39" s="332"/>
      <c r="BD39" s="332"/>
      <c r="BE39" s="332"/>
      <c r="BF39" s="332"/>
      <c r="BG39" s="332"/>
      <c r="BH39" s="332"/>
      <c r="BI39" s="332"/>
      <c r="BJ39" s="332"/>
      <c r="BK39" s="332"/>
      <c r="BL39" s="332"/>
      <c r="BM39" s="332"/>
      <c r="BN39" s="332"/>
      <c r="BO39" s="332"/>
      <c r="BP39" s="332"/>
      <c r="BQ39" s="332"/>
      <c r="BR39" s="332"/>
      <c r="BS39" s="332"/>
      <c r="BT39" s="332"/>
      <c r="BU39" s="332"/>
      <c r="BV39" s="332"/>
      <c r="BW39" s="332"/>
      <c r="BX39" s="332"/>
      <c r="BY39" s="332"/>
      <c r="BZ39" s="332"/>
      <c r="CA39" s="332"/>
      <c r="CB39" s="332"/>
      <c r="CC39" s="332"/>
      <c r="CD39" s="332"/>
      <c r="CE39" s="332"/>
      <c r="CF39" s="332"/>
      <c r="CG39" s="332"/>
      <c r="CH39" s="332"/>
      <c r="CI39" s="332"/>
      <c r="CJ39" s="332"/>
      <c r="CK39" s="332"/>
      <c r="CL39" s="332"/>
      <c r="CM39" s="332"/>
      <c r="CN39" s="332"/>
      <c r="CO39" s="332"/>
      <c r="CP39" s="332"/>
      <c r="CQ39" s="332"/>
      <c r="CR39" s="332"/>
      <c r="CS39" s="332"/>
      <c r="CT39" s="332"/>
      <c r="CU39" s="332"/>
      <c r="CV39" s="332"/>
      <c r="CW39" s="332"/>
      <c r="CX39" s="332"/>
      <c r="CY39" s="332"/>
      <c r="CZ39" s="332"/>
      <c r="DA39" s="332"/>
      <c r="DB39" s="332"/>
      <c r="DC39" s="332"/>
      <c r="DD39" s="332"/>
      <c r="DE39" s="332"/>
      <c r="DF39" s="332"/>
      <c r="DG39" s="332"/>
      <c r="DH39" s="332"/>
      <c r="DI39" s="332"/>
      <c r="DJ39" s="332"/>
      <c r="DK39" s="332"/>
      <c r="DL39" s="332"/>
      <c r="DM39" s="332"/>
      <c r="DN39" s="332"/>
      <c r="DO39" s="332"/>
      <c r="DP39" s="332"/>
      <c r="DQ39" s="332"/>
      <c r="DR39" s="332"/>
      <c r="DS39" s="332"/>
      <c r="DT39" s="332"/>
      <c r="DU39" s="332"/>
      <c r="DV39" s="332"/>
      <c r="DW39" s="332"/>
      <c r="DX39" s="332"/>
      <c r="DY39" s="332"/>
      <c r="DZ39" s="332"/>
      <c r="EA39" s="332"/>
      <c r="EB39" s="332"/>
      <c r="EC39" s="332"/>
      <c r="ED39" s="332"/>
      <c r="EE39" s="332"/>
      <c r="EF39" s="332"/>
      <c r="EG39" s="332"/>
      <c r="EH39" s="332"/>
      <c r="EI39" s="332"/>
      <c r="EJ39" s="332"/>
      <c r="EK39" s="332"/>
      <c r="EL39" s="332"/>
      <c r="EM39" s="332"/>
      <c r="EN39" s="332"/>
      <c r="EO39" s="332"/>
      <c r="EP39" s="332"/>
      <c r="EQ39" s="332"/>
      <c r="ER39" s="332"/>
      <c r="ES39" s="332"/>
      <c r="ET39" s="332"/>
      <c r="EU39" s="332"/>
      <c r="EV39" s="332"/>
      <c r="EW39" s="332"/>
      <c r="EX39" s="332"/>
      <c r="EY39" s="332"/>
      <c r="EZ39" s="332"/>
      <c r="FA39" s="332"/>
      <c r="FB39" s="332"/>
      <c r="FC39" s="332"/>
      <c r="FD39" s="332"/>
      <c r="FE39" s="332"/>
      <c r="FF39" s="332"/>
      <c r="FG39" s="332"/>
      <c r="FH39" s="332"/>
      <c r="FI39" s="332"/>
      <c r="FJ39" s="332"/>
      <c r="FK39" s="332"/>
      <c r="FL39" s="332"/>
      <c r="FM39" s="332"/>
      <c r="FN39" s="332"/>
      <c r="FO39" s="332"/>
      <c r="FP39" s="332"/>
      <c r="FQ39" s="332"/>
      <c r="FR39" s="332"/>
      <c r="FS39" s="332"/>
      <c r="FT39" s="332"/>
      <c r="FU39" s="332"/>
      <c r="FV39" s="332"/>
      <c r="FW39" s="332"/>
      <c r="FX39" s="332"/>
      <c r="FY39" s="332"/>
      <c r="FZ39" s="332"/>
      <c r="GA39" s="332"/>
      <c r="GB39" s="332"/>
      <c r="GC39" s="332"/>
      <c r="GD39" s="332"/>
      <c r="GE39" s="332"/>
      <c r="GF39" s="332"/>
      <c r="GG39" s="332"/>
      <c r="GH39" s="332"/>
      <c r="GI39" s="332"/>
      <c r="GJ39" s="332"/>
      <c r="GK39" s="332"/>
      <c r="GL39" s="332"/>
      <c r="GM39" s="332"/>
      <c r="GN39" s="332"/>
      <c r="GO39" s="332"/>
      <c r="GP39" s="332"/>
      <c r="GQ39" s="332"/>
      <c r="GR39" s="332"/>
      <c r="GS39" s="332"/>
      <c r="GT39" s="332"/>
      <c r="GU39" s="332"/>
      <c r="GV39" s="332"/>
      <c r="GW39" s="332"/>
      <c r="GX39" s="332"/>
      <c r="GY39" s="332"/>
      <c r="GZ39" s="332"/>
      <c r="HA39" s="332"/>
      <c r="HB39" s="332"/>
      <c r="HC39" s="332"/>
      <c r="HD39" s="332"/>
      <c r="HE39" s="332"/>
      <c r="HF39" s="332"/>
      <c r="HG39" s="332"/>
      <c r="HH39" s="332"/>
      <c r="HI39" s="332"/>
      <c r="HJ39" s="332"/>
      <c r="HK39" s="332"/>
      <c r="HL39" s="332"/>
      <c r="HM39" s="332"/>
      <c r="HN39" s="332"/>
      <c r="HO39" s="332"/>
      <c r="HP39" s="332"/>
      <c r="HQ39" s="332"/>
      <c r="HR39" s="332"/>
      <c r="HS39" s="332"/>
      <c r="HT39" s="332"/>
      <c r="HU39" s="332"/>
      <c r="HV39" s="332"/>
      <c r="HW39" s="332"/>
      <c r="HX39" s="332"/>
      <c r="HY39" s="332"/>
      <c r="HZ39" s="332"/>
      <c r="IA39" s="332"/>
      <c r="IB39" s="332"/>
      <c r="IC39" s="332"/>
      <c r="ID39" s="332"/>
      <c r="IE39" s="332"/>
      <c r="IF39" s="332"/>
      <c r="IG39" s="332"/>
      <c r="IH39" s="332"/>
      <c r="II39" s="332"/>
      <c r="IJ39" s="332"/>
      <c r="IK39" s="332"/>
      <c r="IL39" s="332"/>
      <c r="IM39" s="332"/>
      <c r="IN39" s="332"/>
      <c r="IO39" s="332"/>
      <c r="IP39" s="332"/>
      <c r="IQ39" s="332"/>
      <c r="IR39" s="332"/>
      <c r="IS39" s="332"/>
      <c r="IT39" s="332"/>
      <c r="IU39" s="332"/>
      <c r="IV39" s="332"/>
      <c r="IW39" s="332"/>
    </row>
    <row r="40" customFormat="false" ht="12.75" hidden="true" customHeight="false" outlineLevel="0" collapsed="false">
      <c r="A40" s="333"/>
      <c r="B40" s="334"/>
      <c r="C40" s="335"/>
      <c r="D40" s="336"/>
      <c r="E40" s="337"/>
      <c r="F40" s="338"/>
      <c r="G40" s="338"/>
      <c r="H40" s="338"/>
      <c r="I40" s="339"/>
      <c r="J40" s="338"/>
      <c r="K40" s="338"/>
      <c r="L40" s="338"/>
      <c r="M40" s="338"/>
      <c r="N40" s="338"/>
      <c r="O40" s="338"/>
      <c r="P40" s="338"/>
      <c r="Q40" s="335"/>
      <c r="R40" s="340"/>
      <c r="S40" s="339"/>
      <c r="T40" s="339"/>
      <c r="U40" s="339"/>
      <c r="V40" s="339"/>
      <c r="W40" s="339"/>
      <c r="X40" s="339"/>
      <c r="Y40" s="335"/>
      <c r="Z40" s="339"/>
      <c r="AA40" s="335" t="n">
        <f aca="false">VLOOKUP($B41,'[5]Delta Yearly'!$A$1:$AC$55,7,0)+VLOOKUP($B41,'[5]Delta Yearly'!$A$1:$AC$55,9,0)+VLOOKUP($B41,'[5]Delta Yearly'!$A$1:$AC$55,11,0)+VLOOKUP($B41,'[5]Delta Yearly'!$A$1:$AC$55,13,0)+VLOOKUP($B41,'[5]Delta Yearly'!$A$1:$AC$55,15,0)+VLOOKUP($B41,'[5]Delta Yearly'!$A$1:$AC$55,17,0)+VLOOKUP($B41,'[5]Delta Yearly'!$A$1:$AC$55,19,0)+VLOOKUP($B41,'[5]Delta Yearly'!$A$1:$AC$55,21,0)+VLOOKUP($B41,'[5]Delta Yearly'!$A$1:$AC$55,23,0)+VLOOKUP($B41,'[5]Delta Yearly'!$A$1:$AC$55,25,0)+VLOOKUP($B41,'[5]Delta Yearly'!$A$1:$AC$55,27,0)+VLOOKUP($B41,'[5]Delta Yearly'!$A$1:$AC$55,29,0)</f>
        <v>-211158.149940322</v>
      </c>
      <c r="AB40" s="341"/>
      <c r="AC40" s="265"/>
      <c r="AD40" s="303"/>
      <c r="AE40" s="266"/>
      <c r="AF40" s="266"/>
      <c r="AG40" s="266"/>
      <c r="AH40" s="266"/>
      <c r="AI40" s="266"/>
      <c r="AJ40" s="266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7"/>
      <c r="CC40" s="267"/>
      <c r="CD40" s="267"/>
      <c r="CE40" s="267"/>
      <c r="CF40" s="267"/>
      <c r="CG40" s="267"/>
      <c r="CH40" s="267"/>
      <c r="CI40" s="267"/>
      <c r="CJ40" s="267"/>
      <c r="CK40" s="267"/>
      <c r="CL40" s="267"/>
      <c r="CM40" s="267"/>
      <c r="CN40" s="267"/>
      <c r="CO40" s="267"/>
      <c r="CP40" s="267"/>
      <c r="CQ40" s="267"/>
      <c r="CR40" s="267"/>
      <c r="CS40" s="267"/>
      <c r="CT40" s="267"/>
      <c r="CU40" s="267"/>
      <c r="CV40" s="267"/>
      <c r="CW40" s="267"/>
      <c r="CX40" s="267"/>
      <c r="CY40" s="267"/>
      <c r="CZ40" s="267"/>
      <c r="DA40" s="267"/>
      <c r="DB40" s="267"/>
      <c r="DC40" s="267"/>
      <c r="DD40" s="267"/>
      <c r="DE40" s="267"/>
      <c r="DF40" s="267"/>
      <c r="DG40" s="267"/>
      <c r="DH40" s="267"/>
      <c r="DI40" s="267"/>
      <c r="DJ40" s="267"/>
      <c r="DK40" s="267"/>
      <c r="DL40" s="267"/>
      <c r="DM40" s="267"/>
      <c r="DN40" s="267"/>
      <c r="DO40" s="267"/>
      <c r="DP40" s="267"/>
      <c r="DQ40" s="267"/>
      <c r="DR40" s="267"/>
      <c r="DS40" s="267"/>
      <c r="DT40" s="267"/>
      <c r="DU40" s="267"/>
      <c r="DV40" s="267"/>
      <c r="DW40" s="267"/>
      <c r="DX40" s="267"/>
      <c r="DY40" s="267"/>
      <c r="DZ40" s="267"/>
      <c r="EA40" s="267"/>
      <c r="EB40" s="267"/>
      <c r="EC40" s="267"/>
      <c r="ED40" s="267"/>
      <c r="EE40" s="267"/>
      <c r="EF40" s="267"/>
      <c r="EG40" s="267"/>
      <c r="EH40" s="267"/>
      <c r="EI40" s="267"/>
      <c r="EJ40" s="267"/>
      <c r="EK40" s="267"/>
      <c r="EL40" s="267"/>
      <c r="EM40" s="267"/>
      <c r="EN40" s="267"/>
      <c r="EO40" s="267"/>
      <c r="EP40" s="267"/>
      <c r="EQ40" s="267"/>
      <c r="ER40" s="267"/>
      <c r="ES40" s="267"/>
      <c r="ET40" s="267"/>
      <c r="EU40" s="267"/>
      <c r="EV40" s="267"/>
      <c r="EW40" s="267"/>
      <c r="EX40" s="267"/>
      <c r="EY40" s="267"/>
      <c r="EZ40" s="267"/>
      <c r="FA40" s="267"/>
      <c r="FB40" s="267"/>
      <c r="FC40" s="267"/>
      <c r="FD40" s="267"/>
      <c r="FE40" s="267"/>
      <c r="FF40" s="267"/>
      <c r="FG40" s="267"/>
      <c r="FH40" s="267"/>
      <c r="FI40" s="267"/>
      <c r="FJ40" s="267"/>
      <c r="FK40" s="267"/>
      <c r="FL40" s="267"/>
      <c r="FM40" s="267"/>
      <c r="FN40" s="267"/>
      <c r="FO40" s="267"/>
      <c r="FP40" s="267"/>
      <c r="FQ40" s="267"/>
      <c r="FR40" s="267"/>
      <c r="FS40" s="267"/>
      <c r="FT40" s="267"/>
      <c r="FU40" s="267"/>
      <c r="FV40" s="267"/>
      <c r="FW40" s="267"/>
      <c r="FX40" s="267"/>
      <c r="FY40" s="267"/>
      <c r="FZ40" s="267"/>
      <c r="GA40" s="267"/>
      <c r="GB40" s="267"/>
      <c r="GC40" s="267"/>
      <c r="GD40" s="267"/>
      <c r="GE40" s="267"/>
      <c r="GF40" s="267"/>
      <c r="GG40" s="267"/>
      <c r="GH40" s="267"/>
      <c r="GI40" s="267"/>
      <c r="GJ40" s="267"/>
      <c r="GK40" s="267"/>
      <c r="GL40" s="267"/>
      <c r="GM40" s="267"/>
      <c r="GN40" s="267"/>
      <c r="GO40" s="267"/>
      <c r="GP40" s="267"/>
      <c r="GQ40" s="267"/>
      <c r="GR40" s="267"/>
      <c r="GS40" s="267"/>
      <c r="GT40" s="267"/>
      <c r="GU40" s="267"/>
      <c r="GV40" s="267"/>
      <c r="GW40" s="267"/>
      <c r="GX40" s="267"/>
      <c r="GY40" s="267"/>
      <c r="GZ40" s="267"/>
      <c r="HA40" s="267"/>
      <c r="HB40" s="267"/>
      <c r="HC40" s="267"/>
      <c r="HD40" s="267"/>
      <c r="HE40" s="267"/>
      <c r="HF40" s="267"/>
      <c r="HG40" s="267"/>
      <c r="HH40" s="267"/>
      <c r="HI40" s="267"/>
      <c r="HJ40" s="267"/>
      <c r="HK40" s="267"/>
      <c r="HL40" s="267"/>
      <c r="HM40" s="267"/>
      <c r="HN40" s="267"/>
      <c r="HO40" s="267"/>
      <c r="HP40" s="267"/>
      <c r="HQ40" s="267"/>
      <c r="HR40" s="267"/>
      <c r="HS40" s="267"/>
      <c r="HT40" s="267"/>
      <c r="HU40" s="267"/>
      <c r="HV40" s="267"/>
      <c r="HW40" s="267"/>
      <c r="HX40" s="267"/>
      <c r="HY40" s="267"/>
      <c r="HZ40" s="267"/>
      <c r="IA40" s="267"/>
      <c r="IB40" s="267"/>
      <c r="IC40" s="267"/>
      <c r="ID40" s="267"/>
      <c r="IE40" s="267"/>
      <c r="IF40" s="267"/>
      <c r="IG40" s="267"/>
      <c r="IH40" s="267"/>
      <c r="II40" s="267"/>
      <c r="IJ40" s="267"/>
      <c r="IK40" s="267"/>
      <c r="IL40" s="267"/>
      <c r="IM40" s="267"/>
      <c r="IN40" s="267"/>
      <c r="IO40" s="267"/>
      <c r="IP40" s="267"/>
      <c r="IQ40" s="267"/>
      <c r="IR40" s="267"/>
      <c r="IS40" s="267"/>
      <c r="IT40" s="267"/>
      <c r="IU40" s="267"/>
      <c r="IV40" s="267"/>
      <c r="IW40" s="267"/>
    </row>
    <row r="41" customFormat="false" ht="16.5" hidden="true" customHeight="true" outlineLevel="0" collapsed="false">
      <c r="A41" s="333"/>
      <c r="B41" s="342" t="s">
        <v>81</v>
      </c>
      <c r="C41" s="335"/>
      <c r="D41" s="340"/>
      <c r="E41" s="335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5"/>
      <c r="R41" s="340"/>
      <c r="S41" s="339"/>
      <c r="T41" s="339"/>
      <c r="U41" s="339"/>
      <c r="V41" s="339"/>
      <c r="W41" s="339"/>
      <c r="X41" s="339"/>
      <c r="Y41" s="335"/>
      <c r="Z41" s="339"/>
      <c r="AA41" s="335" t="n">
        <f aca="false">VLOOKUP($B42,'[5]Delta Yearly'!$A$1:$AC$55,7,0)+VLOOKUP($B42,'[5]Delta Yearly'!$A$1:$AC$55,9,0)+VLOOKUP($B42,'[5]Delta Yearly'!$A$1:$AC$55,11,0)+VLOOKUP($B42,'[5]Delta Yearly'!$A$1:$AC$55,13,0)+VLOOKUP($B42,'[5]Delta Yearly'!$A$1:$AC$55,15,0)+VLOOKUP($B42,'[5]Delta Yearly'!$A$1:$AC$55,17,0)+VLOOKUP($B42,'[5]Delta Yearly'!$A$1:$AC$55,19,0)+VLOOKUP($B42,'[5]Delta Yearly'!$A$1:$AC$55,21,0)+VLOOKUP($B42,'[5]Delta Yearly'!$A$1:$AC$55,23,0)+VLOOKUP($B42,'[5]Delta Yearly'!$A$1:$AC$55,25,0)+VLOOKUP($B42,'[5]Delta Yearly'!$A$1:$AC$55,27,0)+VLOOKUP($B42,'[5]Delta Yearly'!$A$1:$AC$55,29,0)</f>
        <v>-1089629.43378393</v>
      </c>
      <c r="AB41" s="341"/>
      <c r="AC41" s="286"/>
      <c r="AD41" s="303"/>
      <c r="AE41" s="266"/>
      <c r="AF41" s="266"/>
      <c r="AG41" s="266"/>
      <c r="AH41" s="266"/>
      <c r="AI41" s="266"/>
      <c r="AJ41" s="266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  <c r="CB41" s="267"/>
      <c r="CC41" s="267"/>
      <c r="CD41" s="267"/>
      <c r="CE41" s="267"/>
      <c r="CF41" s="267"/>
      <c r="CG41" s="267"/>
      <c r="CH41" s="267"/>
      <c r="CI41" s="267"/>
      <c r="CJ41" s="267"/>
      <c r="CK41" s="267"/>
      <c r="CL41" s="267"/>
      <c r="CM41" s="267"/>
      <c r="CN41" s="267"/>
      <c r="CO41" s="267"/>
      <c r="CP41" s="267"/>
      <c r="CQ41" s="267"/>
      <c r="CR41" s="267"/>
      <c r="CS41" s="267"/>
      <c r="CT41" s="267"/>
      <c r="CU41" s="267"/>
      <c r="CV41" s="267"/>
      <c r="CW41" s="267"/>
      <c r="CX41" s="267"/>
      <c r="CY41" s="267"/>
      <c r="CZ41" s="267"/>
      <c r="DA41" s="267"/>
      <c r="DB41" s="267"/>
      <c r="DC41" s="267"/>
      <c r="DD41" s="267"/>
      <c r="DE41" s="267"/>
      <c r="DF41" s="267"/>
      <c r="DG41" s="267"/>
      <c r="DH41" s="267"/>
      <c r="DI41" s="267"/>
      <c r="DJ41" s="267"/>
      <c r="DK41" s="267"/>
      <c r="DL41" s="267"/>
      <c r="DM41" s="267"/>
      <c r="DN41" s="267"/>
      <c r="DO41" s="267"/>
      <c r="DP41" s="267"/>
      <c r="DQ41" s="267"/>
      <c r="DR41" s="267"/>
      <c r="DS41" s="267"/>
      <c r="DT41" s="267"/>
      <c r="DU41" s="267"/>
      <c r="DV41" s="267"/>
      <c r="DW41" s="267"/>
      <c r="DX41" s="267"/>
      <c r="DY41" s="267"/>
      <c r="DZ41" s="267"/>
      <c r="EA41" s="267"/>
      <c r="EB41" s="267"/>
      <c r="EC41" s="267"/>
      <c r="ED41" s="267"/>
      <c r="EE41" s="267"/>
      <c r="EF41" s="267"/>
      <c r="EG41" s="267"/>
      <c r="EH41" s="267"/>
      <c r="EI41" s="267"/>
      <c r="EJ41" s="267"/>
      <c r="EK41" s="267"/>
      <c r="EL41" s="267"/>
      <c r="EM41" s="267"/>
      <c r="EN41" s="267"/>
      <c r="EO41" s="267"/>
      <c r="EP41" s="267"/>
      <c r="EQ41" s="267"/>
      <c r="ER41" s="267"/>
      <c r="ES41" s="267"/>
      <c r="ET41" s="267"/>
      <c r="EU41" s="267"/>
      <c r="EV41" s="267"/>
      <c r="EW41" s="267"/>
      <c r="EX41" s="267"/>
      <c r="EY41" s="267"/>
      <c r="EZ41" s="267"/>
      <c r="FA41" s="267"/>
      <c r="FB41" s="267"/>
      <c r="FC41" s="267"/>
      <c r="FD41" s="267"/>
      <c r="FE41" s="267"/>
      <c r="FF41" s="267"/>
      <c r="FG41" s="267"/>
      <c r="FH41" s="267"/>
      <c r="FI41" s="267"/>
      <c r="FJ41" s="267"/>
      <c r="FK41" s="267"/>
      <c r="FL41" s="267"/>
      <c r="FM41" s="267"/>
      <c r="FN41" s="267"/>
      <c r="FO41" s="267"/>
      <c r="FP41" s="267"/>
      <c r="FQ41" s="267"/>
      <c r="FR41" s="267"/>
      <c r="FS41" s="267"/>
      <c r="FT41" s="267"/>
      <c r="FU41" s="267"/>
      <c r="FV41" s="267"/>
      <c r="FW41" s="267"/>
      <c r="FX41" s="267"/>
      <c r="FY41" s="267"/>
      <c r="FZ41" s="267"/>
      <c r="GA41" s="267"/>
      <c r="GB41" s="267"/>
      <c r="GC41" s="267"/>
      <c r="GD41" s="267"/>
      <c r="GE41" s="267"/>
      <c r="GF41" s="267"/>
      <c r="GG41" s="267"/>
      <c r="GH41" s="267"/>
      <c r="GI41" s="267"/>
      <c r="GJ41" s="267"/>
      <c r="GK41" s="267"/>
      <c r="GL41" s="267"/>
      <c r="GM41" s="267"/>
      <c r="GN41" s="267"/>
      <c r="GO41" s="267"/>
      <c r="GP41" s="267"/>
      <c r="GQ41" s="267"/>
      <c r="GR41" s="267"/>
      <c r="GS41" s="267"/>
      <c r="GT41" s="267"/>
      <c r="GU41" s="267"/>
      <c r="GV41" s="267"/>
      <c r="GW41" s="267"/>
      <c r="GX41" s="267"/>
      <c r="GY41" s="267"/>
      <c r="GZ41" s="267"/>
      <c r="HA41" s="267"/>
      <c r="HB41" s="267"/>
      <c r="HC41" s="267"/>
      <c r="HD41" s="267"/>
      <c r="HE41" s="267"/>
      <c r="HF41" s="267"/>
      <c r="HG41" s="267"/>
      <c r="HH41" s="267"/>
      <c r="HI41" s="267"/>
      <c r="HJ41" s="267"/>
      <c r="HK41" s="267"/>
      <c r="HL41" s="267"/>
      <c r="HM41" s="267"/>
      <c r="HN41" s="267"/>
      <c r="HO41" s="267"/>
      <c r="HP41" s="267"/>
      <c r="HQ41" s="267"/>
      <c r="HR41" s="267"/>
      <c r="HS41" s="267"/>
      <c r="HT41" s="267"/>
      <c r="HU41" s="267"/>
      <c r="HV41" s="267"/>
      <c r="HW41" s="267"/>
      <c r="HX41" s="267"/>
      <c r="HY41" s="267"/>
      <c r="HZ41" s="267"/>
      <c r="IA41" s="267"/>
      <c r="IB41" s="267"/>
      <c r="IC41" s="267"/>
      <c r="ID41" s="267"/>
      <c r="IE41" s="267"/>
      <c r="IF41" s="267"/>
      <c r="IG41" s="267"/>
      <c r="IH41" s="267"/>
      <c r="II41" s="267"/>
      <c r="IJ41" s="267"/>
      <c r="IK41" s="267"/>
      <c r="IL41" s="267"/>
      <c r="IM41" s="267"/>
      <c r="IN41" s="267"/>
      <c r="IO41" s="267"/>
      <c r="IP41" s="267"/>
      <c r="IQ41" s="267"/>
      <c r="IR41" s="267"/>
      <c r="IS41" s="267"/>
      <c r="IT41" s="267"/>
      <c r="IU41" s="267"/>
      <c r="IV41" s="267"/>
      <c r="IW41" s="267"/>
    </row>
    <row r="42" customFormat="false" ht="16.5" hidden="true" customHeight="true" outlineLevel="0" collapsed="false">
      <c r="A42" s="333"/>
      <c r="B42" s="342" t="s">
        <v>82</v>
      </c>
      <c r="C42" s="335"/>
      <c r="D42" s="340"/>
      <c r="E42" s="335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5"/>
      <c r="R42" s="339"/>
      <c r="S42" s="339"/>
      <c r="T42" s="339"/>
      <c r="U42" s="339"/>
      <c r="V42" s="339"/>
      <c r="W42" s="339"/>
      <c r="X42" s="339"/>
      <c r="Y42" s="335"/>
      <c r="Z42" s="339"/>
      <c r="AA42" s="335" t="n">
        <f aca="false">VLOOKUP($B43,'[5]Delta Yearly'!$A$1:$AC$55,7,0)+VLOOKUP($B43,'[5]Delta Yearly'!$A$1:$AC$55,9,0)+VLOOKUP($B43,'[5]Delta Yearly'!$A$1:$AC$55,11,0)+VLOOKUP($B43,'[5]Delta Yearly'!$A$1:$AC$55,13,0)+VLOOKUP($B43,'[5]Delta Yearly'!$A$1:$AC$55,15,0)+VLOOKUP($B43,'[5]Delta Yearly'!$A$1:$AC$55,17,0)+VLOOKUP($B43,'[5]Delta Yearly'!$A$1:$AC$55,19,0)+VLOOKUP($B43,'[5]Delta Yearly'!$A$1:$AC$55,21,0)+VLOOKUP($B43,'[5]Delta Yearly'!$A$1:$AC$55,23,0)+VLOOKUP($B43,'[5]Delta Yearly'!$A$1:$AC$55,25,0)+VLOOKUP($B43,'[5]Delta Yearly'!$A$1:$AC$55,27,0)+VLOOKUP($B43,'[5]Delta Yearly'!$A$1:$AC$55,29,0)</f>
        <v>26710.5219556015</v>
      </c>
      <c r="AB42" s="341"/>
      <c r="AC42" s="284"/>
      <c r="AD42" s="303"/>
      <c r="AE42" s="266"/>
      <c r="AF42" s="266"/>
      <c r="AG42" s="266"/>
      <c r="AH42" s="266"/>
      <c r="AI42" s="266"/>
      <c r="AJ42" s="266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  <c r="BI42" s="267"/>
      <c r="BJ42" s="267"/>
      <c r="BK42" s="267"/>
      <c r="BL42" s="267"/>
      <c r="BM42" s="267"/>
      <c r="BN42" s="267"/>
      <c r="BO42" s="267"/>
      <c r="BP42" s="267"/>
      <c r="BQ42" s="267"/>
      <c r="BR42" s="267"/>
      <c r="BS42" s="267"/>
      <c r="BT42" s="267"/>
      <c r="BU42" s="267"/>
      <c r="BV42" s="267"/>
      <c r="BW42" s="267"/>
      <c r="BX42" s="267"/>
      <c r="BY42" s="267"/>
      <c r="BZ42" s="267"/>
      <c r="CA42" s="267"/>
      <c r="CB42" s="267"/>
      <c r="CC42" s="267"/>
      <c r="CD42" s="267"/>
      <c r="CE42" s="267"/>
      <c r="CF42" s="267"/>
      <c r="CG42" s="267"/>
      <c r="CH42" s="267"/>
      <c r="CI42" s="267"/>
      <c r="CJ42" s="267"/>
      <c r="CK42" s="267"/>
      <c r="CL42" s="267"/>
      <c r="CM42" s="267"/>
      <c r="CN42" s="267"/>
      <c r="CO42" s="267"/>
      <c r="CP42" s="267"/>
      <c r="CQ42" s="267"/>
      <c r="CR42" s="267"/>
      <c r="CS42" s="267"/>
      <c r="CT42" s="267"/>
      <c r="CU42" s="267"/>
      <c r="CV42" s="267"/>
      <c r="CW42" s="267"/>
      <c r="CX42" s="267"/>
      <c r="CY42" s="267"/>
      <c r="CZ42" s="267"/>
      <c r="DA42" s="267"/>
      <c r="DB42" s="267"/>
      <c r="DC42" s="267"/>
      <c r="DD42" s="267"/>
      <c r="DE42" s="267"/>
      <c r="DF42" s="267"/>
      <c r="DG42" s="267"/>
      <c r="DH42" s="267"/>
      <c r="DI42" s="267"/>
      <c r="DJ42" s="267"/>
      <c r="DK42" s="267"/>
      <c r="DL42" s="267"/>
      <c r="DM42" s="267"/>
      <c r="DN42" s="267"/>
      <c r="DO42" s="267"/>
      <c r="DP42" s="267"/>
      <c r="DQ42" s="267"/>
      <c r="DR42" s="267"/>
      <c r="DS42" s="267"/>
      <c r="DT42" s="267"/>
      <c r="DU42" s="267"/>
      <c r="DV42" s="267"/>
      <c r="DW42" s="267"/>
      <c r="DX42" s="267"/>
      <c r="DY42" s="267"/>
      <c r="DZ42" s="267"/>
      <c r="EA42" s="267"/>
      <c r="EB42" s="267"/>
      <c r="EC42" s="267"/>
      <c r="ED42" s="267"/>
      <c r="EE42" s="267"/>
      <c r="EF42" s="267"/>
      <c r="EG42" s="267"/>
      <c r="EH42" s="267"/>
      <c r="EI42" s="267"/>
      <c r="EJ42" s="267"/>
      <c r="EK42" s="267"/>
      <c r="EL42" s="267"/>
      <c r="EM42" s="267"/>
      <c r="EN42" s="267"/>
      <c r="EO42" s="267"/>
      <c r="EP42" s="267"/>
      <c r="EQ42" s="267"/>
      <c r="ER42" s="267"/>
      <c r="ES42" s="267"/>
      <c r="ET42" s="267"/>
      <c r="EU42" s="267"/>
      <c r="EV42" s="267"/>
      <c r="EW42" s="267"/>
      <c r="EX42" s="267"/>
      <c r="EY42" s="267"/>
      <c r="EZ42" s="267"/>
      <c r="FA42" s="267"/>
      <c r="FB42" s="267"/>
      <c r="FC42" s="267"/>
      <c r="FD42" s="267"/>
      <c r="FE42" s="267"/>
      <c r="FF42" s="267"/>
      <c r="FG42" s="267"/>
      <c r="FH42" s="267"/>
      <c r="FI42" s="267"/>
      <c r="FJ42" s="267"/>
      <c r="FK42" s="267"/>
      <c r="FL42" s="267"/>
      <c r="FM42" s="267"/>
      <c r="FN42" s="267"/>
      <c r="FO42" s="267"/>
      <c r="FP42" s="267"/>
      <c r="FQ42" s="267"/>
      <c r="FR42" s="267"/>
      <c r="FS42" s="267"/>
      <c r="FT42" s="267"/>
      <c r="FU42" s="267"/>
      <c r="FV42" s="267"/>
      <c r="FW42" s="267"/>
      <c r="FX42" s="267"/>
      <c r="FY42" s="267"/>
      <c r="FZ42" s="267"/>
      <c r="GA42" s="267"/>
      <c r="GB42" s="267"/>
      <c r="GC42" s="267"/>
      <c r="GD42" s="267"/>
      <c r="GE42" s="267"/>
      <c r="GF42" s="267"/>
      <c r="GG42" s="267"/>
      <c r="GH42" s="267"/>
      <c r="GI42" s="267"/>
      <c r="GJ42" s="267"/>
      <c r="GK42" s="267"/>
      <c r="GL42" s="267"/>
      <c r="GM42" s="267"/>
      <c r="GN42" s="267"/>
      <c r="GO42" s="267"/>
      <c r="GP42" s="267"/>
      <c r="GQ42" s="267"/>
      <c r="GR42" s="267"/>
      <c r="GS42" s="267"/>
      <c r="GT42" s="267"/>
      <c r="GU42" s="267"/>
      <c r="GV42" s="267"/>
      <c r="GW42" s="267"/>
      <c r="GX42" s="267"/>
      <c r="GY42" s="267"/>
      <c r="GZ42" s="267"/>
      <c r="HA42" s="267"/>
      <c r="HB42" s="267"/>
      <c r="HC42" s="267"/>
      <c r="HD42" s="267"/>
      <c r="HE42" s="267"/>
      <c r="HF42" s="267"/>
      <c r="HG42" s="267"/>
      <c r="HH42" s="267"/>
      <c r="HI42" s="267"/>
      <c r="HJ42" s="267"/>
      <c r="HK42" s="267"/>
      <c r="HL42" s="267"/>
      <c r="HM42" s="267"/>
      <c r="HN42" s="267"/>
      <c r="HO42" s="267"/>
      <c r="HP42" s="267"/>
      <c r="HQ42" s="267"/>
      <c r="HR42" s="267"/>
      <c r="HS42" s="267"/>
      <c r="HT42" s="267"/>
      <c r="HU42" s="267"/>
      <c r="HV42" s="267"/>
      <c r="HW42" s="267"/>
      <c r="HX42" s="267"/>
      <c r="HY42" s="267"/>
      <c r="HZ42" s="267"/>
      <c r="IA42" s="267"/>
      <c r="IB42" s="267"/>
      <c r="IC42" s="267"/>
      <c r="ID42" s="267"/>
      <c r="IE42" s="267"/>
      <c r="IF42" s="267"/>
      <c r="IG42" s="267"/>
      <c r="IH42" s="267"/>
      <c r="II42" s="267"/>
      <c r="IJ42" s="267"/>
      <c r="IK42" s="267"/>
      <c r="IL42" s="267"/>
      <c r="IM42" s="267"/>
      <c r="IN42" s="267"/>
      <c r="IO42" s="267"/>
      <c r="IP42" s="267"/>
      <c r="IQ42" s="267"/>
      <c r="IR42" s="267"/>
      <c r="IS42" s="267"/>
      <c r="IT42" s="267"/>
      <c r="IU42" s="267"/>
      <c r="IV42" s="267"/>
      <c r="IW42" s="267"/>
    </row>
    <row r="43" customFormat="false" ht="12" hidden="false" customHeight="true" outlineLevel="0" collapsed="false">
      <c r="A43" s="294" t="s">
        <v>83</v>
      </c>
      <c r="B43" s="271" t="s">
        <v>84</v>
      </c>
      <c r="C43" s="302" t="s">
        <v>86</v>
      </c>
      <c r="D43" s="305" t="n">
        <f aca="false">'E. VaR &amp; Peak Pos By Trader'!E43</f>
        <v>1696506.32644123</v>
      </c>
      <c r="E43" s="315" t="n">
        <f aca="false">'E. VaR &amp; Peak Pos By Trader'!F43</f>
        <v>-289530.5794402</v>
      </c>
      <c r="F43" s="274" t="n">
        <f aca="false">VLOOKUP($B43,'[3]Delta Monthly'!$A$1:$AW$55,5,1)+VLOOKUP($B42,'[3]Delta Monthly'!$A$1:$AW$55,5,1)++VLOOKUP($B41,'[3]Delta Monthly'!$A$1:$AW$55,5,1)</f>
        <v>0</v>
      </c>
      <c r="G43" s="274" t="n">
        <f aca="false">VLOOKUP($B43,'[3]Delta Monthly'!$A$1:$AW$55,5,1)+VLOOKUP($B42,'[3]Delta Monthly'!$A$1:$AW$55,5,1)++VLOOKUP($B41,'[3]Delta Monthly'!$A$1:$AW$55,5,1)</f>
        <v>0</v>
      </c>
      <c r="H43" s="274" t="n">
        <f aca="false">VLOOKUP($B43,'[3]Delta Monthly'!$A$1:$AW$55,5,1)+VLOOKUP($B42,'[3]Delta Monthly'!$A$1:$AW$55,5,1)++VLOOKUP($B41,'[3]Delta Monthly'!$A$1:$AW$55,5,1)</f>
        <v>0</v>
      </c>
      <c r="I43" s="274" t="n">
        <f aca="false">VLOOKUP($B43,'[3]Delta Monthly'!$A$1:$AW$55,5,1)+VLOOKUP($B42,'[3]Delta Monthly'!$A$1:$AW$55,5,1)++VLOOKUP($B41,'[3]Delta Monthly'!$A$1:$AW$55,5,1)</f>
        <v>0</v>
      </c>
      <c r="J43" s="274" t="n">
        <f aca="false">VLOOKUP($B43,'[3]Delta Monthly'!$A$1:$AW$55,13,0)+VLOOKUP($B42,'[3]Delta Monthly'!$A$1:$AW$55,13,0)+VLOOKUP($B41,'[3]Delta Monthly'!$A$1:$AW$55,13,0)</f>
        <v>0</v>
      </c>
      <c r="K43" s="274" t="n">
        <f aca="false">VLOOKUP($B43,'[3]Delta Monthly'!$A$1:$AW$55,15,0)+VLOOKUP($B42,'[3]Delta Monthly'!$A$1:$AW$55,15,0)+VLOOKUP($B41,'[3]Delta Monthly'!$A$1:$AW$55,15,0)</f>
        <v>0</v>
      </c>
      <c r="L43" s="274" t="n">
        <f aca="false">+VLOOKUP($B43,'[3]Delta Monthly'!$A$1:$AW$55,17,0)+VLOOKUP($B42,'[3]Delta Monthly'!$A$1:$AW$55,17,0)+VLOOKUP($B41,'[3]Delta Monthly'!$A$1:$AW$55,17,0)</f>
        <v>0</v>
      </c>
      <c r="M43" s="274" t="n">
        <f aca="false">VLOOKUP($B43,'[3]Delta Monthly'!$A$1:$AW$55,19,0)+VLOOKUP($B42,'[3]Delta Monthly'!$A$1:$AW$55,19,0)+VLOOKUP($B41,'[3]Delta Monthly'!$A$1:$AW$55,19,0)</f>
        <v>0</v>
      </c>
      <c r="N43" s="274" t="n">
        <f aca="false">VLOOKUP($B41,'[3]Delta Monthly'!$A$1:$AW$55,21,0)+VLOOKUP($B42,'[3]Delta Monthly'!$A$1:$AW$55,21,0)+VLOOKUP($B43,'[3]Delta Monthly'!$A$1:$AW$55,21,0)</f>
        <v>0</v>
      </c>
      <c r="O43" s="274" t="n">
        <f aca="false">VLOOKUP($B41,'[3]Delta Monthly'!$A$1:$AW$55,23,0)+VLOOKUP($B42,'[3]Delta Monthly'!$A$1:$AW$55,23,0)+VLOOKUP($B43,'[3]Delta Monthly'!$A$1:$AW$55,23,0)</f>
        <v>31791.5216292459</v>
      </c>
      <c r="P43" s="274" t="n">
        <f aca="false">VLOOKUP($B41,'[3]Delta Monthly'!$A$1:$AW$55,25,0)+VLOOKUP($B42,'[3]Delta Monthly'!$A$1:$AW$55,25,0)+VLOOKUP($B43,'[3]Delta Monthly'!$A$1:$AW$55,25,0)</f>
        <v>-83497.1379692219</v>
      </c>
      <c r="Q43" s="302" t="n">
        <f aca="false">SUM(F43:P43)</f>
        <v>-51705.616339976</v>
      </c>
      <c r="R43" s="274" t="n">
        <f aca="false">VLOOKUP($B43,'[3]Delta Monthly'!$A$1:$AW$55,27,1)+VLOOKUP($B41,'[3]Delta Monthly'!$A$1:$AW$55,27,1)+VLOOKUP($B43,'[3]Delta Monthly'!$A$1:$AW$55,29,1)+VLOOKUP($B41,'[3]Delta Monthly'!$A$1:$AW$55,29,1)+VLOOKUP($B42,'[3]Delta Monthly'!$A$1:$AW$55,29,FALSE())+VLOOKUP($B42,'[3]Delta Monthly'!$A$1:$AW$55,27,FALSE())</f>
        <v>113215.824533915</v>
      </c>
      <c r="S43" s="274" t="n">
        <f aca="false">VLOOKUP($B43,'[3]Delta Monthly'!$A$1:$AW$55,31,1)+VLOOKUP($B41,'[3]Delta Monthly'!$A$1:$AW$55,31,1)+VLOOKUP($B43,'[3]Delta Monthly'!$A$1:$AW$55,33,1)+VLOOKUP($B41,'[3]Delta Monthly'!$A$1:$AW$55,33,1)+VLOOKUP($B42,'[3]Delta Monthly'!$A$1:$AW$55,31,FALSE())+VLOOKUP($B42,'[3]Delta Monthly'!$A$1:$AW$55,33,FALSE())</f>
        <v>-140012.92590971</v>
      </c>
      <c r="T43" s="274" t="n">
        <f aca="false">VLOOKUP($B41,'[3]Delta Monthly'!$A$1:$AW$55,35,1)+VLOOKUP($B42,'[3]Delta Monthly'!$A$1:$AW$55,35,1)+VLOOKUP($B43,'[3]Delta Monthly'!$A$1:$AW$55,35,FALSE())</f>
        <v>-97666.3317536501</v>
      </c>
      <c r="U43" s="274" t="n">
        <f aca="false">VLOOKUP($B41,'[3]Delta Monthly'!$A$1:$AW$55,37,1)+VLOOKUP($B42,'[3]Delta Monthly'!$A$1:$AW$55,37,1)+VLOOKUP($B43,'[3]Delta Monthly'!$A$1:$AW$55,37,FALSE())</f>
        <v>-110448.850123879</v>
      </c>
      <c r="V43" s="274" t="n">
        <f aca="false">VLOOKUP($B43,'[3]Delta Monthly'!$A$1:$AW$55,39,1)+VLOOKUP($B41,'[3]Delta Monthly'!$A$1:$AW$55,39,1)+VLOOKUP($B43,'[3]Delta Monthly'!$A$1:$AW$55,41,1)+VLOOKUP($B41,'[3]Delta Monthly'!$A$1:$AW$55,41,1)+VLOOKUP($B42,'[3]Delta Monthly'!$A$1:$AW$55,39,FALSE())+VLOOKUP($B42,'[3]Delta Monthly'!$A$1:$AW$55,41,FALSE())</f>
        <v>13263.2379811095</v>
      </c>
      <c r="W43" s="274" t="n">
        <f aca="false">VLOOKUP($B41,'[3]Delta Monthly'!$A$1:$AW$55,43,1)+VLOOKUP($B42,'[3]Delta Monthly'!$A$1:$AW$55,43,1)+VLOOKUP($B43,'[3]Delta Monthly'!$A$1:$AW$55,43,FALSE())</f>
        <v>-80730.5757498617</v>
      </c>
      <c r="X43" s="274" t="n">
        <f aca="false">VLOOKUP($B43,'[3]Delta Monthly'!$A$1:$AW$55,45,1)+VLOOKUP($B41,'[3]Delta Monthly'!$A$1:$AW$55,45,1)+VLOOKUP($B43,'[3]Delta Monthly'!$A$1:$AW$55,47,1)+VLOOKUP($B41,'[3]Delta Monthly'!$A$1:$AW$55,47,1)+VLOOKUP($B42,'[3]Delta Monthly'!$A$1:$AW$55,45,FALSE())+VLOOKUP($B41,'[3]Delta Monthly'!$A$1:$AW$55,49,FALSE())+VLOOKUP($B42,'[3]Delta Monthly'!$A$1:$AW$55,49,FALSE())+VLOOKUP($B43,'[3]Delta Monthly'!$A$1:$AW$55,49,FALSE())+VLOOKUP($B42,'[3]Delta Monthly'!$A$1:$AW$55,47,FALSE())</f>
        <v>-384760.597644931</v>
      </c>
      <c r="Y43" s="302" t="n">
        <f aca="false">SUM(R43:X43)</f>
        <v>-687140.218667006</v>
      </c>
      <c r="Z43" s="284" t="n">
        <f aca="false">VLOOKUP($B41,'[5]Delta Yearly'!$A$1:$AC$55,5,FALSE())+VLOOKUP(B42,'[5]Delta Yearly'!$A$1:$AC$55,5,FALSE())+VLOOKUP(B43,'[5]Delta Yearly'!$A$1:$AC$55,5,0)</f>
        <v>-203323.815497693</v>
      </c>
      <c r="AA43" s="302" t="n">
        <f aca="false">SUM(AA40,AA41,AA42)</f>
        <v>-1274077.06176865</v>
      </c>
      <c r="AB43" s="302" t="n">
        <f aca="false">SUM(AA43,Z43,Y43,Q43)</f>
        <v>-2216246.71227332</v>
      </c>
      <c r="AC43" s="265"/>
      <c r="AD43" s="303"/>
      <c r="AE43" s="266"/>
      <c r="AF43" s="266"/>
      <c r="AG43" s="266"/>
      <c r="AH43" s="266"/>
      <c r="AI43" s="266"/>
      <c r="AJ43" s="266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  <c r="BU43" s="267"/>
      <c r="BV43" s="267"/>
      <c r="BW43" s="267"/>
      <c r="BX43" s="267"/>
      <c r="BY43" s="267"/>
      <c r="BZ43" s="267"/>
      <c r="CA43" s="267"/>
      <c r="CB43" s="267"/>
      <c r="CC43" s="267"/>
      <c r="CD43" s="267"/>
      <c r="CE43" s="267"/>
      <c r="CF43" s="267"/>
      <c r="CG43" s="267"/>
      <c r="CH43" s="267"/>
      <c r="CI43" s="267"/>
      <c r="CJ43" s="267"/>
      <c r="CK43" s="267"/>
      <c r="CL43" s="267"/>
      <c r="CM43" s="267"/>
      <c r="CN43" s="267"/>
      <c r="CO43" s="267"/>
      <c r="CP43" s="267"/>
      <c r="CQ43" s="267"/>
      <c r="CR43" s="267"/>
      <c r="CS43" s="267"/>
      <c r="CT43" s="267"/>
      <c r="CU43" s="267"/>
      <c r="CV43" s="267"/>
      <c r="CW43" s="267"/>
      <c r="CX43" s="267"/>
      <c r="CY43" s="267"/>
      <c r="CZ43" s="267"/>
      <c r="DA43" s="267"/>
      <c r="DB43" s="267"/>
      <c r="DC43" s="267"/>
      <c r="DD43" s="267"/>
      <c r="DE43" s="267"/>
      <c r="DF43" s="267"/>
      <c r="DG43" s="267"/>
      <c r="DH43" s="267"/>
      <c r="DI43" s="267"/>
      <c r="DJ43" s="267"/>
      <c r="DK43" s="267"/>
      <c r="DL43" s="267"/>
      <c r="DM43" s="267"/>
      <c r="DN43" s="267"/>
      <c r="DO43" s="267"/>
      <c r="DP43" s="267"/>
      <c r="DQ43" s="267"/>
      <c r="DR43" s="267"/>
      <c r="DS43" s="267"/>
      <c r="DT43" s="267"/>
      <c r="DU43" s="267"/>
      <c r="DV43" s="267"/>
      <c r="DW43" s="267"/>
      <c r="DX43" s="267"/>
      <c r="DY43" s="267"/>
      <c r="DZ43" s="267"/>
      <c r="EA43" s="267"/>
      <c r="EB43" s="267"/>
      <c r="EC43" s="267"/>
      <c r="ED43" s="267"/>
      <c r="EE43" s="267"/>
      <c r="EF43" s="267"/>
      <c r="EG43" s="267"/>
      <c r="EH43" s="267"/>
      <c r="EI43" s="267"/>
      <c r="EJ43" s="267"/>
      <c r="EK43" s="267"/>
      <c r="EL43" s="267"/>
      <c r="EM43" s="267"/>
      <c r="EN43" s="267"/>
      <c r="EO43" s="267"/>
      <c r="EP43" s="267"/>
      <c r="EQ43" s="267"/>
      <c r="ER43" s="267"/>
      <c r="ES43" s="267"/>
      <c r="ET43" s="267"/>
      <c r="EU43" s="267"/>
      <c r="EV43" s="267"/>
      <c r="EW43" s="267"/>
      <c r="EX43" s="267"/>
      <c r="EY43" s="267"/>
      <c r="EZ43" s="267"/>
      <c r="FA43" s="267"/>
      <c r="FB43" s="267"/>
      <c r="FC43" s="267"/>
      <c r="FD43" s="267"/>
      <c r="FE43" s="267"/>
      <c r="FF43" s="267"/>
      <c r="FG43" s="267"/>
      <c r="FH43" s="267"/>
      <c r="FI43" s="267"/>
      <c r="FJ43" s="267"/>
      <c r="FK43" s="267"/>
      <c r="FL43" s="267"/>
      <c r="FM43" s="267"/>
      <c r="FN43" s="267"/>
      <c r="FO43" s="267"/>
      <c r="FP43" s="267"/>
      <c r="FQ43" s="267"/>
      <c r="FR43" s="267"/>
      <c r="FS43" s="267"/>
      <c r="FT43" s="267"/>
      <c r="FU43" s="267"/>
      <c r="FV43" s="267"/>
      <c r="FW43" s="267"/>
      <c r="FX43" s="267"/>
      <c r="FY43" s="267"/>
      <c r="FZ43" s="267"/>
      <c r="GA43" s="267"/>
      <c r="GB43" s="267"/>
      <c r="GC43" s="267"/>
      <c r="GD43" s="267"/>
      <c r="GE43" s="267"/>
      <c r="GF43" s="267"/>
      <c r="GG43" s="267"/>
      <c r="GH43" s="267"/>
      <c r="GI43" s="267"/>
      <c r="GJ43" s="267"/>
      <c r="GK43" s="267"/>
      <c r="GL43" s="267"/>
      <c r="GM43" s="267"/>
      <c r="GN43" s="267"/>
      <c r="GO43" s="267"/>
      <c r="GP43" s="267"/>
      <c r="GQ43" s="267"/>
      <c r="GR43" s="267"/>
      <c r="GS43" s="267"/>
      <c r="GT43" s="267"/>
      <c r="GU43" s="267"/>
      <c r="GV43" s="267"/>
      <c r="GW43" s="267"/>
      <c r="GX43" s="267"/>
      <c r="GY43" s="267"/>
      <c r="GZ43" s="267"/>
      <c r="HA43" s="267"/>
      <c r="HB43" s="267"/>
      <c r="HC43" s="267"/>
      <c r="HD43" s="267"/>
      <c r="HE43" s="267"/>
      <c r="HF43" s="267"/>
      <c r="HG43" s="267"/>
      <c r="HH43" s="267"/>
      <c r="HI43" s="267"/>
      <c r="HJ43" s="267"/>
      <c r="HK43" s="267"/>
      <c r="HL43" s="267"/>
      <c r="HM43" s="267"/>
      <c r="HN43" s="267"/>
      <c r="HO43" s="267"/>
      <c r="HP43" s="267"/>
      <c r="HQ43" s="267"/>
      <c r="HR43" s="267"/>
      <c r="HS43" s="267"/>
      <c r="HT43" s="267"/>
      <c r="HU43" s="267"/>
      <c r="HV43" s="267"/>
      <c r="HW43" s="267"/>
      <c r="HX43" s="267"/>
      <c r="HY43" s="267"/>
      <c r="HZ43" s="267"/>
      <c r="IA43" s="267"/>
      <c r="IB43" s="267"/>
      <c r="IC43" s="267"/>
      <c r="ID43" s="267"/>
      <c r="IE43" s="267"/>
      <c r="IF43" s="267"/>
      <c r="IG43" s="267"/>
      <c r="IH43" s="267"/>
      <c r="II43" s="267"/>
      <c r="IJ43" s="267"/>
      <c r="IK43" s="267"/>
      <c r="IL43" s="267"/>
      <c r="IM43" s="267"/>
      <c r="IN43" s="267"/>
      <c r="IO43" s="267"/>
      <c r="IP43" s="267"/>
      <c r="IQ43" s="267"/>
      <c r="IR43" s="267"/>
      <c r="IS43" s="267"/>
      <c r="IT43" s="267"/>
      <c r="IU43" s="267"/>
      <c r="IV43" s="267"/>
      <c r="IW43" s="267"/>
    </row>
    <row r="44" customFormat="false" ht="12" hidden="false" customHeight="true" outlineLevel="0" collapsed="false">
      <c r="A44" s="314"/>
      <c r="B44" s="231"/>
      <c r="C44" s="302"/>
      <c r="D44" s="305"/>
      <c r="E44" s="315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302"/>
      <c r="R44" s="284"/>
      <c r="S44" s="284"/>
      <c r="T44" s="284"/>
      <c r="U44" s="284"/>
      <c r="V44" s="284"/>
      <c r="W44" s="284"/>
      <c r="X44" s="284"/>
      <c r="Y44" s="302"/>
      <c r="Z44" s="287"/>
      <c r="AA44" s="343"/>
      <c r="AB44" s="302"/>
      <c r="AC44" s="284"/>
      <c r="AD44" s="284"/>
      <c r="AE44" s="266"/>
      <c r="AF44" s="266"/>
      <c r="AG44" s="266"/>
      <c r="AH44" s="266"/>
      <c r="AI44" s="266"/>
      <c r="AJ44" s="266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7"/>
      <c r="AW44" s="267"/>
      <c r="AX44" s="267"/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  <c r="BI44" s="267"/>
      <c r="BJ44" s="267"/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  <c r="BX44" s="267"/>
      <c r="BY44" s="267"/>
      <c r="BZ44" s="267"/>
      <c r="CA44" s="267"/>
      <c r="CB44" s="267"/>
      <c r="CC44" s="267"/>
      <c r="CD44" s="267"/>
      <c r="CE44" s="267"/>
      <c r="CF44" s="267"/>
      <c r="CG44" s="267"/>
      <c r="CH44" s="267"/>
      <c r="CI44" s="267"/>
      <c r="CJ44" s="267"/>
      <c r="CK44" s="267"/>
      <c r="CL44" s="267"/>
      <c r="CM44" s="267"/>
      <c r="CN44" s="267"/>
      <c r="CO44" s="267"/>
      <c r="CP44" s="267"/>
      <c r="CQ44" s="267"/>
      <c r="CR44" s="267"/>
      <c r="CS44" s="267"/>
      <c r="CT44" s="267"/>
      <c r="CU44" s="267"/>
      <c r="CV44" s="267"/>
      <c r="CW44" s="267"/>
      <c r="CX44" s="267"/>
      <c r="CY44" s="267"/>
      <c r="CZ44" s="267"/>
      <c r="DA44" s="267"/>
      <c r="DB44" s="267"/>
      <c r="DC44" s="267"/>
      <c r="DD44" s="267"/>
      <c r="DE44" s="267"/>
      <c r="DF44" s="267"/>
      <c r="DG44" s="267"/>
      <c r="DH44" s="267"/>
      <c r="DI44" s="267"/>
      <c r="DJ44" s="267"/>
      <c r="DK44" s="267"/>
      <c r="DL44" s="267"/>
      <c r="DM44" s="267"/>
      <c r="DN44" s="267"/>
      <c r="DO44" s="267"/>
      <c r="DP44" s="267"/>
      <c r="DQ44" s="267"/>
      <c r="DR44" s="267"/>
      <c r="DS44" s="267"/>
      <c r="DT44" s="267"/>
      <c r="DU44" s="267"/>
      <c r="DV44" s="267"/>
      <c r="DW44" s="267"/>
      <c r="DX44" s="267"/>
      <c r="DY44" s="267"/>
      <c r="DZ44" s="267"/>
      <c r="EA44" s="267"/>
      <c r="EB44" s="267"/>
      <c r="EC44" s="267"/>
      <c r="ED44" s="267"/>
      <c r="EE44" s="267"/>
      <c r="EF44" s="267"/>
      <c r="EG44" s="267"/>
      <c r="EH44" s="267"/>
      <c r="EI44" s="267"/>
      <c r="EJ44" s="267"/>
      <c r="EK44" s="267"/>
      <c r="EL44" s="267"/>
      <c r="EM44" s="267"/>
      <c r="EN44" s="267"/>
      <c r="EO44" s="267"/>
      <c r="EP44" s="267"/>
      <c r="EQ44" s="267"/>
      <c r="ER44" s="267"/>
      <c r="ES44" s="267"/>
      <c r="ET44" s="267"/>
      <c r="EU44" s="267"/>
      <c r="EV44" s="267"/>
      <c r="EW44" s="267"/>
      <c r="EX44" s="267"/>
      <c r="EY44" s="267"/>
      <c r="EZ44" s="267"/>
      <c r="FA44" s="267"/>
      <c r="FB44" s="267"/>
      <c r="FC44" s="267"/>
      <c r="FD44" s="267"/>
      <c r="FE44" s="267"/>
      <c r="FF44" s="267"/>
      <c r="FG44" s="267"/>
      <c r="FH44" s="267"/>
      <c r="FI44" s="267"/>
      <c r="FJ44" s="267"/>
      <c r="FK44" s="267"/>
      <c r="FL44" s="267"/>
      <c r="FM44" s="267"/>
      <c r="FN44" s="267"/>
      <c r="FO44" s="267"/>
      <c r="FP44" s="267"/>
      <c r="FQ44" s="267"/>
      <c r="FR44" s="267"/>
      <c r="FS44" s="267"/>
      <c r="FT44" s="267"/>
      <c r="FU44" s="267"/>
      <c r="FV44" s="267"/>
      <c r="FW44" s="267"/>
      <c r="FX44" s="267"/>
      <c r="FY44" s="267"/>
      <c r="FZ44" s="267"/>
      <c r="GA44" s="267"/>
      <c r="GB44" s="267"/>
      <c r="GC44" s="267"/>
      <c r="GD44" s="267"/>
      <c r="GE44" s="267"/>
      <c r="GF44" s="267"/>
      <c r="GG44" s="267"/>
      <c r="GH44" s="267"/>
      <c r="GI44" s="267"/>
      <c r="GJ44" s="267"/>
      <c r="GK44" s="267"/>
      <c r="GL44" s="267"/>
      <c r="GM44" s="267"/>
      <c r="GN44" s="267"/>
      <c r="GO44" s="267"/>
      <c r="GP44" s="267"/>
      <c r="GQ44" s="267"/>
      <c r="GR44" s="267"/>
      <c r="GS44" s="267"/>
      <c r="GT44" s="267"/>
      <c r="GU44" s="267"/>
      <c r="GV44" s="267"/>
      <c r="GW44" s="267"/>
      <c r="GX44" s="267"/>
      <c r="GY44" s="267"/>
      <c r="GZ44" s="267"/>
      <c r="HA44" s="267"/>
      <c r="HB44" s="267"/>
      <c r="HC44" s="267"/>
      <c r="HD44" s="267"/>
      <c r="HE44" s="267"/>
      <c r="HF44" s="267"/>
      <c r="HG44" s="267"/>
      <c r="HH44" s="267"/>
      <c r="HI44" s="267"/>
      <c r="HJ44" s="267"/>
      <c r="HK44" s="267"/>
      <c r="HL44" s="267"/>
      <c r="HM44" s="267"/>
      <c r="HN44" s="267"/>
      <c r="HO44" s="267"/>
      <c r="HP44" s="267"/>
      <c r="HQ44" s="267"/>
      <c r="HR44" s="267"/>
      <c r="HS44" s="267"/>
      <c r="HT44" s="267"/>
      <c r="HU44" s="267"/>
      <c r="HV44" s="267"/>
      <c r="HW44" s="267"/>
      <c r="HX44" s="267"/>
      <c r="HY44" s="267"/>
      <c r="HZ44" s="267"/>
      <c r="IA44" s="267"/>
      <c r="IB44" s="267"/>
      <c r="IC44" s="267"/>
      <c r="ID44" s="267"/>
      <c r="IE44" s="267"/>
      <c r="IF44" s="267"/>
      <c r="IG44" s="267"/>
      <c r="IH44" s="267"/>
      <c r="II44" s="267"/>
      <c r="IJ44" s="267"/>
      <c r="IK44" s="267"/>
      <c r="IL44" s="267"/>
      <c r="IM44" s="267"/>
      <c r="IN44" s="267"/>
      <c r="IO44" s="267"/>
      <c r="IP44" s="267"/>
      <c r="IQ44" s="267"/>
      <c r="IR44" s="267"/>
      <c r="IS44" s="267"/>
      <c r="IT44" s="267"/>
      <c r="IU44" s="267"/>
      <c r="IV44" s="267"/>
      <c r="IW44" s="267"/>
    </row>
    <row r="45" customFormat="false" ht="12" hidden="false" customHeight="true" outlineLevel="0" collapsed="false">
      <c r="A45" s="294" t="s">
        <v>87</v>
      </c>
      <c r="B45" s="271" t="s">
        <v>88</v>
      </c>
      <c r="C45" s="302" t="s">
        <v>90</v>
      </c>
      <c r="D45" s="305" t="n">
        <f aca="false">'E. VaR &amp; Peak Pos By Trader'!E45</f>
        <v>2426441.70413387</v>
      </c>
      <c r="E45" s="315" t="n">
        <f aca="false">'E. VaR &amp; Peak Pos By Trader'!F45</f>
        <v>395875.22284677</v>
      </c>
      <c r="F45" s="274" t="n">
        <f aca="false">VLOOKUP($B45,'[3]Delta Monthly'!$A$1:$AW$55,5,1)</f>
        <v>0</v>
      </c>
      <c r="G45" s="274" t="n">
        <f aca="false">VLOOKUP($B45,'[3]Delta Monthly'!$A$1:$AW$55,7,1)</f>
        <v>0</v>
      </c>
      <c r="H45" s="274" t="n">
        <f aca="false">VLOOKUP($B45,'[3]Delta Monthly'!$A$1:$AW$55,9,1)</f>
        <v>0</v>
      </c>
      <c r="I45" s="274" t="n">
        <f aca="false">VLOOKUP($B45,'[3]Delta Monthly'!$A$1:$AW$55,11,0)</f>
        <v>0</v>
      </c>
      <c r="J45" s="274" t="n">
        <f aca="false">VLOOKUP($B45,'[3]Delta Monthly'!$A$1:$AW$55,13,0)</f>
        <v>0</v>
      </c>
      <c r="K45" s="274" t="n">
        <f aca="false">VLOOKUP($B45,'[3]Delta Monthly'!$A$1:$AW$55,15,0)</f>
        <v>0</v>
      </c>
      <c r="L45" s="274" t="n">
        <f aca="false">+VLOOKUP($B45,'[3]Delta Monthly'!$A$1:$AW$55,17,0)</f>
        <v>0</v>
      </c>
      <c r="M45" s="274" t="n">
        <f aca="false">VLOOKUP($B45,'[3]Delta Monthly'!$A$1:$AW$55,19,0)</f>
        <v>0</v>
      </c>
      <c r="N45" s="274" t="n">
        <f aca="false">VLOOKUP($B45,'[3]Delta Monthly'!$A$1:$AW$55,21,FALSE())</f>
        <v>0</v>
      </c>
      <c r="O45" s="274" t="n">
        <f aca="false">VLOOKUP($B45,'[3]Delta Monthly'!$A$1:$AW$55,23,FALSE())</f>
        <v>36086.5498185594</v>
      </c>
      <c r="P45" s="274" t="n">
        <f aca="false">VLOOKUP($B45,'[3]Delta Monthly'!$A$1:$AW$55,25,FALSE())</f>
        <v>131809.074986666</v>
      </c>
      <c r="Q45" s="302" t="n">
        <f aca="false">SUM(F45:P45)</f>
        <v>167895.624805225</v>
      </c>
      <c r="R45" s="274" t="n">
        <f aca="false">VLOOKUP($B45,'[3]Delta Monthly'!$A$1:$AW$55,27,0)+VLOOKUP($B45,'[3]Delta Monthly'!$A$1:$AW$55,29,0)</f>
        <v>70126.8638121709</v>
      </c>
      <c r="S45" s="274" t="n">
        <f aca="false">VLOOKUP($B45,'[3]Delta Monthly'!$A$1:$AW$55,31,0)+VLOOKUP($B45,'[3]Delta Monthly'!$A$1:$AW$55,33,0)</f>
        <v>177087.421479755</v>
      </c>
      <c r="T45" s="274" t="n">
        <f aca="false">VLOOKUP($B45,'[3]Delta Monthly'!$A$1:$AW$55,35,0)</f>
        <v>38734.3614653571</v>
      </c>
      <c r="U45" s="274" t="n">
        <f aca="false">VLOOKUP($B45,'[3]Delta Monthly'!$A$1:$AW$55,37,0)</f>
        <v>39442.3807875389</v>
      </c>
      <c r="V45" s="274" t="n">
        <f aca="false">VLOOKUP($B45,'[3]Delta Monthly'!$A$1:$AW$55,39,0)+VLOOKUP($B45,'[3]Delta Monthly'!$A$1:$AW$55,41,0)</f>
        <v>38521.9923184563</v>
      </c>
      <c r="W45" s="274" t="n">
        <f aca="false">VLOOKUP($B45,'[3]Delta Monthly'!$A$1:$AW$55,43,0)</f>
        <v>19585.8325279994</v>
      </c>
      <c r="X45" s="274" t="n">
        <f aca="false">VLOOKUP($B45,'[3]Delta Monthly'!$A$1:$AW$55,45,0)+VLOOKUP($B45,'[3]Delta Monthly'!$A$1:$AW$55,47,0)+VLOOKUP($B45,'[3]Delta Monthly'!$A$1:$AW$55,49,0)</f>
        <v>288543.792683255</v>
      </c>
      <c r="Y45" s="302" t="n">
        <f aca="false">SUM(R45:X45)</f>
        <v>672042.645074532</v>
      </c>
      <c r="Z45" s="287" t="n">
        <f aca="false">VLOOKUP($B45,'[5]Delta Yearly'!$A$1:$AC$55,5,0)</f>
        <v>-95349.5920981135</v>
      </c>
      <c r="AA45" s="302" t="n">
        <f aca="false">VLOOKUP($B45,'[5]Delta Yearly'!$A$1:$AC$55,7,FALSE())+VLOOKUP($B45,'[5]Delta Yearly'!$A$1:$AC$55,9,FALSE())+VLOOKUP($B45,'[5]Delta Yearly'!$A$1:$AC$55,11,FALSE())+VLOOKUP($B45,'[5]Delta Yearly'!$A$1:$AC$55,13,FALSE())+VLOOKUP($B45,'[5]Delta Yearly'!$A$1:$AC$55,15,FALSE())+VLOOKUP($B45,'[5]Delta Yearly'!$A$1:$AC$55,17,FALSE())+VLOOKUP($B45,'[5]Delta Yearly'!$A$1:$AC$55,19,FALSE())+VLOOKUP($B45,'[5]Delta Yearly'!$A$1:$AC$55,21,FALSE())+VLOOKUP($B45,'[5]Delta Yearly'!$A$1:$AC$55,23,FALSE())+VLOOKUP($B45,'[5]Delta Yearly'!$A$1:$AC$55,25,FALSE())+VLOOKUP($B45,'[5]Delta Yearly'!$A$1:$AC$55,27,FALSE())+VLOOKUP($B45,'[5]Delta Yearly'!$A$1:$AC$55,29,FALSE())</f>
        <v>-4090339.35496025</v>
      </c>
      <c r="AB45" s="302" t="n">
        <f aca="false">SUM(AA45,Z45,Y45,Q45)</f>
        <v>-3345750.67717861</v>
      </c>
      <c r="AC45" s="284"/>
      <c r="AD45" s="303"/>
      <c r="AE45" s="266"/>
      <c r="AF45" s="266"/>
      <c r="AG45" s="266"/>
      <c r="AH45" s="266"/>
      <c r="AI45" s="266"/>
      <c r="AJ45" s="266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  <c r="BX45" s="267"/>
      <c r="BY45" s="267"/>
      <c r="BZ45" s="267"/>
      <c r="CA45" s="267"/>
      <c r="CB45" s="267"/>
      <c r="CC45" s="267"/>
      <c r="CD45" s="267"/>
      <c r="CE45" s="267"/>
      <c r="CF45" s="267"/>
      <c r="CG45" s="267"/>
      <c r="CH45" s="267"/>
      <c r="CI45" s="267"/>
      <c r="CJ45" s="267"/>
      <c r="CK45" s="267"/>
      <c r="CL45" s="267"/>
      <c r="CM45" s="267"/>
      <c r="CN45" s="267"/>
      <c r="CO45" s="267"/>
      <c r="CP45" s="267"/>
      <c r="CQ45" s="267"/>
      <c r="CR45" s="267"/>
      <c r="CS45" s="267"/>
      <c r="CT45" s="267"/>
      <c r="CU45" s="267"/>
      <c r="CV45" s="267"/>
      <c r="CW45" s="267"/>
      <c r="CX45" s="267"/>
      <c r="CY45" s="267"/>
      <c r="CZ45" s="267"/>
      <c r="DA45" s="267"/>
      <c r="DB45" s="267"/>
      <c r="DC45" s="267"/>
      <c r="DD45" s="267"/>
      <c r="DE45" s="267"/>
      <c r="DF45" s="267"/>
      <c r="DG45" s="267"/>
      <c r="DH45" s="267"/>
      <c r="DI45" s="267"/>
      <c r="DJ45" s="267"/>
      <c r="DK45" s="267"/>
      <c r="DL45" s="267"/>
      <c r="DM45" s="267"/>
      <c r="DN45" s="267"/>
      <c r="DO45" s="267"/>
      <c r="DP45" s="267"/>
      <c r="DQ45" s="267"/>
      <c r="DR45" s="267"/>
      <c r="DS45" s="267"/>
      <c r="DT45" s="267"/>
      <c r="DU45" s="267"/>
      <c r="DV45" s="267"/>
      <c r="DW45" s="267"/>
      <c r="DX45" s="267"/>
      <c r="DY45" s="267"/>
      <c r="DZ45" s="267"/>
      <c r="EA45" s="267"/>
      <c r="EB45" s="267"/>
      <c r="EC45" s="267"/>
      <c r="ED45" s="267"/>
      <c r="EE45" s="267"/>
      <c r="EF45" s="267"/>
      <c r="EG45" s="267"/>
      <c r="EH45" s="267"/>
      <c r="EI45" s="267"/>
      <c r="EJ45" s="267"/>
      <c r="EK45" s="267"/>
      <c r="EL45" s="267"/>
      <c r="EM45" s="267"/>
      <c r="EN45" s="267"/>
      <c r="EO45" s="267"/>
      <c r="EP45" s="267"/>
      <c r="EQ45" s="267"/>
      <c r="ER45" s="267"/>
      <c r="ES45" s="267"/>
      <c r="ET45" s="267"/>
      <c r="EU45" s="267"/>
      <c r="EV45" s="267"/>
      <c r="EW45" s="267"/>
      <c r="EX45" s="267"/>
      <c r="EY45" s="267"/>
      <c r="EZ45" s="267"/>
      <c r="FA45" s="267"/>
      <c r="FB45" s="267"/>
      <c r="FC45" s="267"/>
      <c r="FD45" s="267"/>
      <c r="FE45" s="267"/>
      <c r="FF45" s="267"/>
      <c r="FG45" s="267"/>
      <c r="FH45" s="267"/>
      <c r="FI45" s="267"/>
      <c r="FJ45" s="267"/>
      <c r="FK45" s="267"/>
      <c r="FL45" s="267"/>
      <c r="FM45" s="267"/>
      <c r="FN45" s="267"/>
      <c r="FO45" s="267"/>
      <c r="FP45" s="267"/>
      <c r="FQ45" s="267"/>
      <c r="FR45" s="267"/>
      <c r="FS45" s="267"/>
      <c r="FT45" s="267"/>
      <c r="FU45" s="267"/>
      <c r="FV45" s="267"/>
      <c r="FW45" s="267"/>
      <c r="FX45" s="267"/>
      <c r="FY45" s="267"/>
      <c r="FZ45" s="267"/>
      <c r="GA45" s="267"/>
      <c r="GB45" s="267"/>
      <c r="GC45" s="267"/>
      <c r="GD45" s="267"/>
      <c r="GE45" s="267"/>
      <c r="GF45" s="267"/>
      <c r="GG45" s="267"/>
      <c r="GH45" s="267"/>
      <c r="GI45" s="267"/>
      <c r="GJ45" s="267"/>
      <c r="GK45" s="267"/>
      <c r="GL45" s="267"/>
      <c r="GM45" s="267"/>
      <c r="GN45" s="267"/>
      <c r="GO45" s="267"/>
      <c r="GP45" s="267"/>
      <c r="GQ45" s="267"/>
      <c r="GR45" s="267"/>
      <c r="GS45" s="267"/>
      <c r="GT45" s="267"/>
      <c r="GU45" s="267"/>
      <c r="GV45" s="267"/>
      <c r="GW45" s="267"/>
      <c r="GX45" s="267"/>
      <c r="GY45" s="267"/>
      <c r="GZ45" s="267"/>
      <c r="HA45" s="267"/>
      <c r="HB45" s="267"/>
      <c r="HC45" s="267"/>
      <c r="HD45" s="267"/>
      <c r="HE45" s="267"/>
      <c r="HF45" s="267"/>
      <c r="HG45" s="267"/>
      <c r="HH45" s="267"/>
      <c r="HI45" s="267"/>
      <c r="HJ45" s="267"/>
      <c r="HK45" s="267"/>
      <c r="HL45" s="267"/>
      <c r="HM45" s="267"/>
      <c r="HN45" s="267"/>
      <c r="HO45" s="267"/>
      <c r="HP45" s="267"/>
      <c r="HQ45" s="267"/>
      <c r="HR45" s="267"/>
      <c r="HS45" s="267"/>
      <c r="HT45" s="267"/>
      <c r="HU45" s="267"/>
      <c r="HV45" s="267"/>
      <c r="HW45" s="267"/>
      <c r="HX45" s="267"/>
      <c r="HY45" s="267"/>
      <c r="HZ45" s="267"/>
      <c r="IA45" s="267"/>
      <c r="IB45" s="267"/>
      <c r="IC45" s="267"/>
      <c r="ID45" s="267"/>
      <c r="IE45" s="267"/>
      <c r="IF45" s="267"/>
      <c r="IG45" s="267"/>
      <c r="IH45" s="267"/>
      <c r="II45" s="267"/>
      <c r="IJ45" s="267"/>
      <c r="IK45" s="267"/>
      <c r="IL45" s="267"/>
      <c r="IM45" s="267"/>
      <c r="IN45" s="267"/>
      <c r="IO45" s="267"/>
      <c r="IP45" s="267"/>
      <c r="IQ45" s="267"/>
      <c r="IR45" s="267"/>
      <c r="IS45" s="267"/>
      <c r="IT45" s="267"/>
      <c r="IU45" s="267"/>
      <c r="IV45" s="267"/>
      <c r="IW45" s="267"/>
    </row>
    <row r="46" customFormat="false" ht="12.75" hidden="false" customHeight="false" outlineLevel="0" collapsed="false">
      <c r="A46" s="314"/>
      <c r="B46" s="271"/>
      <c r="C46" s="302"/>
      <c r="D46" s="305"/>
      <c r="E46" s="315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302"/>
      <c r="R46" s="284"/>
      <c r="S46" s="284"/>
      <c r="T46" s="284"/>
      <c r="U46" s="284"/>
      <c r="V46" s="284"/>
      <c r="W46" s="284"/>
      <c r="X46" s="284"/>
      <c r="Y46" s="302"/>
      <c r="Z46" s="287"/>
      <c r="AA46" s="302"/>
      <c r="AB46" s="302"/>
      <c r="AC46" s="265"/>
      <c r="AD46" s="303"/>
      <c r="AE46" s="266"/>
      <c r="AF46" s="266"/>
      <c r="AG46" s="266"/>
      <c r="AH46" s="266"/>
      <c r="AI46" s="266"/>
      <c r="AJ46" s="266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  <c r="BX46" s="267"/>
      <c r="BY46" s="267"/>
      <c r="BZ46" s="267"/>
      <c r="CA46" s="267"/>
      <c r="CB46" s="267"/>
      <c r="CC46" s="267"/>
      <c r="CD46" s="267"/>
      <c r="CE46" s="267"/>
      <c r="CF46" s="267"/>
      <c r="CG46" s="267"/>
      <c r="CH46" s="267"/>
      <c r="CI46" s="267"/>
      <c r="CJ46" s="267"/>
      <c r="CK46" s="267"/>
      <c r="CL46" s="267"/>
      <c r="CM46" s="267"/>
      <c r="CN46" s="267"/>
      <c r="CO46" s="267"/>
      <c r="CP46" s="267"/>
      <c r="CQ46" s="267"/>
      <c r="CR46" s="267"/>
      <c r="CS46" s="267"/>
      <c r="CT46" s="267"/>
      <c r="CU46" s="267"/>
      <c r="CV46" s="267"/>
      <c r="CW46" s="267"/>
      <c r="CX46" s="267"/>
      <c r="CY46" s="267"/>
      <c r="CZ46" s="267"/>
      <c r="DA46" s="267"/>
      <c r="DB46" s="267"/>
      <c r="DC46" s="267"/>
      <c r="DD46" s="267"/>
      <c r="DE46" s="267"/>
      <c r="DF46" s="267"/>
      <c r="DG46" s="267"/>
      <c r="DH46" s="267"/>
      <c r="DI46" s="267"/>
      <c r="DJ46" s="267"/>
      <c r="DK46" s="267"/>
      <c r="DL46" s="267"/>
      <c r="DM46" s="267"/>
      <c r="DN46" s="267"/>
      <c r="DO46" s="267"/>
      <c r="DP46" s="267"/>
      <c r="DQ46" s="267"/>
      <c r="DR46" s="267"/>
      <c r="DS46" s="267"/>
      <c r="DT46" s="267"/>
      <c r="DU46" s="267"/>
      <c r="DV46" s="267"/>
      <c r="DW46" s="267"/>
      <c r="DX46" s="267"/>
      <c r="DY46" s="267"/>
      <c r="DZ46" s="267"/>
      <c r="EA46" s="267"/>
      <c r="EB46" s="267"/>
      <c r="EC46" s="267"/>
      <c r="ED46" s="267"/>
      <c r="EE46" s="267"/>
      <c r="EF46" s="267"/>
      <c r="EG46" s="267"/>
      <c r="EH46" s="267"/>
      <c r="EI46" s="267"/>
      <c r="EJ46" s="267"/>
      <c r="EK46" s="267"/>
      <c r="EL46" s="267"/>
      <c r="EM46" s="267"/>
      <c r="EN46" s="267"/>
      <c r="EO46" s="267"/>
      <c r="EP46" s="267"/>
      <c r="EQ46" s="267"/>
      <c r="ER46" s="267"/>
      <c r="ES46" s="267"/>
      <c r="ET46" s="267"/>
      <c r="EU46" s="267"/>
      <c r="EV46" s="267"/>
      <c r="EW46" s="267"/>
      <c r="EX46" s="267"/>
      <c r="EY46" s="267"/>
      <c r="EZ46" s="267"/>
      <c r="FA46" s="267"/>
      <c r="FB46" s="267"/>
      <c r="FC46" s="267"/>
      <c r="FD46" s="267"/>
      <c r="FE46" s="267"/>
      <c r="FF46" s="267"/>
      <c r="FG46" s="267"/>
      <c r="FH46" s="267"/>
      <c r="FI46" s="267"/>
      <c r="FJ46" s="267"/>
      <c r="FK46" s="267"/>
      <c r="FL46" s="267"/>
      <c r="FM46" s="267"/>
      <c r="FN46" s="267"/>
      <c r="FO46" s="267"/>
      <c r="FP46" s="267"/>
      <c r="FQ46" s="267"/>
      <c r="FR46" s="267"/>
      <c r="FS46" s="267"/>
      <c r="FT46" s="267"/>
      <c r="FU46" s="267"/>
      <c r="FV46" s="267"/>
      <c r="FW46" s="267"/>
      <c r="FX46" s="267"/>
      <c r="FY46" s="267"/>
      <c r="FZ46" s="267"/>
      <c r="GA46" s="267"/>
      <c r="GB46" s="267"/>
      <c r="GC46" s="267"/>
      <c r="GD46" s="267"/>
      <c r="GE46" s="267"/>
      <c r="GF46" s="267"/>
      <c r="GG46" s="267"/>
      <c r="GH46" s="267"/>
      <c r="GI46" s="267"/>
      <c r="GJ46" s="267"/>
      <c r="GK46" s="267"/>
      <c r="GL46" s="267"/>
      <c r="GM46" s="267"/>
      <c r="GN46" s="267"/>
      <c r="GO46" s="267"/>
      <c r="GP46" s="267"/>
      <c r="GQ46" s="267"/>
      <c r="GR46" s="267"/>
      <c r="GS46" s="267"/>
      <c r="GT46" s="267"/>
      <c r="GU46" s="267"/>
      <c r="GV46" s="267"/>
      <c r="GW46" s="267"/>
      <c r="GX46" s="267"/>
      <c r="GY46" s="267"/>
      <c r="GZ46" s="267"/>
      <c r="HA46" s="267"/>
      <c r="HB46" s="267"/>
      <c r="HC46" s="267"/>
      <c r="HD46" s="267"/>
      <c r="HE46" s="267"/>
      <c r="HF46" s="267"/>
      <c r="HG46" s="267"/>
      <c r="HH46" s="267"/>
      <c r="HI46" s="267"/>
      <c r="HJ46" s="267"/>
      <c r="HK46" s="267"/>
      <c r="HL46" s="267"/>
      <c r="HM46" s="267"/>
      <c r="HN46" s="267"/>
      <c r="HO46" s="267"/>
      <c r="HP46" s="267"/>
      <c r="HQ46" s="267"/>
      <c r="HR46" s="267"/>
      <c r="HS46" s="267"/>
      <c r="HT46" s="267"/>
      <c r="HU46" s="267"/>
      <c r="HV46" s="267"/>
      <c r="HW46" s="267"/>
      <c r="HX46" s="267"/>
      <c r="HY46" s="267"/>
      <c r="HZ46" s="267"/>
      <c r="IA46" s="267"/>
      <c r="IB46" s="267"/>
      <c r="IC46" s="267"/>
      <c r="ID46" s="267"/>
      <c r="IE46" s="267"/>
      <c r="IF46" s="267"/>
      <c r="IG46" s="267"/>
      <c r="IH46" s="267"/>
      <c r="II46" s="267"/>
      <c r="IJ46" s="267"/>
      <c r="IK46" s="267"/>
      <c r="IL46" s="267"/>
      <c r="IM46" s="267"/>
      <c r="IN46" s="267"/>
      <c r="IO46" s="267"/>
      <c r="IP46" s="267"/>
      <c r="IQ46" s="267"/>
      <c r="IR46" s="267"/>
      <c r="IS46" s="267"/>
      <c r="IT46" s="267"/>
      <c r="IU46" s="267"/>
      <c r="IV46" s="267"/>
      <c r="IW46" s="267"/>
    </row>
    <row r="47" customFormat="false" ht="12" hidden="false" customHeight="true" outlineLevel="0" collapsed="false">
      <c r="A47" s="294" t="s">
        <v>91</v>
      </c>
      <c r="B47" s="271" t="s">
        <v>92</v>
      </c>
      <c r="C47" s="302" t="s">
        <v>94</v>
      </c>
      <c r="D47" s="305" t="n">
        <f aca="false">'E. VaR &amp; Peak Pos By Trader'!E47</f>
        <v>1000598.35857411</v>
      </c>
      <c r="E47" s="315" t="n">
        <f aca="false">'E. VaR &amp; Peak Pos By Trader'!F47</f>
        <v>-64948.7897795</v>
      </c>
      <c r="F47" s="274" t="n">
        <f aca="false">VLOOKUP($B47,'[3]Delta Monthly'!$A$1:$AW$55,5,1)</f>
        <v>0</v>
      </c>
      <c r="G47" s="274" t="n">
        <f aca="false">VLOOKUP($B47,'[3]Delta Monthly'!$A$1:$AW$55,7,1)</f>
        <v>0</v>
      </c>
      <c r="H47" s="274" t="n">
        <f aca="false">VLOOKUP($B47,'[3]Delta Monthly'!$A$1:$AW$55,9,1)</f>
        <v>0</v>
      </c>
      <c r="I47" s="274" t="n">
        <f aca="false">VLOOKUP($B47,'[3]Delta Monthly'!$A$1:$AW$55,11,0)</f>
        <v>0</v>
      </c>
      <c r="J47" s="274" t="n">
        <f aca="false">VLOOKUP($B47,'[3]Delta Monthly'!$A$1:$AW$55,13,0)</f>
        <v>0</v>
      </c>
      <c r="K47" s="274" t="n">
        <f aca="false">VLOOKUP($B47,'[3]Delta Monthly'!$A$1:$AW$55,15,0)</f>
        <v>0</v>
      </c>
      <c r="L47" s="274" t="n">
        <f aca="false">+VLOOKUP($B47,'[3]Delta Monthly'!$A$1:$AW$55,17,0)</f>
        <v>0</v>
      </c>
      <c r="M47" s="274" t="n">
        <f aca="false">VLOOKUP($B47,'[3]Delta Monthly'!$A$1:$AW$55,19,0)</f>
        <v>0</v>
      </c>
      <c r="N47" s="274" t="n">
        <f aca="false">VLOOKUP($B47,'[3]Delta Monthly'!$A$1:$AW$55,21,FALSE())</f>
        <v>0</v>
      </c>
      <c r="O47" s="274" t="n">
        <f aca="false">VLOOKUP($B47,'[3]Delta Monthly'!$A$1:$AW$55,23,FALSE())</f>
        <v>63533.4043060963</v>
      </c>
      <c r="P47" s="274" t="n">
        <f aca="false">VLOOKUP($B47,'[3]Delta Monthly'!$A$1:$AW$55,25,FALSE())</f>
        <v>105688.63873206</v>
      </c>
      <c r="Q47" s="302" t="n">
        <f aca="false">SUM(F47:P47)</f>
        <v>169222.043038156</v>
      </c>
      <c r="R47" s="274" t="n">
        <f aca="false">VLOOKUP($B47,'[3]Delta Monthly'!$A$1:$AW$55,27,0)+VLOOKUP($B47,'[3]Delta Monthly'!$A$1:$AW$55,29,0)</f>
        <v>-110986.863465788</v>
      </c>
      <c r="S47" s="274" t="n">
        <f aca="false">VLOOKUP($B47,'[3]Delta Monthly'!$A$1:$AW$55,31,0)+VLOOKUP($B47,'[3]Delta Monthly'!$A$1:$AW$55,33,0)</f>
        <v>-38405.3118019301</v>
      </c>
      <c r="T47" s="274" t="n">
        <f aca="false">VLOOKUP($B47,'[3]Delta Monthly'!$A$1:$AW$55,35,0)</f>
        <v>-19367.1807326785</v>
      </c>
      <c r="U47" s="274" t="n">
        <f aca="false">VLOOKUP($B47,'[3]Delta Monthly'!$A$1:$AW$55,37,0)</f>
        <v>-19721.1903937694</v>
      </c>
      <c r="V47" s="274" t="n">
        <f aca="false">VLOOKUP($B47,'[3]Delta Monthly'!$A$1:$AW$55,39,0)+VLOOKUP($B47,'[3]Delta Monthly'!$A$1:$AW$55,41,0)</f>
        <v>-38521.9923184564</v>
      </c>
      <c r="W47" s="274" t="n">
        <f aca="false">VLOOKUP($B47,'[3]Delta Monthly'!$A$1:$AW$55,43,0)</f>
        <v>-19585.8325279995</v>
      </c>
      <c r="X47" s="274" t="n">
        <f aca="false">VLOOKUP($B47,'[3]Delta Monthly'!$A$1:$AW$55,45,0)+VLOOKUP($B47,'[3]Delta Monthly'!$A$1:$AW$55,47,0)+VLOOKUP($B47,'[3]Delta Monthly'!$A$1:$AW$55,49,0)</f>
        <v>-57708.758536651</v>
      </c>
      <c r="Y47" s="302" t="n">
        <f aca="false">SUM(R47:X47)</f>
        <v>-304297.129777273</v>
      </c>
      <c r="Z47" s="287" t="n">
        <f aca="false">VLOOKUP($B47,'[5]Delta Yearly'!$A$1:$AC$55,5,0)</f>
        <v>0</v>
      </c>
      <c r="AA47" s="302" t="n">
        <f aca="false">VLOOKUP($B47,'[5]Delta Yearly'!$A$1:$AC$55,7,FALSE())+VLOOKUP($B47,'[5]Delta Yearly'!$A$1:$AC$55,9,FALSE())+VLOOKUP($B47,'[5]Delta Yearly'!$A$1:$AC$55,11,FALSE())+VLOOKUP($B47,'[5]Delta Yearly'!$A$1:$AC$55,13,FALSE())+VLOOKUP($B47,'[5]Delta Yearly'!$A$1:$AC$55,15,FALSE())+VLOOKUP($B47,'[5]Delta Yearly'!$A$1:$AC$55,17,FALSE())+VLOOKUP($B47,'[5]Delta Yearly'!$A$1:$AC$55,19,FALSE())+VLOOKUP($B47,'[5]Delta Yearly'!$A$1:$AC$55,21,FALSE())+VLOOKUP($B47,'[5]Delta Yearly'!$A$1:$AC$55,23,FALSE())+VLOOKUP($B47,'[5]Delta Yearly'!$A$1:$AC$55,25,FALSE())+VLOOKUP($B47,'[5]Delta Yearly'!$A$1:$AC$55,27,FALSE())+VLOOKUP($B47,'[5]Delta Yearly'!$A$1:$AC$55,29,FALSE())</f>
        <v>0</v>
      </c>
      <c r="AB47" s="302" t="n">
        <f aca="false">SUM(AA47,Z47,Y47,Q47)</f>
        <v>-135075.086739116</v>
      </c>
      <c r="AC47" s="265"/>
      <c r="AD47" s="303"/>
      <c r="AE47" s="266"/>
      <c r="AF47" s="266"/>
      <c r="AG47" s="266"/>
      <c r="AH47" s="266"/>
      <c r="AI47" s="266"/>
      <c r="AJ47" s="266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  <c r="BY47" s="267"/>
      <c r="BZ47" s="267"/>
      <c r="CA47" s="267"/>
      <c r="CB47" s="267"/>
      <c r="CC47" s="267"/>
      <c r="CD47" s="267"/>
      <c r="CE47" s="267"/>
      <c r="CF47" s="267"/>
      <c r="CG47" s="267"/>
      <c r="CH47" s="267"/>
      <c r="CI47" s="267"/>
      <c r="CJ47" s="267"/>
      <c r="CK47" s="267"/>
      <c r="CL47" s="267"/>
      <c r="CM47" s="267"/>
      <c r="CN47" s="267"/>
      <c r="CO47" s="267"/>
      <c r="CP47" s="267"/>
      <c r="CQ47" s="267"/>
      <c r="CR47" s="267"/>
      <c r="CS47" s="267"/>
      <c r="CT47" s="267"/>
      <c r="CU47" s="267"/>
      <c r="CV47" s="267"/>
      <c r="CW47" s="267"/>
      <c r="CX47" s="267"/>
      <c r="CY47" s="267"/>
      <c r="CZ47" s="267"/>
      <c r="DA47" s="267"/>
      <c r="DB47" s="267"/>
      <c r="DC47" s="267"/>
      <c r="DD47" s="267"/>
      <c r="DE47" s="267"/>
      <c r="DF47" s="267"/>
      <c r="DG47" s="267"/>
      <c r="DH47" s="267"/>
      <c r="DI47" s="267"/>
      <c r="DJ47" s="267"/>
      <c r="DK47" s="267"/>
      <c r="DL47" s="267"/>
      <c r="DM47" s="267"/>
      <c r="DN47" s="267"/>
      <c r="DO47" s="267"/>
      <c r="DP47" s="267"/>
      <c r="DQ47" s="267"/>
      <c r="DR47" s="267"/>
      <c r="DS47" s="267"/>
      <c r="DT47" s="267"/>
      <c r="DU47" s="267"/>
      <c r="DV47" s="267"/>
      <c r="DW47" s="267"/>
      <c r="DX47" s="267"/>
      <c r="DY47" s="267"/>
      <c r="DZ47" s="267"/>
      <c r="EA47" s="267"/>
      <c r="EB47" s="267"/>
      <c r="EC47" s="267"/>
      <c r="ED47" s="267"/>
      <c r="EE47" s="267"/>
      <c r="EF47" s="267"/>
      <c r="EG47" s="267"/>
      <c r="EH47" s="267"/>
      <c r="EI47" s="267"/>
      <c r="EJ47" s="267"/>
      <c r="EK47" s="267"/>
      <c r="EL47" s="267"/>
      <c r="EM47" s="267"/>
      <c r="EN47" s="267"/>
      <c r="EO47" s="267"/>
      <c r="EP47" s="267"/>
      <c r="EQ47" s="267"/>
      <c r="ER47" s="267"/>
      <c r="ES47" s="267"/>
      <c r="ET47" s="267"/>
      <c r="EU47" s="267"/>
      <c r="EV47" s="267"/>
      <c r="EW47" s="267"/>
      <c r="EX47" s="267"/>
      <c r="EY47" s="267"/>
      <c r="EZ47" s="267"/>
      <c r="FA47" s="267"/>
      <c r="FB47" s="267"/>
      <c r="FC47" s="267"/>
      <c r="FD47" s="267"/>
      <c r="FE47" s="267"/>
      <c r="FF47" s="267"/>
      <c r="FG47" s="267"/>
      <c r="FH47" s="267"/>
      <c r="FI47" s="267"/>
      <c r="FJ47" s="267"/>
      <c r="FK47" s="267"/>
      <c r="FL47" s="267"/>
      <c r="FM47" s="267"/>
      <c r="FN47" s="267"/>
      <c r="FO47" s="267"/>
      <c r="FP47" s="267"/>
      <c r="FQ47" s="267"/>
      <c r="FR47" s="267"/>
      <c r="FS47" s="267"/>
      <c r="FT47" s="267"/>
      <c r="FU47" s="267"/>
      <c r="FV47" s="267"/>
      <c r="FW47" s="267"/>
      <c r="FX47" s="267"/>
      <c r="FY47" s="267"/>
      <c r="FZ47" s="267"/>
      <c r="GA47" s="267"/>
      <c r="GB47" s="267"/>
      <c r="GC47" s="267"/>
      <c r="GD47" s="267"/>
      <c r="GE47" s="267"/>
      <c r="GF47" s="267"/>
      <c r="GG47" s="267"/>
      <c r="GH47" s="267"/>
      <c r="GI47" s="267"/>
      <c r="GJ47" s="267"/>
      <c r="GK47" s="267"/>
      <c r="GL47" s="267"/>
      <c r="GM47" s="267"/>
      <c r="GN47" s="267"/>
      <c r="GO47" s="267"/>
      <c r="GP47" s="267"/>
      <c r="GQ47" s="267"/>
      <c r="GR47" s="267"/>
      <c r="GS47" s="267"/>
      <c r="GT47" s="267"/>
      <c r="GU47" s="267"/>
      <c r="GV47" s="267"/>
      <c r="GW47" s="267"/>
      <c r="GX47" s="267"/>
      <c r="GY47" s="267"/>
      <c r="GZ47" s="267"/>
      <c r="HA47" s="267"/>
      <c r="HB47" s="267"/>
      <c r="HC47" s="267"/>
      <c r="HD47" s="267"/>
      <c r="HE47" s="267"/>
      <c r="HF47" s="267"/>
      <c r="HG47" s="267"/>
      <c r="HH47" s="267"/>
      <c r="HI47" s="267"/>
      <c r="HJ47" s="267"/>
      <c r="HK47" s="267"/>
      <c r="HL47" s="267"/>
      <c r="HM47" s="267"/>
      <c r="HN47" s="267"/>
      <c r="HO47" s="267"/>
      <c r="HP47" s="267"/>
      <c r="HQ47" s="267"/>
      <c r="HR47" s="267"/>
      <c r="HS47" s="267"/>
      <c r="HT47" s="267"/>
      <c r="HU47" s="267"/>
      <c r="HV47" s="267"/>
      <c r="HW47" s="267"/>
      <c r="HX47" s="267"/>
      <c r="HY47" s="267"/>
      <c r="HZ47" s="267"/>
      <c r="IA47" s="267"/>
      <c r="IB47" s="267"/>
      <c r="IC47" s="267"/>
      <c r="ID47" s="267"/>
      <c r="IE47" s="267"/>
      <c r="IF47" s="267"/>
      <c r="IG47" s="267"/>
      <c r="IH47" s="267"/>
      <c r="II47" s="267"/>
      <c r="IJ47" s="267"/>
      <c r="IK47" s="267"/>
      <c r="IL47" s="267"/>
      <c r="IM47" s="267"/>
      <c r="IN47" s="267"/>
      <c r="IO47" s="267"/>
      <c r="IP47" s="267"/>
      <c r="IQ47" s="267"/>
      <c r="IR47" s="267"/>
      <c r="IS47" s="267"/>
      <c r="IT47" s="267"/>
      <c r="IU47" s="267"/>
      <c r="IV47" s="267"/>
      <c r="IW47" s="267"/>
    </row>
    <row r="48" customFormat="false" ht="11.25" hidden="false" customHeight="true" outlineLevel="0" collapsed="false">
      <c r="A48" s="294"/>
      <c r="B48" s="271"/>
      <c r="C48" s="302"/>
      <c r="D48" s="305"/>
      <c r="E48" s="315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302"/>
      <c r="R48" s="274"/>
      <c r="S48" s="274"/>
      <c r="T48" s="274"/>
      <c r="U48" s="274"/>
      <c r="V48" s="274"/>
      <c r="W48" s="274"/>
      <c r="X48" s="274"/>
      <c r="Y48" s="302"/>
      <c r="Z48" s="287"/>
      <c r="AA48" s="302"/>
      <c r="AB48" s="302"/>
      <c r="AC48" s="265"/>
      <c r="AD48" s="303"/>
      <c r="AE48" s="266"/>
      <c r="AF48" s="266"/>
      <c r="AG48" s="266"/>
      <c r="AH48" s="266"/>
      <c r="AI48" s="266"/>
      <c r="AJ48" s="266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CA48" s="267"/>
      <c r="CB48" s="267"/>
      <c r="CC48" s="267"/>
      <c r="CD48" s="267"/>
      <c r="CE48" s="267"/>
      <c r="CF48" s="267"/>
      <c r="CG48" s="267"/>
      <c r="CH48" s="267"/>
      <c r="CI48" s="267"/>
      <c r="CJ48" s="267"/>
      <c r="CK48" s="267"/>
      <c r="CL48" s="267"/>
      <c r="CM48" s="267"/>
      <c r="CN48" s="267"/>
      <c r="CO48" s="267"/>
      <c r="CP48" s="267"/>
      <c r="CQ48" s="267"/>
      <c r="CR48" s="267"/>
      <c r="CS48" s="267"/>
      <c r="CT48" s="267"/>
      <c r="CU48" s="267"/>
      <c r="CV48" s="267"/>
      <c r="CW48" s="267"/>
      <c r="CX48" s="267"/>
      <c r="CY48" s="267"/>
      <c r="CZ48" s="267"/>
      <c r="DA48" s="267"/>
      <c r="DB48" s="267"/>
      <c r="DC48" s="267"/>
      <c r="DD48" s="267"/>
      <c r="DE48" s="267"/>
      <c r="DF48" s="267"/>
      <c r="DG48" s="267"/>
      <c r="DH48" s="267"/>
      <c r="DI48" s="267"/>
      <c r="DJ48" s="267"/>
      <c r="DK48" s="267"/>
      <c r="DL48" s="267"/>
      <c r="DM48" s="267"/>
      <c r="DN48" s="267"/>
      <c r="DO48" s="267"/>
      <c r="DP48" s="267"/>
      <c r="DQ48" s="267"/>
      <c r="DR48" s="267"/>
      <c r="DS48" s="267"/>
      <c r="DT48" s="267"/>
      <c r="DU48" s="267"/>
      <c r="DV48" s="267"/>
      <c r="DW48" s="267"/>
      <c r="DX48" s="267"/>
      <c r="DY48" s="267"/>
      <c r="DZ48" s="267"/>
      <c r="EA48" s="267"/>
      <c r="EB48" s="267"/>
      <c r="EC48" s="267"/>
      <c r="ED48" s="267"/>
      <c r="EE48" s="267"/>
      <c r="EF48" s="267"/>
      <c r="EG48" s="267"/>
      <c r="EH48" s="267"/>
      <c r="EI48" s="267"/>
      <c r="EJ48" s="267"/>
      <c r="EK48" s="267"/>
      <c r="EL48" s="267"/>
      <c r="EM48" s="267"/>
      <c r="EN48" s="267"/>
      <c r="EO48" s="267"/>
      <c r="EP48" s="267"/>
      <c r="EQ48" s="267"/>
      <c r="ER48" s="267"/>
      <c r="ES48" s="267"/>
      <c r="ET48" s="267"/>
      <c r="EU48" s="267"/>
      <c r="EV48" s="267"/>
      <c r="EW48" s="267"/>
      <c r="EX48" s="267"/>
      <c r="EY48" s="267"/>
      <c r="EZ48" s="267"/>
      <c r="FA48" s="267"/>
      <c r="FB48" s="267"/>
      <c r="FC48" s="267"/>
      <c r="FD48" s="267"/>
      <c r="FE48" s="267"/>
      <c r="FF48" s="267"/>
      <c r="FG48" s="267"/>
      <c r="FH48" s="267"/>
      <c r="FI48" s="267"/>
      <c r="FJ48" s="267"/>
      <c r="FK48" s="267"/>
      <c r="FL48" s="267"/>
      <c r="FM48" s="267"/>
      <c r="FN48" s="267"/>
      <c r="FO48" s="267"/>
      <c r="FP48" s="267"/>
      <c r="FQ48" s="267"/>
      <c r="FR48" s="267"/>
      <c r="FS48" s="267"/>
      <c r="FT48" s="267"/>
      <c r="FU48" s="267"/>
      <c r="FV48" s="267"/>
      <c r="FW48" s="267"/>
      <c r="FX48" s="267"/>
      <c r="FY48" s="267"/>
      <c r="FZ48" s="267"/>
      <c r="GA48" s="267"/>
      <c r="GB48" s="267"/>
      <c r="GC48" s="267"/>
      <c r="GD48" s="267"/>
      <c r="GE48" s="267"/>
      <c r="GF48" s="267"/>
      <c r="GG48" s="267"/>
      <c r="GH48" s="267"/>
      <c r="GI48" s="267"/>
      <c r="GJ48" s="267"/>
      <c r="GK48" s="267"/>
      <c r="GL48" s="267"/>
      <c r="GM48" s="267"/>
      <c r="GN48" s="267"/>
      <c r="GO48" s="267"/>
      <c r="GP48" s="267"/>
      <c r="GQ48" s="267"/>
      <c r="GR48" s="267"/>
      <c r="GS48" s="267"/>
      <c r="GT48" s="267"/>
      <c r="GU48" s="267"/>
      <c r="GV48" s="267"/>
      <c r="GW48" s="267"/>
      <c r="GX48" s="267"/>
      <c r="GY48" s="267"/>
      <c r="GZ48" s="267"/>
      <c r="HA48" s="267"/>
      <c r="HB48" s="267"/>
      <c r="HC48" s="267"/>
      <c r="HD48" s="267"/>
      <c r="HE48" s="267"/>
      <c r="HF48" s="267"/>
      <c r="HG48" s="267"/>
      <c r="HH48" s="267"/>
      <c r="HI48" s="267"/>
      <c r="HJ48" s="267"/>
      <c r="HK48" s="267"/>
      <c r="HL48" s="267"/>
      <c r="HM48" s="267"/>
      <c r="HN48" s="267"/>
      <c r="HO48" s="267"/>
      <c r="HP48" s="267"/>
      <c r="HQ48" s="267"/>
      <c r="HR48" s="267"/>
      <c r="HS48" s="267"/>
      <c r="HT48" s="267"/>
      <c r="HU48" s="267"/>
      <c r="HV48" s="267"/>
      <c r="HW48" s="267"/>
      <c r="HX48" s="267"/>
      <c r="HY48" s="267"/>
      <c r="HZ48" s="267"/>
      <c r="IA48" s="267"/>
      <c r="IB48" s="267"/>
      <c r="IC48" s="267"/>
      <c r="ID48" s="267"/>
      <c r="IE48" s="267"/>
      <c r="IF48" s="267"/>
      <c r="IG48" s="267"/>
      <c r="IH48" s="267"/>
      <c r="II48" s="267"/>
      <c r="IJ48" s="267"/>
      <c r="IK48" s="267"/>
      <c r="IL48" s="267"/>
      <c r="IM48" s="267"/>
      <c r="IN48" s="267"/>
      <c r="IO48" s="267"/>
      <c r="IP48" s="267"/>
      <c r="IQ48" s="267"/>
      <c r="IR48" s="267"/>
      <c r="IS48" s="267"/>
      <c r="IT48" s="267"/>
      <c r="IU48" s="267"/>
      <c r="IV48" s="267"/>
      <c r="IW48" s="267"/>
    </row>
    <row r="49" customFormat="false" ht="11.25" hidden="false" customHeight="true" outlineLevel="0" collapsed="false">
      <c r="A49" s="294" t="s">
        <v>267</v>
      </c>
      <c r="B49" s="271" t="s">
        <v>96</v>
      </c>
      <c r="C49" s="302" t="s">
        <v>98</v>
      </c>
      <c r="D49" s="305" t="n">
        <f aca="false">'E. VaR &amp; Peak Pos By Trader'!E49</f>
        <v>57686.570024563</v>
      </c>
      <c r="E49" s="315" t="n">
        <f aca="false">'E. VaR &amp; Peak Pos By Trader'!F49</f>
        <v>-1168.4478932606</v>
      </c>
      <c r="F49" s="274"/>
      <c r="G49" s="274"/>
      <c r="H49" s="274"/>
      <c r="I49" s="274"/>
      <c r="J49" s="274"/>
      <c r="K49" s="274"/>
      <c r="L49" s="274" t="n">
        <f aca="false">+VLOOKUP($B49,'[3]Delta Monthly'!$A$1:$AW$55,17,0)</f>
        <v>0</v>
      </c>
      <c r="M49" s="274" t="n">
        <f aca="false">VLOOKUP($B49,'[3]Delta Monthly'!$A$1:$AW$55,19,0)</f>
        <v>0</v>
      </c>
      <c r="N49" s="274" t="n">
        <f aca="false">VLOOKUP($B49,'[3]Delta Monthly'!$A$1:$AW$55,21,FALSE())</f>
        <v>0</v>
      </c>
      <c r="O49" s="274" t="n">
        <f aca="false">VLOOKUP($B49,'[3]Delta Monthly'!$A$1:$AW$55,23,FALSE())</f>
        <v>6787.68992143641</v>
      </c>
      <c r="P49" s="274" t="n">
        <f aca="false">VLOOKUP($B49,'[3]Delta Monthly'!$A$1:$AW$55,25,FALSE())</f>
        <v>21122.4595828265</v>
      </c>
      <c r="Q49" s="302" t="n">
        <f aca="false">SUM(F49:P49)</f>
        <v>27910.1495042629</v>
      </c>
      <c r="R49" s="274" t="n">
        <f aca="false">VLOOKUP($B49,'[3]Delta Monthly'!$A$1:$AW$55,27,0)+VLOOKUP($B49,'[3]Delta Monthly'!$A$1:$AW$55,29,0)</f>
        <v>27.4776691437</v>
      </c>
      <c r="S49" s="274" t="n">
        <f aca="false">VLOOKUP($B49,'[3]Delta Monthly'!$A$1:$AW$55,31,0)+VLOOKUP($B49,'[3]Delta Monthly'!$A$1:$AW$55,33,0)</f>
        <v>0</v>
      </c>
      <c r="T49" s="274" t="n">
        <f aca="false">VLOOKUP($B49,'[3]Delta Monthly'!$A$1:$AW$55,35,0)</f>
        <v>0</v>
      </c>
      <c r="U49" s="274" t="n">
        <f aca="false">VLOOKUP($B49,'[3]Delta Monthly'!$A$1:$AW$55,37,0)</f>
        <v>0</v>
      </c>
      <c r="V49" s="274" t="n">
        <f aca="false">VLOOKUP($B49,'[3]Delta Monthly'!$A$1:$AW$55,39,0)+VLOOKUP($B49,'[3]Delta Monthly'!$A$1:$AW$55,41,0)</f>
        <v>0</v>
      </c>
      <c r="W49" s="274" t="n">
        <f aca="false">VLOOKUP($B49,'[3]Delta Monthly'!$A$1:$AW$55,43,0)</f>
        <v>0</v>
      </c>
      <c r="X49" s="274" t="n">
        <f aca="false">VLOOKUP($B49,'[3]Delta Monthly'!$A$1:$AW$55,45,0)+VLOOKUP($B49,'[3]Delta Monthly'!$A$1:$AW$55,47,0)+VLOOKUP($B49,'[3]Delta Monthly'!$A$1:$AW$55,49,0)</f>
        <v>0</v>
      </c>
      <c r="Y49" s="302" t="n">
        <f aca="false">SUM(R49:X49)</f>
        <v>27.4776691437</v>
      </c>
      <c r="Z49" s="287" t="n">
        <f aca="false">VLOOKUP($B49,'[5]Delta Yearly'!$A$1:$AC$55,5,0)</f>
        <v>-349.8537167491</v>
      </c>
      <c r="AA49" s="302" t="n">
        <f aca="false">VLOOKUP($B49,'[5]Delta Yearly'!$A$1:$AC$55,7,FALSE())+VLOOKUP($B49,'[5]Delta Yearly'!$A$1:$AC$55,9,FALSE())+VLOOKUP($B49,'[5]Delta Yearly'!$A$1:$AC$55,11,FALSE())+VLOOKUP($B49,'[5]Delta Yearly'!$A$1:$AC$55,13,FALSE())+VLOOKUP($B49,'[5]Delta Yearly'!$A$1:$AC$55,15,FALSE())+VLOOKUP($B49,'[5]Delta Yearly'!$A$1:$AC$55,17,FALSE())+VLOOKUP($B49,'[5]Delta Yearly'!$A$1:$AC$55,19,FALSE())+VLOOKUP($B49,'[5]Delta Yearly'!$A$1:$AC$55,21,FALSE())+VLOOKUP($B49,'[5]Delta Yearly'!$A$1:$AC$55,23,FALSE())+VLOOKUP($B49,'[5]Delta Yearly'!$A$1:$AC$55,25,FALSE())+VLOOKUP($B49,'[5]Delta Yearly'!$A$1:$AC$55,27,FALSE())+VLOOKUP($B49,'[5]Delta Yearly'!$A$1:$AC$55,29,FALSE())</f>
        <v>0</v>
      </c>
      <c r="AB49" s="302" t="n">
        <f aca="false">SUM(AA49,Z49,Y49,Q49)</f>
        <v>27587.7734566575</v>
      </c>
      <c r="AC49" s="265"/>
      <c r="AD49" s="303"/>
      <c r="AE49" s="266"/>
      <c r="AF49" s="266"/>
      <c r="AG49" s="266"/>
      <c r="AH49" s="266"/>
      <c r="AI49" s="266"/>
      <c r="AJ49" s="266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  <c r="BY49" s="267"/>
      <c r="BZ49" s="267"/>
      <c r="CA49" s="267"/>
      <c r="CB49" s="267"/>
      <c r="CC49" s="267"/>
      <c r="CD49" s="267"/>
      <c r="CE49" s="267"/>
      <c r="CF49" s="267"/>
      <c r="CG49" s="267"/>
      <c r="CH49" s="267"/>
      <c r="CI49" s="267"/>
      <c r="CJ49" s="267"/>
      <c r="CK49" s="267"/>
      <c r="CL49" s="267"/>
      <c r="CM49" s="267"/>
      <c r="CN49" s="267"/>
      <c r="CO49" s="267"/>
      <c r="CP49" s="267"/>
      <c r="CQ49" s="267"/>
      <c r="CR49" s="267"/>
      <c r="CS49" s="267"/>
      <c r="CT49" s="267"/>
      <c r="CU49" s="267"/>
      <c r="CV49" s="267"/>
      <c r="CW49" s="267"/>
      <c r="CX49" s="267"/>
      <c r="CY49" s="267"/>
      <c r="CZ49" s="267"/>
      <c r="DA49" s="267"/>
      <c r="DB49" s="267"/>
      <c r="DC49" s="267"/>
      <c r="DD49" s="267"/>
      <c r="DE49" s="267"/>
      <c r="DF49" s="267"/>
      <c r="DG49" s="267"/>
      <c r="DH49" s="267"/>
      <c r="DI49" s="267"/>
      <c r="DJ49" s="267"/>
      <c r="DK49" s="267"/>
      <c r="DL49" s="267"/>
      <c r="DM49" s="267"/>
      <c r="DN49" s="267"/>
      <c r="DO49" s="267"/>
      <c r="DP49" s="267"/>
      <c r="DQ49" s="267"/>
      <c r="DR49" s="267"/>
      <c r="DS49" s="267"/>
      <c r="DT49" s="267"/>
      <c r="DU49" s="267"/>
      <c r="DV49" s="267"/>
      <c r="DW49" s="267"/>
      <c r="DX49" s="267"/>
      <c r="DY49" s="267"/>
      <c r="DZ49" s="267"/>
      <c r="EA49" s="267"/>
      <c r="EB49" s="267"/>
      <c r="EC49" s="267"/>
      <c r="ED49" s="267"/>
      <c r="EE49" s="267"/>
      <c r="EF49" s="267"/>
      <c r="EG49" s="267"/>
      <c r="EH49" s="267"/>
      <c r="EI49" s="267"/>
      <c r="EJ49" s="267"/>
      <c r="EK49" s="267"/>
      <c r="EL49" s="267"/>
      <c r="EM49" s="267"/>
      <c r="EN49" s="267"/>
      <c r="EO49" s="267"/>
      <c r="EP49" s="267"/>
      <c r="EQ49" s="267"/>
      <c r="ER49" s="267"/>
      <c r="ES49" s="267"/>
      <c r="ET49" s="267"/>
      <c r="EU49" s="267"/>
      <c r="EV49" s="267"/>
      <c r="EW49" s="267"/>
      <c r="EX49" s="267"/>
      <c r="EY49" s="267"/>
      <c r="EZ49" s="267"/>
      <c r="FA49" s="267"/>
      <c r="FB49" s="267"/>
      <c r="FC49" s="267"/>
      <c r="FD49" s="267"/>
      <c r="FE49" s="267"/>
      <c r="FF49" s="267"/>
      <c r="FG49" s="267"/>
      <c r="FH49" s="267"/>
      <c r="FI49" s="267"/>
      <c r="FJ49" s="267"/>
      <c r="FK49" s="267"/>
      <c r="FL49" s="267"/>
      <c r="FM49" s="267"/>
      <c r="FN49" s="267"/>
      <c r="FO49" s="267"/>
      <c r="FP49" s="267"/>
      <c r="FQ49" s="267"/>
      <c r="FR49" s="267"/>
      <c r="FS49" s="267"/>
      <c r="FT49" s="267"/>
      <c r="FU49" s="267"/>
      <c r="FV49" s="267"/>
      <c r="FW49" s="267"/>
      <c r="FX49" s="267"/>
      <c r="FY49" s="267"/>
      <c r="FZ49" s="267"/>
      <c r="GA49" s="267"/>
      <c r="GB49" s="267"/>
      <c r="GC49" s="267"/>
      <c r="GD49" s="267"/>
      <c r="GE49" s="267"/>
      <c r="GF49" s="267"/>
      <c r="GG49" s="267"/>
      <c r="GH49" s="267"/>
      <c r="GI49" s="267"/>
      <c r="GJ49" s="267"/>
      <c r="GK49" s="267"/>
      <c r="GL49" s="267"/>
      <c r="GM49" s="267"/>
      <c r="GN49" s="267"/>
      <c r="GO49" s="267"/>
      <c r="GP49" s="267"/>
      <c r="GQ49" s="267"/>
      <c r="GR49" s="267"/>
      <c r="GS49" s="267"/>
      <c r="GT49" s="267"/>
      <c r="GU49" s="267"/>
      <c r="GV49" s="267"/>
      <c r="GW49" s="267"/>
      <c r="GX49" s="267"/>
      <c r="GY49" s="267"/>
      <c r="GZ49" s="267"/>
      <c r="HA49" s="267"/>
      <c r="HB49" s="267"/>
      <c r="HC49" s="267"/>
      <c r="HD49" s="267"/>
      <c r="HE49" s="267"/>
      <c r="HF49" s="267"/>
      <c r="HG49" s="267"/>
      <c r="HH49" s="267"/>
      <c r="HI49" s="267"/>
      <c r="HJ49" s="267"/>
      <c r="HK49" s="267"/>
      <c r="HL49" s="267"/>
      <c r="HM49" s="267"/>
      <c r="HN49" s="267"/>
      <c r="HO49" s="267"/>
      <c r="HP49" s="267"/>
      <c r="HQ49" s="267"/>
      <c r="HR49" s="267"/>
      <c r="HS49" s="267"/>
      <c r="HT49" s="267"/>
      <c r="HU49" s="267"/>
      <c r="HV49" s="267"/>
      <c r="HW49" s="267"/>
      <c r="HX49" s="267"/>
      <c r="HY49" s="267"/>
      <c r="HZ49" s="267"/>
      <c r="IA49" s="267"/>
      <c r="IB49" s="267"/>
      <c r="IC49" s="267"/>
      <c r="ID49" s="267"/>
      <c r="IE49" s="267"/>
      <c r="IF49" s="267"/>
      <c r="IG49" s="267"/>
      <c r="IH49" s="267"/>
      <c r="II49" s="267"/>
      <c r="IJ49" s="267"/>
      <c r="IK49" s="267"/>
      <c r="IL49" s="267"/>
      <c r="IM49" s="267"/>
      <c r="IN49" s="267"/>
      <c r="IO49" s="267"/>
      <c r="IP49" s="267"/>
      <c r="IQ49" s="267"/>
      <c r="IR49" s="267"/>
      <c r="IS49" s="267"/>
      <c r="IT49" s="267"/>
      <c r="IU49" s="267"/>
      <c r="IV49" s="267"/>
      <c r="IW49" s="267"/>
    </row>
    <row r="50" customFormat="false" ht="12" hidden="false" customHeight="true" outlineLevel="0" collapsed="false">
      <c r="A50" s="314"/>
      <c r="B50" s="271"/>
      <c r="C50" s="302"/>
      <c r="D50" s="305"/>
      <c r="E50" s="315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302"/>
      <c r="R50" s="284"/>
      <c r="S50" s="284"/>
      <c r="T50" s="284"/>
      <c r="U50" s="284"/>
      <c r="V50" s="284"/>
      <c r="W50" s="284"/>
      <c r="X50" s="284"/>
      <c r="Y50" s="302"/>
      <c r="Z50" s="287"/>
      <c r="AA50" s="302"/>
      <c r="AB50" s="302"/>
      <c r="AC50" s="265"/>
      <c r="AD50" s="303"/>
      <c r="AE50" s="266"/>
      <c r="AF50" s="266"/>
      <c r="AG50" s="266"/>
      <c r="AH50" s="266"/>
      <c r="AI50" s="266"/>
      <c r="AJ50" s="266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  <c r="BI50" s="267"/>
      <c r="BJ50" s="267"/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  <c r="BY50" s="267"/>
      <c r="BZ50" s="267"/>
      <c r="CA50" s="267"/>
      <c r="CB50" s="267"/>
      <c r="CC50" s="267"/>
      <c r="CD50" s="267"/>
      <c r="CE50" s="267"/>
      <c r="CF50" s="267"/>
      <c r="CG50" s="267"/>
      <c r="CH50" s="267"/>
      <c r="CI50" s="267"/>
      <c r="CJ50" s="267"/>
      <c r="CK50" s="267"/>
      <c r="CL50" s="267"/>
      <c r="CM50" s="267"/>
      <c r="CN50" s="267"/>
      <c r="CO50" s="267"/>
      <c r="CP50" s="267"/>
      <c r="CQ50" s="267"/>
      <c r="CR50" s="267"/>
      <c r="CS50" s="267"/>
      <c r="CT50" s="267"/>
      <c r="CU50" s="267"/>
      <c r="CV50" s="267"/>
      <c r="CW50" s="267"/>
      <c r="CX50" s="267"/>
      <c r="CY50" s="267"/>
      <c r="CZ50" s="267"/>
      <c r="DA50" s="267"/>
      <c r="DB50" s="267"/>
      <c r="DC50" s="267"/>
      <c r="DD50" s="267"/>
      <c r="DE50" s="267"/>
      <c r="DF50" s="267"/>
      <c r="DG50" s="267"/>
      <c r="DH50" s="267"/>
      <c r="DI50" s="267"/>
      <c r="DJ50" s="267"/>
      <c r="DK50" s="267"/>
      <c r="DL50" s="267"/>
      <c r="DM50" s="267"/>
      <c r="DN50" s="267"/>
      <c r="DO50" s="267"/>
      <c r="DP50" s="267"/>
      <c r="DQ50" s="267"/>
      <c r="DR50" s="267"/>
      <c r="DS50" s="267"/>
      <c r="DT50" s="267"/>
      <c r="DU50" s="267"/>
      <c r="DV50" s="267"/>
      <c r="DW50" s="267"/>
      <c r="DX50" s="267"/>
      <c r="DY50" s="267"/>
      <c r="DZ50" s="267"/>
      <c r="EA50" s="267"/>
      <c r="EB50" s="267"/>
      <c r="EC50" s="267"/>
      <c r="ED50" s="267"/>
      <c r="EE50" s="267"/>
      <c r="EF50" s="267"/>
      <c r="EG50" s="267"/>
      <c r="EH50" s="267"/>
      <c r="EI50" s="267"/>
      <c r="EJ50" s="267"/>
      <c r="EK50" s="267"/>
      <c r="EL50" s="267"/>
      <c r="EM50" s="267"/>
      <c r="EN50" s="267"/>
      <c r="EO50" s="267"/>
      <c r="EP50" s="267"/>
      <c r="EQ50" s="267"/>
      <c r="ER50" s="267"/>
      <c r="ES50" s="267"/>
      <c r="ET50" s="267"/>
      <c r="EU50" s="267"/>
      <c r="EV50" s="267"/>
      <c r="EW50" s="267"/>
      <c r="EX50" s="267"/>
      <c r="EY50" s="267"/>
      <c r="EZ50" s="267"/>
      <c r="FA50" s="267"/>
      <c r="FB50" s="267"/>
      <c r="FC50" s="267"/>
      <c r="FD50" s="267"/>
      <c r="FE50" s="267"/>
      <c r="FF50" s="267"/>
      <c r="FG50" s="267"/>
      <c r="FH50" s="267"/>
      <c r="FI50" s="267"/>
      <c r="FJ50" s="267"/>
      <c r="FK50" s="267"/>
      <c r="FL50" s="267"/>
      <c r="FM50" s="267"/>
      <c r="FN50" s="267"/>
      <c r="FO50" s="267"/>
      <c r="FP50" s="267"/>
      <c r="FQ50" s="267"/>
      <c r="FR50" s="267"/>
      <c r="FS50" s="267"/>
      <c r="FT50" s="267"/>
      <c r="FU50" s="267"/>
      <c r="FV50" s="267"/>
      <c r="FW50" s="267"/>
      <c r="FX50" s="267"/>
      <c r="FY50" s="267"/>
      <c r="FZ50" s="267"/>
      <c r="GA50" s="267"/>
      <c r="GB50" s="267"/>
      <c r="GC50" s="267"/>
      <c r="GD50" s="267"/>
      <c r="GE50" s="267"/>
      <c r="GF50" s="267"/>
      <c r="GG50" s="267"/>
      <c r="GH50" s="267"/>
      <c r="GI50" s="267"/>
      <c r="GJ50" s="267"/>
      <c r="GK50" s="267"/>
      <c r="GL50" s="267"/>
      <c r="GM50" s="267"/>
      <c r="GN50" s="267"/>
      <c r="GO50" s="267"/>
      <c r="GP50" s="267"/>
      <c r="GQ50" s="267"/>
      <c r="GR50" s="267"/>
      <c r="GS50" s="267"/>
      <c r="GT50" s="267"/>
      <c r="GU50" s="267"/>
      <c r="GV50" s="267"/>
      <c r="GW50" s="267"/>
      <c r="GX50" s="267"/>
      <c r="GY50" s="267"/>
      <c r="GZ50" s="267"/>
      <c r="HA50" s="267"/>
      <c r="HB50" s="267"/>
      <c r="HC50" s="267"/>
      <c r="HD50" s="267"/>
      <c r="HE50" s="267"/>
      <c r="HF50" s="267"/>
      <c r="HG50" s="267"/>
      <c r="HH50" s="267"/>
      <c r="HI50" s="267"/>
      <c r="HJ50" s="267"/>
      <c r="HK50" s="267"/>
      <c r="HL50" s="267"/>
      <c r="HM50" s="267"/>
      <c r="HN50" s="267"/>
      <c r="HO50" s="267"/>
      <c r="HP50" s="267"/>
      <c r="HQ50" s="267"/>
      <c r="HR50" s="267"/>
      <c r="HS50" s="267"/>
      <c r="HT50" s="267"/>
      <c r="HU50" s="267"/>
      <c r="HV50" s="267"/>
      <c r="HW50" s="267"/>
      <c r="HX50" s="267"/>
      <c r="HY50" s="267"/>
      <c r="HZ50" s="267"/>
      <c r="IA50" s="267"/>
      <c r="IB50" s="267"/>
      <c r="IC50" s="267"/>
      <c r="ID50" s="267"/>
      <c r="IE50" s="267"/>
      <c r="IF50" s="267"/>
      <c r="IG50" s="267"/>
      <c r="IH50" s="267"/>
      <c r="II50" s="267"/>
      <c r="IJ50" s="267"/>
      <c r="IK50" s="267"/>
      <c r="IL50" s="267"/>
      <c r="IM50" s="267"/>
      <c r="IN50" s="267"/>
      <c r="IO50" s="267"/>
      <c r="IP50" s="267"/>
      <c r="IQ50" s="267"/>
      <c r="IR50" s="267"/>
      <c r="IS50" s="267"/>
      <c r="IT50" s="267"/>
      <c r="IU50" s="267"/>
      <c r="IV50" s="267"/>
      <c r="IW50" s="267"/>
    </row>
    <row r="51" customFormat="false" ht="12" hidden="false" customHeight="true" outlineLevel="0" collapsed="false">
      <c r="A51" s="294" t="s">
        <v>99</v>
      </c>
      <c r="B51" s="271" t="s">
        <v>100</v>
      </c>
      <c r="C51" s="302" t="s">
        <v>102</v>
      </c>
      <c r="D51" s="305" t="n">
        <f aca="false">'E. VaR &amp; Peak Pos By Trader'!E51</f>
        <v>1297970.27766544</v>
      </c>
      <c r="E51" s="315" t="n">
        <f aca="false">'E. VaR &amp; Peak Pos By Trader'!F51</f>
        <v>-504185.22839392</v>
      </c>
      <c r="F51" s="274" t="n">
        <f aca="false">VLOOKUP($B51,'[3]Delta Monthly'!$A$1:$AW$55,5,1)</f>
        <v>0</v>
      </c>
      <c r="G51" s="274" t="n">
        <f aca="false">VLOOKUP($B51,'[3]Delta Monthly'!$A$1:$AW$55,7,1)</f>
        <v>0</v>
      </c>
      <c r="H51" s="274" t="n">
        <f aca="false">VLOOKUP($B51,'[3]Delta Monthly'!$A$1:$AW$55,9,1)</f>
        <v>0</v>
      </c>
      <c r="I51" s="274" t="n">
        <f aca="false">VLOOKUP($B51,'[3]Delta Monthly'!$A$1:$AW$55,11,0)</f>
        <v>0</v>
      </c>
      <c r="J51" s="274" t="n">
        <f aca="false">VLOOKUP($B51,'[3]Delta Monthly'!$A$1:$AW$55,13,0)</f>
        <v>0</v>
      </c>
      <c r="K51" s="274" t="n">
        <f aca="false">VLOOKUP($B51,'[3]Delta Monthly'!$A$1:$AW$55,15,0)</f>
        <v>0</v>
      </c>
      <c r="L51" s="274" t="n">
        <f aca="false">+VLOOKUP($B51,'[3]Delta Monthly'!$A$1:$AW$55,17,0)</f>
        <v>0</v>
      </c>
      <c r="M51" s="274" t="n">
        <f aca="false">VLOOKUP($B51,'[3]Delta Monthly'!$A$1:$AW$55,19,0)</f>
        <v>0</v>
      </c>
      <c r="N51" s="274" t="n">
        <f aca="false">VLOOKUP($B51,'[3]Delta Monthly'!$A$1:$AW$55,21,FALSE())</f>
        <v>0</v>
      </c>
      <c r="O51" s="274" t="n">
        <f aca="false">VLOOKUP($B51,'[3]Delta Monthly'!$A$1:$AW$55,23,FALSE())</f>
        <v>8594.20037686952</v>
      </c>
      <c r="P51" s="274" t="n">
        <f aca="false">VLOOKUP($B51,'[3]Delta Monthly'!$A$1:$AW$55,25,FALSE())</f>
        <v>-84459.3020041349</v>
      </c>
      <c r="Q51" s="302" t="n">
        <f aca="false">SUM(F51:P51)</f>
        <v>-75865.1016272653</v>
      </c>
      <c r="R51" s="274" t="n">
        <f aca="false">VLOOKUP($B51,'[3]Delta Monthly'!$A$1:$AW$55,27,0)+VLOOKUP($B51,'[3]Delta Monthly'!$A$1:$AW$55,29,0)</f>
        <v>-36968.1434861195</v>
      </c>
      <c r="S51" s="274" t="n">
        <f aca="false">VLOOKUP($B51,'[3]Delta Monthly'!$A$1:$AW$55,31,0)+VLOOKUP($B51,'[3]Delta Monthly'!$A$1:$AW$55,33,0)</f>
        <v>-38371.7925092646</v>
      </c>
      <c r="T51" s="274" t="n">
        <f aca="false">VLOOKUP($B51,'[3]Delta Monthly'!$A$1:$AW$55,35,0)</f>
        <v>-18263.6074132118</v>
      </c>
      <c r="U51" s="274" t="n">
        <f aca="false">VLOOKUP($B51,'[3]Delta Monthly'!$A$1:$AW$55,37,0)</f>
        <v>59112.8804302167</v>
      </c>
      <c r="V51" s="274" t="n">
        <f aca="false">VLOOKUP($B51,'[3]Delta Monthly'!$A$1:$AW$55,39,0)+VLOOKUP($B51,'[3]Delta Monthly'!$A$1:$AW$55,41,0)</f>
        <v>115460.46345462</v>
      </c>
      <c r="W51" s="274" t="n">
        <f aca="false">VLOOKUP($B51,'[3]Delta Monthly'!$A$1:$AW$55,43,0)</f>
        <v>58693.5999251075</v>
      </c>
      <c r="X51" s="274" t="n">
        <f aca="false">VLOOKUP($B51,'[3]Delta Monthly'!$A$1:$AW$55,45,0)+VLOOKUP($B51,'[3]Delta Monthly'!$A$1:$AW$55,47,0)+VLOOKUP($B51,'[3]Delta Monthly'!$A$1:$AW$55,49,0)</f>
        <v>172918.877362655</v>
      </c>
      <c r="Y51" s="302" t="n">
        <f aca="false">SUM(R51:X51)</f>
        <v>312582.277764004</v>
      </c>
      <c r="Z51" s="287" t="n">
        <f aca="false">VLOOKUP($B51,'[5]Delta Yearly'!$A$1:$AC$55,5,0)</f>
        <v>-1331636.13139198</v>
      </c>
      <c r="AA51" s="302" t="n">
        <f aca="false">VLOOKUP($B51,'[5]Delta Yearly'!$A$1:$AC$55,7,FALSE())+VLOOKUP($B51,'[5]Delta Yearly'!$A$1:$AC$55,9,FALSE())+VLOOKUP($B51,'[5]Delta Yearly'!$A$1:$AC$55,11,FALSE())+VLOOKUP($B51,'[5]Delta Yearly'!$A$1:$AC$55,13,FALSE())+VLOOKUP($B51,'[5]Delta Yearly'!$A$1:$AC$55,15,FALSE())+VLOOKUP($B51,'[5]Delta Yearly'!$A$1:$AC$55,17,FALSE())+VLOOKUP($B51,'[5]Delta Yearly'!$A$1:$AC$55,19,FALSE())+VLOOKUP($B51,'[5]Delta Yearly'!$A$1:$AC$55,21,FALSE())+VLOOKUP($B51,'[5]Delta Yearly'!$A$1:$AC$55,23,FALSE())+VLOOKUP($B51,'[5]Delta Yearly'!$A$1:$AC$55,25,FALSE())+VLOOKUP($B51,'[5]Delta Yearly'!$A$1:$AC$55,27,FALSE())+VLOOKUP($B51,'[5]Delta Yearly'!$A$1:$AC$55,29,FALSE())</f>
        <v>0</v>
      </c>
      <c r="AB51" s="302" t="n">
        <f aca="false">SUM(AA51,Z51,Y51,Q51)</f>
        <v>-1094918.95525524</v>
      </c>
      <c r="AC51" s="265"/>
      <c r="AD51" s="303"/>
      <c r="AE51" s="266"/>
      <c r="AF51" s="266"/>
      <c r="AG51" s="266"/>
      <c r="AH51" s="266"/>
      <c r="AI51" s="266"/>
      <c r="AJ51" s="266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  <c r="BI51" s="267"/>
      <c r="BJ51" s="267"/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  <c r="BX51" s="267"/>
      <c r="BY51" s="267"/>
      <c r="BZ51" s="267"/>
      <c r="CA51" s="267"/>
      <c r="CB51" s="267"/>
      <c r="CC51" s="267"/>
      <c r="CD51" s="267"/>
      <c r="CE51" s="267"/>
      <c r="CF51" s="267"/>
      <c r="CG51" s="267"/>
      <c r="CH51" s="267"/>
      <c r="CI51" s="267"/>
      <c r="CJ51" s="267"/>
      <c r="CK51" s="267"/>
      <c r="CL51" s="267"/>
      <c r="CM51" s="267"/>
      <c r="CN51" s="267"/>
      <c r="CO51" s="267"/>
      <c r="CP51" s="267"/>
      <c r="CQ51" s="267"/>
      <c r="CR51" s="267"/>
      <c r="CS51" s="267"/>
      <c r="CT51" s="267"/>
      <c r="CU51" s="267"/>
      <c r="CV51" s="267"/>
      <c r="CW51" s="267"/>
      <c r="CX51" s="267"/>
      <c r="CY51" s="267"/>
      <c r="CZ51" s="267"/>
      <c r="DA51" s="267"/>
      <c r="DB51" s="267"/>
      <c r="DC51" s="267"/>
      <c r="DD51" s="267"/>
      <c r="DE51" s="267"/>
      <c r="DF51" s="267"/>
      <c r="DG51" s="267"/>
      <c r="DH51" s="267"/>
      <c r="DI51" s="267"/>
      <c r="DJ51" s="267"/>
      <c r="DK51" s="267"/>
      <c r="DL51" s="267"/>
      <c r="DM51" s="267"/>
      <c r="DN51" s="267"/>
      <c r="DO51" s="267"/>
      <c r="DP51" s="267"/>
      <c r="DQ51" s="267"/>
      <c r="DR51" s="267"/>
      <c r="DS51" s="267"/>
      <c r="DT51" s="267"/>
      <c r="DU51" s="267"/>
      <c r="DV51" s="267"/>
      <c r="DW51" s="267"/>
      <c r="DX51" s="267"/>
      <c r="DY51" s="267"/>
      <c r="DZ51" s="267"/>
      <c r="EA51" s="267"/>
      <c r="EB51" s="267"/>
      <c r="EC51" s="267"/>
      <c r="ED51" s="267"/>
      <c r="EE51" s="267"/>
      <c r="EF51" s="267"/>
      <c r="EG51" s="267"/>
      <c r="EH51" s="267"/>
      <c r="EI51" s="267"/>
      <c r="EJ51" s="267"/>
      <c r="EK51" s="267"/>
      <c r="EL51" s="267"/>
      <c r="EM51" s="267"/>
      <c r="EN51" s="267"/>
      <c r="EO51" s="267"/>
      <c r="EP51" s="267"/>
      <c r="EQ51" s="267"/>
      <c r="ER51" s="267"/>
      <c r="ES51" s="267"/>
      <c r="ET51" s="267"/>
      <c r="EU51" s="267"/>
      <c r="EV51" s="267"/>
      <c r="EW51" s="267"/>
      <c r="EX51" s="267"/>
      <c r="EY51" s="267"/>
      <c r="EZ51" s="267"/>
      <c r="FA51" s="267"/>
      <c r="FB51" s="267"/>
      <c r="FC51" s="267"/>
      <c r="FD51" s="267"/>
      <c r="FE51" s="267"/>
      <c r="FF51" s="267"/>
      <c r="FG51" s="267"/>
      <c r="FH51" s="267"/>
      <c r="FI51" s="267"/>
      <c r="FJ51" s="267"/>
      <c r="FK51" s="267"/>
      <c r="FL51" s="267"/>
      <c r="FM51" s="267"/>
      <c r="FN51" s="267"/>
      <c r="FO51" s="267"/>
      <c r="FP51" s="267"/>
      <c r="FQ51" s="267"/>
      <c r="FR51" s="267"/>
      <c r="FS51" s="267"/>
      <c r="FT51" s="267"/>
      <c r="FU51" s="267"/>
      <c r="FV51" s="267"/>
      <c r="FW51" s="267"/>
      <c r="FX51" s="267"/>
      <c r="FY51" s="267"/>
      <c r="FZ51" s="267"/>
      <c r="GA51" s="267"/>
      <c r="GB51" s="267"/>
      <c r="GC51" s="267"/>
      <c r="GD51" s="267"/>
      <c r="GE51" s="267"/>
      <c r="GF51" s="267"/>
      <c r="GG51" s="267"/>
      <c r="GH51" s="267"/>
      <c r="GI51" s="267"/>
      <c r="GJ51" s="267"/>
      <c r="GK51" s="267"/>
      <c r="GL51" s="267"/>
      <c r="GM51" s="267"/>
      <c r="GN51" s="267"/>
      <c r="GO51" s="267"/>
      <c r="GP51" s="267"/>
      <c r="GQ51" s="267"/>
      <c r="GR51" s="267"/>
      <c r="GS51" s="267"/>
      <c r="GT51" s="267"/>
      <c r="GU51" s="267"/>
      <c r="GV51" s="267"/>
      <c r="GW51" s="267"/>
      <c r="GX51" s="267"/>
      <c r="GY51" s="267"/>
      <c r="GZ51" s="267"/>
      <c r="HA51" s="267"/>
      <c r="HB51" s="267"/>
      <c r="HC51" s="267"/>
      <c r="HD51" s="267"/>
      <c r="HE51" s="267"/>
      <c r="HF51" s="267"/>
      <c r="HG51" s="267"/>
      <c r="HH51" s="267"/>
      <c r="HI51" s="267"/>
      <c r="HJ51" s="267"/>
      <c r="HK51" s="267"/>
      <c r="HL51" s="267"/>
      <c r="HM51" s="267"/>
      <c r="HN51" s="267"/>
      <c r="HO51" s="267"/>
      <c r="HP51" s="267"/>
      <c r="HQ51" s="267"/>
      <c r="HR51" s="267"/>
      <c r="HS51" s="267"/>
      <c r="HT51" s="267"/>
      <c r="HU51" s="267"/>
      <c r="HV51" s="267"/>
      <c r="HW51" s="267"/>
      <c r="HX51" s="267"/>
      <c r="HY51" s="267"/>
      <c r="HZ51" s="267"/>
      <c r="IA51" s="267"/>
      <c r="IB51" s="267"/>
      <c r="IC51" s="267"/>
      <c r="ID51" s="267"/>
      <c r="IE51" s="267"/>
      <c r="IF51" s="267"/>
      <c r="IG51" s="267"/>
      <c r="IH51" s="267"/>
      <c r="II51" s="267"/>
      <c r="IJ51" s="267"/>
      <c r="IK51" s="267"/>
      <c r="IL51" s="267"/>
      <c r="IM51" s="267"/>
      <c r="IN51" s="267"/>
      <c r="IO51" s="267"/>
      <c r="IP51" s="267"/>
      <c r="IQ51" s="267"/>
      <c r="IR51" s="267"/>
      <c r="IS51" s="267"/>
      <c r="IT51" s="267"/>
      <c r="IU51" s="267"/>
      <c r="IV51" s="267"/>
      <c r="IW51" s="267"/>
    </row>
    <row r="52" customFormat="false" ht="12" hidden="false" customHeight="true" outlineLevel="0" collapsed="false">
      <c r="A52" s="294"/>
      <c r="B52" s="272"/>
      <c r="C52" s="302"/>
      <c r="D52" s="305"/>
      <c r="E52" s="315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302"/>
      <c r="R52" s="284"/>
      <c r="S52" s="284"/>
      <c r="T52" s="284"/>
      <c r="U52" s="284"/>
      <c r="V52" s="284"/>
      <c r="W52" s="284"/>
      <c r="X52" s="284"/>
      <c r="Y52" s="302"/>
      <c r="Z52" s="287"/>
      <c r="AA52" s="302"/>
      <c r="AB52" s="302"/>
      <c r="AC52" s="265"/>
      <c r="AD52" s="303"/>
      <c r="AE52" s="266"/>
      <c r="AF52" s="266"/>
      <c r="AG52" s="266"/>
      <c r="AH52" s="266"/>
      <c r="AI52" s="266"/>
      <c r="AJ52" s="266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7"/>
      <c r="BQ52" s="267"/>
      <c r="BR52" s="267"/>
      <c r="BS52" s="267"/>
      <c r="BT52" s="267"/>
      <c r="BU52" s="267"/>
      <c r="BV52" s="267"/>
      <c r="BW52" s="267"/>
      <c r="BX52" s="267"/>
      <c r="BY52" s="267"/>
      <c r="BZ52" s="267"/>
      <c r="CA52" s="267"/>
      <c r="CB52" s="267"/>
      <c r="CC52" s="267"/>
      <c r="CD52" s="267"/>
      <c r="CE52" s="267"/>
      <c r="CF52" s="267"/>
      <c r="CG52" s="267"/>
      <c r="CH52" s="267"/>
      <c r="CI52" s="267"/>
      <c r="CJ52" s="267"/>
      <c r="CK52" s="267"/>
      <c r="CL52" s="267"/>
      <c r="CM52" s="267"/>
      <c r="CN52" s="267"/>
      <c r="CO52" s="267"/>
      <c r="CP52" s="267"/>
      <c r="CQ52" s="267"/>
      <c r="CR52" s="267"/>
      <c r="CS52" s="267"/>
      <c r="CT52" s="267"/>
      <c r="CU52" s="267"/>
      <c r="CV52" s="267"/>
      <c r="CW52" s="267"/>
      <c r="CX52" s="267"/>
      <c r="CY52" s="267"/>
      <c r="CZ52" s="267"/>
      <c r="DA52" s="267"/>
      <c r="DB52" s="267"/>
      <c r="DC52" s="267"/>
      <c r="DD52" s="267"/>
      <c r="DE52" s="267"/>
      <c r="DF52" s="267"/>
      <c r="DG52" s="267"/>
      <c r="DH52" s="267"/>
      <c r="DI52" s="267"/>
      <c r="DJ52" s="267"/>
      <c r="DK52" s="267"/>
      <c r="DL52" s="267"/>
      <c r="DM52" s="267"/>
      <c r="DN52" s="267"/>
      <c r="DO52" s="267"/>
      <c r="DP52" s="267"/>
      <c r="DQ52" s="267"/>
      <c r="DR52" s="267"/>
      <c r="DS52" s="267"/>
      <c r="DT52" s="267"/>
      <c r="DU52" s="267"/>
      <c r="DV52" s="267"/>
      <c r="DW52" s="267"/>
      <c r="DX52" s="267"/>
      <c r="DY52" s="267"/>
      <c r="DZ52" s="267"/>
      <c r="EA52" s="267"/>
      <c r="EB52" s="267"/>
      <c r="EC52" s="267"/>
      <c r="ED52" s="267"/>
      <c r="EE52" s="267"/>
      <c r="EF52" s="267"/>
      <c r="EG52" s="267"/>
      <c r="EH52" s="267"/>
      <c r="EI52" s="267"/>
      <c r="EJ52" s="267"/>
      <c r="EK52" s="267"/>
      <c r="EL52" s="267"/>
      <c r="EM52" s="267"/>
      <c r="EN52" s="267"/>
      <c r="EO52" s="267"/>
      <c r="EP52" s="267"/>
      <c r="EQ52" s="267"/>
      <c r="ER52" s="267"/>
      <c r="ES52" s="267"/>
      <c r="ET52" s="267"/>
      <c r="EU52" s="267"/>
      <c r="EV52" s="267"/>
      <c r="EW52" s="267"/>
      <c r="EX52" s="267"/>
      <c r="EY52" s="267"/>
      <c r="EZ52" s="267"/>
      <c r="FA52" s="267"/>
      <c r="FB52" s="267"/>
      <c r="FC52" s="267"/>
      <c r="FD52" s="267"/>
      <c r="FE52" s="267"/>
      <c r="FF52" s="267"/>
      <c r="FG52" s="267"/>
      <c r="FH52" s="267"/>
      <c r="FI52" s="267"/>
      <c r="FJ52" s="267"/>
      <c r="FK52" s="267"/>
      <c r="FL52" s="267"/>
      <c r="FM52" s="267"/>
      <c r="FN52" s="267"/>
      <c r="FO52" s="267"/>
      <c r="FP52" s="267"/>
      <c r="FQ52" s="267"/>
      <c r="FR52" s="267"/>
      <c r="FS52" s="267"/>
      <c r="FT52" s="267"/>
      <c r="FU52" s="267"/>
      <c r="FV52" s="267"/>
      <c r="FW52" s="267"/>
      <c r="FX52" s="267"/>
      <c r="FY52" s="267"/>
      <c r="FZ52" s="267"/>
      <c r="GA52" s="267"/>
      <c r="GB52" s="267"/>
      <c r="GC52" s="267"/>
      <c r="GD52" s="267"/>
      <c r="GE52" s="267"/>
      <c r="GF52" s="267"/>
      <c r="GG52" s="267"/>
      <c r="GH52" s="267"/>
      <c r="GI52" s="267"/>
      <c r="GJ52" s="267"/>
      <c r="GK52" s="267"/>
      <c r="GL52" s="267"/>
      <c r="GM52" s="267"/>
      <c r="GN52" s="267"/>
      <c r="GO52" s="267"/>
      <c r="GP52" s="267"/>
      <c r="GQ52" s="267"/>
      <c r="GR52" s="267"/>
      <c r="GS52" s="267"/>
      <c r="GT52" s="267"/>
      <c r="GU52" s="267"/>
      <c r="GV52" s="267"/>
      <c r="GW52" s="267"/>
      <c r="GX52" s="267"/>
      <c r="GY52" s="267"/>
      <c r="GZ52" s="267"/>
      <c r="HA52" s="267"/>
      <c r="HB52" s="267"/>
      <c r="HC52" s="267"/>
      <c r="HD52" s="267"/>
      <c r="HE52" s="267"/>
      <c r="HF52" s="267"/>
      <c r="HG52" s="267"/>
      <c r="HH52" s="267"/>
      <c r="HI52" s="267"/>
      <c r="HJ52" s="267"/>
      <c r="HK52" s="267"/>
      <c r="HL52" s="267"/>
      <c r="HM52" s="267"/>
      <c r="HN52" s="267"/>
      <c r="HO52" s="267"/>
      <c r="HP52" s="267"/>
      <c r="HQ52" s="267"/>
      <c r="HR52" s="267"/>
      <c r="HS52" s="267"/>
      <c r="HT52" s="267"/>
      <c r="HU52" s="267"/>
      <c r="HV52" s="267"/>
      <c r="HW52" s="267"/>
      <c r="HX52" s="267"/>
      <c r="HY52" s="267"/>
      <c r="HZ52" s="267"/>
      <c r="IA52" s="267"/>
      <c r="IB52" s="267"/>
      <c r="IC52" s="267"/>
      <c r="ID52" s="267"/>
      <c r="IE52" s="267"/>
      <c r="IF52" s="267"/>
      <c r="IG52" s="267"/>
      <c r="IH52" s="267"/>
      <c r="II52" s="267"/>
      <c r="IJ52" s="267"/>
      <c r="IK52" s="267"/>
      <c r="IL52" s="267"/>
      <c r="IM52" s="267"/>
      <c r="IN52" s="267"/>
      <c r="IO52" s="267"/>
      <c r="IP52" s="267"/>
      <c r="IQ52" s="267"/>
      <c r="IR52" s="267"/>
      <c r="IS52" s="267"/>
      <c r="IT52" s="267"/>
      <c r="IU52" s="267"/>
      <c r="IV52" s="267"/>
      <c r="IW52" s="267"/>
    </row>
    <row r="53" customFormat="false" ht="12" hidden="false" customHeight="true" outlineLevel="0" collapsed="false">
      <c r="A53" s="294" t="s">
        <v>103</v>
      </c>
      <c r="B53" s="271" t="s">
        <v>104</v>
      </c>
      <c r="C53" s="302" t="s">
        <v>106</v>
      </c>
      <c r="D53" s="305" t="n">
        <f aca="false">'E. VaR &amp; Peak Pos By Trader'!E53</f>
        <v>78533.4097898707</v>
      </c>
      <c r="E53" s="315" t="n">
        <f aca="false">'E. VaR &amp; Peak Pos By Trader'!F53</f>
        <v>-5018.62818095958</v>
      </c>
      <c r="F53" s="274" t="n">
        <f aca="false">VLOOKUP($B53,'[3]Delta Monthly'!$A$1:$AW$55,5,1)</f>
        <v>0</v>
      </c>
      <c r="G53" s="274" t="n">
        <f aca="false">VLOOKUP($B53,'[3]Delta Monthly'!$A$1:$AW$55,7,1)</f>
        <v>0</v>
      </c>
      <c r="H53" s="274" t="n">
        <f aca="false">VLOOKUP($B53,'[3]Delta Monthly'!$A$1:$AW$55,9,1)</f>
        <v>0</v>
      </c>
      <c r="I53" s="274" t="n">
        <f aca="false">VLOOKUP($B53,'[3]Delta Monthly'!$A$1:$AW$55,11,0)</f>
        <v>0</v>
      </c>
      <c r="J53" s="274" t="n">
        <f aca="false">VLOOKUP($B53,'[3]Delta Monthly'!$A$1:$AW$55,13,0)</f>
        <v>0</v>
      </c>
      <c r="K53" s="274" t="n">
        <f aca="false">VLOOKUP($B53,'[3]Delta Monthly'!$A$1:$AW$55,15,0)</f>
        <v>0</v>
      </c>
      <c r="L53" s="274" t="n">
        <f aca="false">+VLOOKUP($B53,'[3]Delta Monthly'!$A$1:$AW$55,17,0)</f>
        <v>0</v>
      </c>
      <c r="M53" s="274" t="n">
        <f aca="false">VLOOKUP($B53,'[3]Delta Monthly'!$A$1:$AW$55,19,0)</f>
        <v>0</v>
      </c>
      <c r="N53" s="274" t="n">
        <f aca="false">VLOOKUP($B53,'[3]Delta Monthly'!$A$1:$AW$55,21,FALSE())</f>
        <v>0</v>
      </c>
      <c r="O53" s="274" t="n">
        <f aca="false">VLOOKUP($B53,'[3]Delta Monthly'!$A$1:$AW$55,23,FALSE())</f>
        <v>33964.3985284162</v>
      </c>
      <c r="P53" s="274" t="n">
        <f aca="false">VLOOKUP($B53,'[3]Delta Monthly'!$A$1:$AW$55,25,FALSE())</f>
        <v>0</v>
      </c>
      <c r="Q53" s="302" t="n">
        <f aca="false">SUM(F53:P53)</f>
        <v>33964.3985284162</v>
      </c>
      <c r="R53" s="274" t="n">
        <f aca="false">VLOOKUP($B53,'[3]Delta Monthly'!$A$1:$AW$55,27,0)+VLOOKUP($B53,'[3]Delta Monthly'!$A$1:$AW$55,29,0)</f>
        <v>0</v>
      </c>
      <c r="S53" s="274" t="n">
        <f aca="false">VLOOKUP($B53,'[3]Delta Monthly'!$A$1:$AW$55,31,0)+VLOOKUP($B53,'[3]Delta Monthly'!$A$1:$AW$55,33,0)</f>
        <v>0</v>
      </c>
      <c r="T53" s="274" t="n">
        <f aca="false">VLOOKUP($B53,'[3]Delta Monthly'!$A$1:$AW$55,35,0)</f>
        <v>0</v>
      </c>
      <c r="U53" s="274" t="n">
        <f aca="false">VLOOKUP($B53,'[3]Delta Monthly'!$A$1:$AW$55,37,0)</f>
        <v>0</v>
      </c>
      <c r="V53" s="274" t="n">
        <f aca="false">VLOOKUP($B53,'[3]Delta Monthly'!$A$1:$AW$55,39,0)+VLOOKUP($B53,'[3]Delta Monthly'!$A$1:$AW$55,41,0)</f>
        <v>0</v>
      </c>
      <c r="W53" s="274" t="n">
        <f aca="false">VLOOKUP($B53,'[3]Delta Monthly'!$A$1:$AW$55,43,0)</f>
        <v>0</v>
      </c>
      <c r="X53" s="274" t="n">
        <f aca="false">VLOOKUP($B53,'[3]Delta Monthly'!$A$1:$AW$55,45,0)+VLOOKUP($B53,'[3]Delta Monthly'!$A$1:$AW$55,47,0)+VLOOKUP($B53,'[3]Delta Monthly'!$A$1:$AW$55,49,0)</f>
        <v>0</v>
      </c>
      <c r="Y53" s="302" t="n">
        <f aca="false">SUM(R53:X53)</f>
        <v>0</v>
      </c>
      <c r="Z53" s="287" t="n">
        <f aca="false">VLOOKUP($B53,'[5]Delta Yearly'!$A$1:$AC$55,5,0)</f>
        <v>0</v>
      </c>
      <c r="AA53" s="302" t="n">
        <f aca="false">VLOOKUP($B53,'[5]Delta Yearly'!$A$1:$AC$55,7,FALSE())+VLOOKUP($B53,'[5]Delta Yearly'!$A$1:$AC$55,9,FALSE())+VLOOKUP($B53,'[5]Delta Yearly'!$A$1:$AC$55,11,FALSE())+VLOOKUP($B53,'[5]Delta Yearly'!$A$1:$AC$55,13,FALSE())+VLOOKUP($B53,'[5]Delta Yearly'!$A$1:$AC$55,15,FALSE())+VLOOKUP($B53,'[5]Delta Yearly'!$A$1:$AC$55,17,FALSE())+VLOOKUP($B53,'[5]Delta Yearly'!$A$1:$AC$55,19,FALSE())+VLOOKUP($B53,'[5]Delta Yearly'!$A$1:$AC$55,21,FALSE())+VLOOKUP($B53,'[5]Delta Yearly'!$A$1:$AC$55,23,FALSE())+VLOOKUP($B53,'[5]Delta Yearly'!$A$1:$AC$55,25,FALSE())+VLOOKUP($B53,'[5]Delta Yearly'!$A$1:$AC$55,27,FALSE())+VLOOKUP($B53,'[5]Delta Yearly'!$A$1:$AC$55,29,FALSE())</f>
        <v>0</v>
      </c>
      <c r="AB53" s="302" t="n">
        <f aca="false">SUM(AA53,Z53,Y53,Q53)</f>
        <v>33964.3985284162</v>
      </c>
      <c r="AC53" s="265"/>
      <c r="AD53" s="303"/>
      <c r="AE53" s="266"/>
      <c r="AF53" s="266"/>
      <c r="AG53" s="266"/>
      <c r="AH53" s="266"/>
      <c r="AI53" s="266"/>
      <c r="AJ53" s="266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  <c r="BI53" s="267"/>
      <c r="BJ53" s="267"/>
      <c r="BK53" s="267"/>
      <c r="BL53" s="267"/>
      <c r="BM53" s="267"/>
      <c r="BN53" s="267"/>
      <c r="BO53" s="267"/>
      <c r="BP53" s="267"/>
      <c r="BQ53" s="267"/>
      <c r="BR53" s="267"/>
      <c r="BS53" s="267"/>
      <c r="BT53" s="267"/>
      <c r="BU53" s="267"/>
      <c r="BV53" s="267"/>
      <c r="BW53" s="267"/>
      <c r="BX53" s="267"/>
      <c r="BY53" s="267"/>
      <c r="BZ53" s="267"/>
      <c r="CA53" s="267"/>
      <c r="CB53" s="267"/>
      <c r="CC53" s="267"/>
      <c r="CD53" s="267"/>
      <c r="CE53" s="267"/>
      <c r="CF53" s="267"/>
      <c r="CG53" s="267"/>
      <c r="CH53" s="267"/>
      <c r="CI53" s="267"/>
      <c r="CJ53" s="267"/>
      <c r="CK53" s="267"/>
      <c r="CL53" s="267"/>
      <c r="CM53" s="267"/>
      <c r="CN53" s="267"/>
      <c r="CO53" s="267"/>
      <c r="CP53" s="267"/>
      <c r="CQ53" s="267"/>
      <c r="CR53" s="267"/>
      <c r="CS53" s="267"/>
      <c r="CT53" s="267"/>
      <c r="CU53" s="267"/>
      <c r="CV53" s="267"/>
      <c r="CW53" s="267"/>
      <c r="CX53" s="267"/>
      <c r="CY53" s="267"/>
      <c r="CZ53" s="267"/>
      <c r="DA53" s="267"/>
      <c r="DB53" s="267"/>
      <c r="DC53" s="267"/>
      <c r="DD53" s="267"/>
      <c r="DE53" s="267"/>
      <c r="DF53" s="267"/>
      <c r="DG53" s="267"/>
      <c r="DH53" s="267"/>
      <c r="DI53" s="267"/>
      <c r="DJ53" s="267"/>
      <c r="DK53" s="267"/>
      <c r="DL53" s="267"/>
      <c r="DM53" s="267"/>
      <c r="DN53" s="267"/>
      <c r="DO53" s="267"/>
      <c r="DP53" s="267"/>
      <c r="DQ53" s="267"/>
      <c r="DR53" s="267"/>
      <c r="DS53" s="267"/>
      <c r="DT53" s="267"/>
      <c r="DU53" s="267"/>
      <c r="DV53" s="267"/>
      <c r="DW53" s="267"/>
      <c r="DX53" s="267"/>
      <c r="DY53" s="267"/>
      <c r="DZ53" s="267"/>
      <c r="EA53" s="267"/>
      <c r="EB53" s="267"/>
      <c r="EC53" s="267"/>
      <c r="ED53" s="267"/>
      <c r="EE53" s="267"/>
      <c r="EF53" s="267"/>
      <c r="EG53" s="267"/>
      <c r="EH53" s="267"/>
      <c r="EI53" s="267"/>
      <c r="EJ53" s="267"/>
      <c r="EK53" s="267"/>
      <c r="EL53" s="267"/>
      <c r="EM53" s="267"/>
      <c r="EN53" s="267"/>
      <c r="EO53" s="267"/>
      <c r="EP53" s="267"/>
      <c r="EQ53" s="267"/>
      <c r="ER53" s="267"/>
      <c r="ES53" s="267"/>
      <c r="ET53" s="267"/>
      <c r="EU53" s="267"/>
      <c r="EV53" s="267"/>
      <c r="EW53" s="267"/>
      <c r="EX53" s="267"/>
      <c r="EY53" s="267"/>
      <c r="EZ53" s="267"/>
      <c r="FA53" s="267"/>
      <c r="FB53" s="267"/>
      <c r="FC53" s="267"/>
      <c r="FD53" s="267"/>
      <c r="FE53" s="267"/>
      <c r="FF53" s="267"/>
      <c r="FG53" s="267"/>
      <c r="FH53" s="267"/>
      <c r="FI53" s="267"/>
      <c r="FJ53" s="267"/>
      <c r="FK53" s="267"/>
      <c r="FL53" s="267"/>
      <c r="FM53" s="267"/>
      <c r="FN53" s="267"/>
      <c r="FO53" s="267"/>
      <c r="FP53" s="267"/>
      <c r="FQ53" s="267"/>
      <c r="FR53" s="267"/>
      <c r="FS53" s="267"/>
      <c r="FT53" s="267"/>
      <c r="FU53" s="267"/>
      <c r="FV53" s="267"/>
      <c r="FW53" s="267"/>
      <c r="FX53" s="267"/>
      <c r="FY53" s="267"/>
      <c r="FZ53" s="267"/>
      <c r="GA53" s="267"/>
      <c r="GB53" s="267"/>
      <c r="GC53" s="267"/>
      <c r="GD53" s="267"/>
      <c r="GE53" s="267"/>
      <c r="GF53" s="267"/>
      <c r="GG53" s="267"/>
      <c r="GH53" s="267"/>
      <c r="GI53" s="267"/>
      <c r="GJ53" s="267"/>
      <c r="GK53" s="267"/>
      <c r="GL53" s="267"/>
      <c r="GM53" s="267"/>
      <c r="GN53" s="267"/>
      <c r="GO53" s="267"/>
      <c r="GP53" s="267"/>
      <c r="GQ53" s="267"/>
      <c r="GR53" s="267"/>
      <c r="GS53" s="267"/>
      <c r="GT53" s="267"/>
      <c r="GU53" s="267"/>
      <c r="GV53" s="267"/>
      <c r="GW53" s="267"/>
      <c r="GX53" s="267"/>
      <c r="GY53" s="267"/>
      <c r="GZ53" s="267"/>
      <c r="HA53" s="267"/>
      <c r="HB53" s="267"/>
      <c r="HC53" s="267"/>
      <c r="HD53" s="267"/>
      <c r="HE53" s="267"/>
      <c r="HF53" s="267"/>
      <c r="HG53" s="267"/>
      <c r="HH53" s="267"/>
      <c r="HI53" s="267"/>
      <c r="HJ53" s="267"/>
      <c r="HK53" s="267"/>
      <c r="HL53" s="267"/>
      <c r="HM53" s="267"/>
      <c r="HN53" s="267"/>
      <c r="HO53" s="267"/>
      <c r="HP53" s="267"/>
      <c r="HQ53" s="267"/>
      <c r="HR53" s="267"/>
      <c r="HS53" s="267"/>
      <c r="HT53" s="267"/>
      <c r="HU53" s="267"/>
      <c r="HV53" s="267"/>
      <c r="HW53" s="267"/>
      <c r="HX53" s="267"/>
      <c r="HY53" s="267"/>
      <c r="HZ53" s="267"/>
      <c r="IA53" s="267"/>
      <c r="IB53" s="267"/>
      <c r="IC53" s="267"/>
      <c r="ID53" s="267"/>
      <c r="IE53" s="267"/>
      <c r="IF53" s="267"/>
      <c r="IG53" s="267"/>
      <c r="IH53" s="267"/>
      <c r="II53" s="267"/>
      <c r="IJ53" s="267"/>
      <c r="IK53" s="267"/>
      <c r="IL53" s="267"/>
      <c r="IM53" s="267"/>
      <c r="IN53" s="267"/>
      <c r="IO53" s="267"/>
      <c r="IP53" s="267"/>
      <c r="IQ53" s="267"/>
      <c r="IR53" s="267"/>
      <c r="IS53" s="267"/>
      <c r="IT53" s="267"/>
      <c r="IU53" s="267"/>
      <c r="IV53" s="267"/>
      <c r="IW53" s="267"/>
    </row>
    <row r="54" customFormat="false" ht="12" hidden="false" customHeight="true" outlineLevel="0" collapsed="false">
      <c r="A54" s="314"/>
      <c r="B54" s="271"/>
      <c r="C54" s="302"/>
      <c r="D54" s="305"/>
      <c r="E54" s="315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302"/>
      <c r="R54" s="284"/>
      <c r="S54" s="284"/>
      <c r="T54" s="284"/>
      <c r="U54" s="284"/>
      <c r="V54" s="284"/>
      <c r="W54" s="284"/>
      <c r="X54" s="284"/>
      <c r="Y54" s="302"/>
      <c r="Z54" s="287"/>
      <c r="AA54" s="302"/>
      <c r="AB54" s="302"/>
      <c r="AC54" s="265"/>
      <c r="AD54" s="303"/>
      <c r="AE54" s="266"/>
      <c r="AF54" s="266"/>
      <c r="AG54" s="266"/>
      <c r="AH54" s="266"/>
      <c r="AI54" s="266"/>
      <c r="AJ54" s="266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7"/>
      <c r="BD54" s="267"/>
      <c r="BE54" s="267"/>
      <c r="BF54" s="267"/>
      <c r="BG54" s="267"/>
      <c r="BH54" s="267"/>
      <c r="BI54" s="267"/>
      <c r="BJ54" s="267"/>
      <c r="BK54" s="267"/>
      <c r="BL54" s="267"/>
      <c r="BM54" s="267"/>
      <c r="BN54" s="267"/>
      <c r="BO54" s="267"/>
      <c r="BP54" s="267"/>
      <c r="BQ54" s="267"/>
      <c r="BR54" s="267"/>
      <c r="BS54" s="267"/>
      <c r="BT54" s="267"/>
      <c r="BU54" s="267"/>
      <c r="BV54" s="267"/>
      <c r="BW54" s="267"/>
      <c r="BX54" s="267"/>
      <c r="BY54" s="267"/>
      <c r="BZ54" s="267"/>
      <c r="CA54" s="267"/>
      <c r="CB54" s="267"/>
      <c r="CC54" s="267"/>
      <c r="CD54" s="267"/>
      <c r="CE54" s="267"/>
      <c r="CF54" s="267"/>
      <c r="CG54" s="267"/>
      <c r="CH54" s="267"/>
      <c r="CI54" s="267"/>
      <c r="CJ54" s="267"/>
      <c r="CK54" s="267"/>
      <c r="CL54" s="267"/>
      <c r="CM54" s="267"/>
      <c r="CN54" s="267"/>
      <c r="CO54" s="267"/>
      <c r="CP54" s="267"/>
      <c r="CQ54" s="267"/>
      <c r="CR54" s="267"/>
      <c r="CS54" s="267"/>
      <c r="CT54" s="267"/>
      <c r="CU54" s="267"/>
      <c r="CV54" s="267"/>
      <c r="CW54" s="267"/>
      <c r="CX54" s="267"/>
      <c r="CY54" s="267"/>
      <c r="CZ54" s="267"/>
      <c r="DA54" s="267"/>
      <c r="DB54" s="267"/>
      <c r="DC54" s="267"/>
      <c r="DD54" s="267"/>
      <c r="DE54" s="267"/>
      <c r="DF54" s="267"/>
      <c r="DG54" s="267"/>
      <c r="DH54" s="267"/>
      <c r="DI54" s="267"/>
      <c r="DJ54" s="267"/>
      <c r="DK54" s="267"/>
      <c r="DL54" s="267"/>
      <c r="DM54" s="267"/>
      <c r="DN54" s="267"/>
      <c r="DO54" s="267"/>
      <c r="DP54" s="267"/>
      <c r="DQ54" s="267"/>
      <c r="DR54" s="267"/>
      <c r="DS54" s="267"/>
      <c r="DT54" s="267"/>
      <c r="DU54" s="267"/>
      <c r="DV54" s="267"/>
      <c r="DW54" s="267"/>
      <c r="DX54" s="267"/>
      <c r="DY54" s="267"/>
      <c r="DZ54" s="267"/>
      <c r="EA54" s="267"/>
      <c r="EB54" s="267"/>
      <c r="EC54" s="267"/>
      <c r="ED54" s="267"/>
      <c r="EE54" s="267"/>
      <c r="EF54" s="267"/>
      <c r="EG54" s="267"/>
      <c r="EH54" s="267"/>
      <c r="EI54" s="267"/>
      <c r="EJ54" s="267"/>
      <c r="EK54" s="267"/>
      <c r="EL54" s="267"/>
      <c r="EM54" s="267"/>
      <c r="EN54" s="267"/>
      <c r="EO54" s="267"/>
      <c r="EP54" s="267"/>
      <c r="EQ54" s="267"/>
      <c r="ER54" s="267"/>
      <c r="ES54" s="267"/>
      <c r="ET54" s="267"/>
      <c r="EU54" s="267"/>
      <c r="EV54" s="267"/>
      <c r="EW54" s="267"/>
      <c r="EX54" s="267"/>
      <c r="EY54" s="267"/>
      <c r="EZ54" s="267"/>
      <c r="FA54" s="267"/>
      <c r="FB54" s="267"/>
      <c r="FC54" s="267"/>
      <c r="FD54" s="267"/>
      <c r="FE54" s="267"/>
      <c r="FF54" s="267"/>
      <c r="FG54" s="267"/>
      <c r="FH54" s="267"/>
      <c r="FI54" s="267"/>
      <c r="FJ54" s="267"/>
      <c r="FK54" s="267"/>
      <c r="FL54" s="267"/>
      <c r="FM54" s="267"/>
      <c r="FN54" s="267"/>
      <c r="FO54" s="267"/>
      <c r="FP54" s="267"/>
      <c r="FQ54" s="267"/>
      <c r="FR54" s="267"/>
      <c r="FS54" s="267"/>
      <c r="FT54" s="267"/>
      <c r="FU54" s="267"/>
      <c r="FV54" s="267"/>
      <c r="FW54" s="267"/>
      <c r="FX54" s="267"/>
      <c r="FY54" s="267"/>
      <c r="FZ54" s="267"/>
      <c r="GA54" s="267"/>
      <c r="GB54" s="267"/>
      <c r="GC54" s="267"/>
      <c r="GD54" s="267"/>
      <c r="GE54" s="267"/>
      <c r="GF54" s="267"/>
      <c r="GG54" s="267"/>
      <c r="GH54" s="267"/>
      <c r="GI54" s="267"/>
      <c r="GJ54" s="267"/>
      <c r="GK54" s="267"/>
      <c r="GL54" s="267"/>
      <c r="GM54" s="267"/>
      <c r="GN54" s="267"/>
      <c r="GO54" s="267"/>
      <c r="GP54" s="267"/>
      <c r="GQ54" s="267"/>
      <c r="GR54" s="267"/>
      <c r="GS54" s="267"/>
      <c r="GT54" s="267"/>
      <c r="GU54" s="267"/>
      <c r="GV54" s="267"/>
      <c r="GW54" s="267"/>
      <c r="GX54" s="267"/>
      <c r="GY54" s="267"/>
      <c r="GZ54" s="267"/>
      <c r="HA54" s="267"/>
      <c r="HB54" s="267"/>
      <c r="HC54" s="267"/>
      <c r="HD54" s="267"/>
      <c r="HE54" s="267"/>
      <c r="HF54" s="267"/>
      <c r="HG54" s="267"/>
      <c r="HH54" s="267"/>
      <c r="HI54" s="267"/>
      <c r="HJ54" s="267"/>
      <c r="HK54" s="267"/>
      <c r="HL54" s="267"/>
      <c r="HM54" s="267"/>
      <c r="HN54" s="267"/>
      <c r="HO54" s="267"/>
      <c r="HP54" s="267"/>
      <c r="HQ54" s="267"/>
      <c r="HR54" s="267"/>
      <c r="HS54" s="267"/>
      <c r="HT54" s="267"/>
      <c r="HU54" s="267"/>
      <c r="HV54" s="267"/>
      <c r="HW54" s="267"/>
      <c r="HX54" s="267"/>
      <c r="HY54" s="267"/>
      <c r="HZ54" s="267"/>
      <c r="IA54" s="267"/>
      <c r="IB54" s="267"/>
      <c r="IC54" s="267"/>
      <c r="ID54" s="267"/>
      <c r="IE54" s="267"/>
      <c r="IF54" s="267"/>
      <c r="IG54" s="267"/>
      <c r="IH54" s="267"/>
      <c r="II54" s="267"/>
      <c r="IJ54" s="267"/>
      <c r="IK54" s="267"/>
      <c r="IL54" s="267"/>
      <c r="IM54" s="267"/>
      <c r="IN54" s="267"/>
      <c r="IO54" s="267"/>
      <c r="IP54" s="267"/>
      <c r="IQ54" s="267"/>
      <c r="IR54" s="267"/>
      <c r="IS54" s="267"/>
      <c r="IT54" s="267"/>
      <c r="IU54" s="267"/>
      <c r="IV54" s="267"/>
      <c r="IW54" s="267"/>
    </row>
    <row r="55" customFormat="false" ht="12" hidden="false" customHeight="true" outlineLevel="0" collapsed="false">
      <c r="A55" s="294" t="s">
        <v>107</v>
      </c>
      <c r="B55" s="271" t="s">
        <v>108</v>
      </c>
      <c r="C55" s="302" t="s">
        <v>110</v>
      </c>
      <c r="D55" s="305" t="n">
        <f aca="false">'E. VaR &amp; Peak Pos By Trader'!E55</f>
        <v>4230.36964127135</v>
      </c>
      <c r="E55" s="315" t="n">
        <f aca="false">'E. VaR &amp; Peak Pos By Trader'!F55</f>
        <v>-1632.92431595494</v>
      </c>
      <c r="F55" s="274" t="n">
        <f aca="false">VLOOKUP($B55,'[3]Delta Monthly'!$A$1:$AW$55,5,1)</f>
        <v>0</v>
      </c>
      <c r="G55" s="274" t="n">
        <f aca="false">VLOOKUP($B55,'[3]Delta Monthly'!$A$1:$AW$55,7,1)</f>
        <v>0</v>
      </c>
      <c r="H55" s="274" t="n">
        <f aca="false">VLOOKUP($B55,'[3]Delta Monthly'!$A$1:$AW$55,9,1)</f>
        <v>0</v>
      </c>
      <c r="I55" s="274" t="n">
        <f aca="false">VLOOKUP($B55,'[3]Delta Monthly'!$A$1:$AW$55,11,0)</f>
        <v>0</v>
      </c>
      <c r="J55" s="274" t="n">
        <f aca="false">VLOOKUP($B55,'[3]Delta Monthly'!$A$1:$AW$55,13,0)</f>
        <v>0</v>
      </c>
      <c r="K55" s="274" t="n">
        <f aca="false">VLOOKUP($B55,'[3]Delta Monthly'!$A$1:$AW$55,15,0)</f>
        <v>0</v>
      </c>
      <c r="L55" s="274" t="n">
        <f aca="false">+VLOOKUP($B55,'[3]Delta Monthly'!$A$1:$AW$55,17,0)</f>
        <v>0</v>
      </c>
      <c r="M55" s="274" t="n">
        <f aca="false">VLOOKUP($B55,'[3]Delta Monthly'!$A$1:$AW$55,19,0)</f>
        <v>0</v>
      </c>
      <c r="N55" s="274" t="n">
        <f aca="false">VLOOKUP($B55,'[3]Delta Monthly'!$A$1:$AW$55,21,FALSE())</f>
        <v>0</v>
      </c>
      <c r="O55" s="274" t="n">
        <f aca="false">VLOOKUP($B55,'[3]Delta Monthly'!$A$1:$AW$55,23,FALSE())</f>
        <v>7991.62318315674</v>
      </c>
      <c r="P55" s="274" t="n">
        <f aca="false">VLOOKUP($B55,'[3]Delta Monthly'!$A$1:$AW$55,25,FALSE())</f>
        <v>0</v>
      </c>
      <c r="Q55" s="302" t="n">
        <f aca="false">SUM(F55:P55)</f>
        <v>7991.62318315674</v>
      </c>
      <c r="R55" s="274" t="n">
        <f aca="false">VLOOKUP($B55,'[3]Delta Monthly'!$A$1:$AW$55,27,0)+VLOOKUP($B55,'[3]Delta Monthly'!$A$1:$AW$55,29,0)</f>
        <v>0</v>
      </c>
      <c r="S55" s="274" t="n">
        <f aca="false">VLOOKUP($B55,'[3]Delta Monthly'!$A$1:$AW$55,31,0)+VLOOKUP($B55,'[3]Delta Monthly'!$A$1:$AW$55,33,0)</f>
        <v>0</v>
      </c>
      <c r="T55" s="274" t="n">
        <f aca="false">VLOOKUP($B55,'[3]Delta Monthly'!$A$1:$AW$55,35,0)</f>
        <v>0</v>
      </c>
      <c r="U55" s="274" t="n">
        <f aca="false">VLOOKUP($B55,'[3]Delta Monthly'!$A$1:$AW$55,37,0)</f>
        <v>0</v>
      </c>
      <c r="V55" s="274" t="n">
        <f aca="false">VLOOKUP($B55,'[3]Delta Monthly'!$A$1:$AW$55,39,0)+VLOOKUP($B55,'[3]Delta Monthly'!$A$1:$AW$55,41,0)</f>
        <v>0</v>
      </c>
      <c r="W55" s="274" t="n">
        <f aca="false">VLOOKUP($B55,'[3]Delta Monthly'!$A$1:$AW$55,43,0)</f>
        <v>0</v>
      </c>
      <c r="X55" s="274" t="n">
        <f aca="false">VLOOKUP($B55,'[3]Delta Monthly'!$A$1:$AW$55,45,0)+VLOOKUP($B55,'[3]Delta Monthly'!$A$1:$AW$55,47,0)+VLOOKUP($B55,'[3]Delta Monthly'!$A$1:$AW$55,49,0)</f>
        <v>0</v>
      </c>
      <c r="Y55" s="302" t="n">
        <f aca="false">SUM(R55:X55)</f>
        <v>0</v>
      </c>
      <c r="Z55" s="287" t="n">
        <f aca="false">VLOOKUP($B55,'[5]Delta Yearly'!$A$1:$AC$55,5,0)</f>
        <v>0</v>
      </c>
      <c r="AA55" s="302" t="n">
        <f aca="false">VLOOKUP($B55,'[5]Delta Yearly'!$A$1:$AC$55,7,FALSE())+VLOOKUP($B55,'[5]Delta Yearly'!$A$1:$AC$55,9,FALSE())+VLOOKUP($B55,'[5]Delta Yearly'!$A$1:$AC$55,11,FALSE())+VLOOKUP($B55,'[5]Delta Yearly'!$A$1:$AC$55,13,FALSE())+VLOOKUP($B55,'[5]Delta Yearly'!$A$1:$AC$55,15,FALSE())+VLOOKUP($B55,'[5]Delta Yearly'!$A$1:$AC$55,17,FALSE())+VLOOKUP($B55,'[5]Delta Yearly'!$A$1:$AC$55,19,FALSE())+VLOOKUP($B55,'[5]Delta Yearly'!$A$1:$AC$55,21,FALSE())+VLOOKUP($B55,'[5]Delta Yearly'!$A$1:$AC$55,23,FALSE())+VLOOKUP($B55,'[5]Delta Yearly'!$A$1:$AC$55,25,FALSE())+VLOOKUP($B55,'[5]Delta Yearly'!$A$1:$AC$55,27,FALSE())+VLOOKUP($B55,'[5]Delta Yearly'!$A$1:$AC$55,29,FALSE())</f>
        <v>0</v>
      </c>
      <c r="AB55" s="302" t="n">
        <f aca="false">SUM(AA55,Z55,Y55,Q55)</f>
        <v>7991.62318315674</v>
      </c>
      <c r="AC55" s="265"/>
      <c r="AD55" s="303"/>
      <c r="AE55" s="266"/>
      <c r="AF55" s="266"/>
      <c r="AG55" s="266"/>
      <c r="AH55" s="266"/>
      <c r="AI55" s="266"/>
      <c r="AJ55" s="266"/>
      <c r="AK55" s="267"/>
      <c r="AL55" s="267"/>
      <c r="AM55" s="267"/>
      <c r="AN55" s="267"/>
      <c r="AO55" s="267"/>
      <c r="AP55" s="267"/>
      <c r="AQ55" s="267"/>
      <c r="AR55" s="267"/>
      <c r="AS55" s="267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7"/>
      <c r="BL55" s="267"/>
      <c r="BM55" s="267"/>
      <c r="BN55" s="267"/>
      <c r="BO55" s="267"/>
      <c r="BP55" s="267"/>
      <c r="BQ55" s="267"/>
      <c r="BR55" s="267"/>
      <c r="BS55" s="267"/>
      <c r="BT55" s="267"/>
      <c r="BU55" s="267"/>
      <c r="BV55" s="267"/>
      <c r="BW55" s="267"/>
      <c r="BX55" s="267"/>
      <c r="BY55" s="267"/>
      <c r="BZ55" s="267"/>
      <c r="CA55" s="267"/>
      <c r="CB55" s="267"/>
      <c r="CC55" s="267"/>
      <c r="CD55" s="267"/>
      <c r="CE55" s="267"/>
      <c r="CF55" s="267"/>
      <c r="CG55" s="267"/>
      <c r="CH55" s="267"/>
      <c r="CI55" s="267"/>
      <c r="CJ55" s="267"/>
      <c r="CK55" s="267"/>
      <c r="CL55" s="267"/>
      <c r="CM55" s="267"/>
      <c r="CN55" s="267"/>
      <c r="CO55" s="267"/>
      <c r="CP55" s="267"/>
      <c r="CQ55" s="267"/>
      <c r="CR55" s="267"/>
      <c r="CS55" s="267"/>
      <c r="CT55" s="267"/>
      <c r="CU55" s="267"/>
      <c r="CV55" s="267"/>
      <c r="CW55" s="267"/>
      <c r="CX55" s="267"/>
      <c r="CY55" s="267"/>
      <c r="CZ55" s="267"/>
      <c r="DA55" s="267"/>
      <c r="DB55" s="267"/>
      <c r="DC55" s="267"/>
      <c r="DD55" s="267"/>
      <c r="DE55" s="267"/>
      <c r="DF55" s="267"/>
      <c r="DG55" s="267"/>
      <c r="DH55" s="267"/>
      <c r="DI55" s="267"/>
      <c r="DJ55" s="267"/>
      <c r="DK55" s="267"/>
      <c r="DL55" s="267"/>
      <c r="DM55" s="267"/>
      <c r="DN55" s="267"/>
      <c r="DO55" s="267"/>
      <c r="DP55" s="267"/>
      <c r="DQ55" s="267"/>
      <c r="DR55" s="267"/>
      <c r="DS55" s="267"/>
      <c r="DT55" s="267"/>
      <c r="DU55" s="267"/>
      <c r="DV55" s="267"/>
      <c r="DW55" s="267"/>
      <c r="DX55" s="267"/>
      <c r="DY55" s="267"/>
      <c r="DZ55" s="267"/>
      <c r="EA55" s="267"/>
      <c r="EB55" s="267"/>
      <c r="EC55" s="267"/>
      <c r="ED55" s="267"/>
      <c r="EE55" s="267"/>
      <c r="EF55" s="267"/>
      <c r="EG55" s="267"/>
      <c r="EH55" s="267"/>
      <c r="EI55" s="267"/>
      <c r="EJ55" s="267"/>
      <c r="EK55" s="267"/>
      <c r="EL55" s="267"/>
      <c r="EM55" s="267"/>
      <c r="EN55" s="267"/>
      <c r="EO55" s="267"/>
      <c r="EP55" s="267"/>
      <c r="EQ55" s="267"/>
      <c r="ER55" s="267"/>
      <c r="ES55" s="267"/>
      <c r="ET55" s="267"/>
      <c r="EU55" s="267"/>
      <c r="EV55" s="267"/>
      <c r="EW55" s="267"/>
      <c r="EX55" s="267"/>
      <c r="EY55" s="267"/>
      <c r="EZ55" s="267"/>
      <c r="FA55" s="267"/>
      <c r="FB55" s="267"/>
      <c r="FC55" s="267"/>
      <c r="FD55" s="267"/>
      <c r="FE55" s="267"/>
      <c r="FF55" s="267"/>
      <c r="FG55" s="267"/>
      <c r="FH55" s="267"/>
      <c r="FI55" s="267"/>
      <c r="FJ55" s="267"/>
      <c r="FK55" s="267"/>
      <c r="FL55" s="267"/>
      <c r="FM55" s="267"/>
      <c r="FN55" s="267"/>
      <c r="FO55" s="267"/>
      <c r="FP55" s="267"/>
      <c r="FQ55" s="267"/>
      <c r="FR55" s="267"/>
      <c r="FS55" s="267"/>
      <c r="FT55" s="267"/>
      <c r="FU55" s="267"/>
      <c r="FV55" s="267"/>
      <c r="FW55" s="267"/>
      <c r="FX55" s="267"/>
      <c r="FY55" s="267"/>
      <c r="FZ55" s="267"/>
      <c r="GA55" s="267"/>
      <c r="GB55" s="267"/>
      <c r="GC55" s="267"/>
      <c r="GD55" s="267"/>
      <c r="GE55" s="267"/>
      <c r="GF55" s="267"/>
      <c r="GG55" s="267"/>
      <c r="GH55" s="267"/>
      <c r="GI55" s="267"/>
      <c r="GJ55" s="267"/>
      <c r="GK55" s="267"/>
      <c r="GL55" s="267"/>
      <c r="GM55" s="267"/>
      <c r="GN55" s="267"/>
      <c r="GO55" s="267"/>
      <c r="GP55" s="267"/>
      <c r="GQ55" s="267"/>
      <c r="GR55" s="267"/>
      <c r="GS55" s="267"/>
      <c r="GT55" s="267"/>
      <c r="GU55" s="267"/>
      <c r="GV55" s="267"/>
      <c r="GW55" s="267"/>
      <c r="GX55" s="267"/>
      <c r="GY55" s="267"/>
      <c r="GZ55" s="267"/>
      <c r="HA55" s="267"/>
      <c r="HB55" s="267"/>
      <c r="HC55" s="267"/>
      <c r="HD55" s="267"/>
      <c r="HE55" s="267"/>
      <c r="HF55" s="267"/>
      <c r="HG55" s="267"/>
      <c r="HH55" s="267"/>
      <c r="HI55" s="267"/>
      <c r="HJ55" s="267"/>
      <c r="HK55" s="267"/>
      <c r="HL55" s="267"/>
      <c r="HM55" s="267"/>
      <c r="HN55" s="267"/>
      <c r="HO55" s="267"/>
      <c r="HP55" s="267"/>
      <c r="HQ55" s="267"/>
      <c r="HR55" s="267"/>
      <c r="HS55" s="267"/>
      <c r="HT55" s="267"/>
      <c r="HU55" s="267"/>
      <c r="HV55" s="267"/>
      <c r="HW55" s="267"/>
      <c r="HX55" s="267"/>
      <c r="HY55" s="267"/>
      <c r="HZ55" s="267"/>
      <c r="IA55" s="267"/>
      <c r="IB55" s="267"/>
      <c r="IC55" s="267"/>
      <c r="ID55" s="267"/>
      <c r="IE55" s="267"/>
      <c r="IF55" s="267"/>
      <c r="IG55" s="267"/>
      <c r="IH55" s="267"/>
      <c r="II55" s="267"/>
      <c r="IJ55" s="267"/>
      <c r="IK55" s="267"/>
      <c r="IL55" s="267"/>
      <c r="IM55" s="267"/>
      <c r="IN55" s="267"/>
      <c r="IO55" s="267"/>
      <c r="IP55" s="267"/>
      <c r="IQ55" s="267"/>
      <c r="IR55" s="267"/>
      <c r="IS55" s="267"/>
      <c r="IT55" s="267"/>
      <c r="IU55" s="267"/>
      <c r="IV55" s="267"/>
      <c r="IW55" s="267"/>
    </row>
    <row r="56" customFormat="false" ht="12" hidden="false" customHeight="true" outlineLevel="0" collapsed="false">
      <c r="A56" s="294"/>
      <c r="B56" s="271"/>
      <c r="C56" s="302"/>
      <c r="D56" s="305"/>
      <c r="E56" s="315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302"/>
      <c r="R56" s="274"/>
      <c r="S56" s="274"/>
      <c r="T56" s="274"/>
      <c r="U56" s="274"/>
      <c r="V56" s="274"/>
      <c r="W56" s="274"/>
      <c r="X56" s="274"/>
      <c r="Y56" s="302"/>
      <c r="Z56" s="287"/>
      <c r="AA56" s="302"/>
      <c r="AB56" s="302"/>
      <c r="AC56" s="265"/>
      <c r="AD56" s="303"/>
      <c r="AE56" s="266"/>
      <c r="AF56" s="266"/>
      <c r="AG56" s="266"/>
      <c r="AH56" s="266"/>
      <c r="AI56" s="266"/>
      <c r="AJ56" s="266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7"/>
      <c r="BD56" s="267"/>
      <c r="BE56" s="267"/>
      <c r="BF56" s="267"/>
      <c r="BG56" s="267"/>
      <c r="BH56" s="267"/>
      <c r="BI56" s="267"/>
      <c r="BJ56" s="267"/>
      <c r="BK56" s="267"/>
      <c r="BL56" s="267"/>
      <c r="BM56" s="267"/>
      <c r="BN56" s="267"/>
      <c r="BO56" s="267"/>
      <c r="BP56" s="267"/>
      <c r="BQ56" s="267"/>
      <c r="BR56" s="267"/>
      <c r="BS56" s="267"/>
      <c r="BT56" s="267"/>
      <c r="BU56" s="267"/>
      <c r="BV56" s="267"/>
      <c r="BW56" s="267"/>
      <c r="BX56" s="267"/>
      <c r="BY56" s="267"/>
      <c r="BZ56" s="267"/>
      <c r="CA56" s="267"/>
      <c r="CB56" s="267"/>
      <c r="CC56" s="267"/>
      <c r="CD56" s="267"/>
      <c r="CE56" s="267"/>
      <c r="CF56" s="267"/>
      <c r="CG56" s="267"/>
      <c r="CH56" s="267"/>
      <c r="CI56" s="267"/>
      <c r="CJ56" s="267"/>
      <c r="CK56" s="267"/>
      <c r="CL56" s="267"/>
      <c r="CM56" s="267"/>
      <c r="CN56" s="267"/>
      <c r="CO56" s="267"/>
      <c r="CP56" s="267"/>
      <c r="CQ56" s="267"/>
      <c r="CR56" s="267"/>
      <c r="CS56" s="267"/>
      <c r="CT56" s="267"/>
      <c r="CU56" s="267"/>
      <c r="CV56" s="267"/>
      <c r="CW56" s="267"/>
      <c r="CX56" s="267"/>
      <c r="CY56" s="267"/>
      <c r="CZ56" s="267"/>
      <c r="DA56" s="267"/>
      <c r="DB56" s="267"/>
      <c r="DC56" s="267"/>
      <c r="DD56" s="267"/>
      <c r="DE56" s="267"/>
      <c r="DF56" s="267"/>
      <c r="DG56" s="267"/>
      <c r="DH56" s="267"/>
      <c r="DI56" s="267"/>
      <c r="DJ56" s="267"/>
      <c r="DK56" s="267"/>
      <c r="DL56" s="267"/>
      <c r="DM56" s="267"/>
      <c r="DN56" s="267"/>
      <c r="DO56" s="267"/>
      <c r="DP56" s="267"/>
      <c r="DQ56" s="267"/>
      <c r="DR56" s="267"/>
      <c r="DS56" s="267"/>
      <c r="DT56" s="267"/>
      <c r="DU56" s="267"/>
      <c r="DV56" s="267"/>
      <c r="DW56" s="267"/>
      <c r="DX56" s="267"/>
      <c r="DY56" s="267"/>
      <c r="DZ56" s="267"/>
      <c r="EA56" s="267"/>
      <c r="EB56" s="267"/>
      <c r="EC56" s="267"/>
      <c r="ED56" s="267"/>
      <c r="EE56" s="267"/>
      <c r="EF56" s="267"/>
      <c r="EG56" s="267"/>
      <c r="EH56" s="267"/>
      <c r="EI56" s="267"/>
      <c r="EJ56" s="267"/>
      <c r="EK56" s="267"/>
      <c r="EL56" s="267"/>
      <c r="EM56" s="267"/>
      <c r="EN56" s="267"/>
      <c r="EO56" s="267"/>
      <c r="EP56" s="267"/>
      <c r="EQ56" s="267"/>
      <c r="ER56" s="267"/>
      <c r="ES56" s="267"/>
      <c r="ET56" s="267"/>
      <c r="EU56" s="267"/>
      <c r="EV56" s="267"/>
      <c r="EW56" s="267"/>
      <c r="EX56" s="267"/>
      <c r="EY56" s="267"/>
      <c r="EZ56" s="267"/>
      <c r="FA56" s="267"/>
      <c r="FB56" s="267"/>
      <c r="FC56" s="267"/>
      <c r="FD56" s="267"/>
      <c r="FE56" s="267"/>
      <c r="FF56" s="267"/>
      <c r="FG56" s="267"/>
      <c r="FH56" s="267"/>
      <c r="FI56" s="267"/>
      <c r="FJ56" s="267"/>
      <c r="FK56" s="267"/>
      <c r="FL56" s="267"/>
      <c r="FM56" s="267"/>
      <c r="FN56" s="267"/>
      <c r="FO56" s="267"/>
      <c r="FP56" s="267"/>
      <c r="FQ56" s="267"/>
      <c r="FR56" s="267"/>
      <c r="FS56" s="267"/>
      <c r="FT56" s="267"/>
      <c r="FU56" s="267"/>
      <c r="FV56" s="267"/>
      <c r="FW56" s="267"/>
      <c r="FX56" s="267"/>
      <c r="FY56" s="267"/>
      <c r="FZ56" s="267"/>
      <c r="GA56" s="267"/>
      <c r="GB56" s="267"/>
      <c r="GC56" s="267"/>
      <c r="GD56" s="267"/>
      <c r="GE56" s="267"/>
      <c r="GF56" s="267"/>
      <c r="GG56" s="267"/>
      <c r="GH56" s="267"/>
      <c r="GI56" s="267"/>
      <c r="GJ56" s="267"/>
      <c r="GK56" s="267"/>
      <c r="GL56" s="267"/>
      <c r="GM56" s="267"/>
      <c r="GN56" s="267"/>
      <c r="GO56" s="267"/>
      <c r="GP56" s="267"/>
      <c r="GQ56" s="267"/>
      <c r="GR56" s="267"/>
      <c r="GS56" s="267"/>
      <c r="GT56" s="267"/>
      <c r="GU56" s="267"/>
      <c r="GV56" s="267"/>
      <c r="GW56" s="267"/>
      <c r="GX56" s="267"/>
      <c r="GY56" s="267"/>
      <c r="GZ56" s="267"/>
      <c r="HA56" s="267"/>
      <c r="HB56" s="267"/>
      <c r="HC56" s="267"/>
      <c r="HD56" s="267"/>
      <c r="HE56" s="267"/>
      <c r="HF56" s="267"/>
      <c r="HG56" s="267"/>
      <c r="HH56" s="267"/>
      <c r="HI56" s="267"/>
      <c r="HJ56" s="267"/>
      <c r="HK56" s="267"/>
      <c r="HL56" s="267"/>
      <c r="HM56" s="267"/>
      <c r="HN56" s="267"/>
      <c r="HO56" s="267"/>
      <c r="HP56" s="267"/>
      <c r="HQ56" s="267"/>
      <c r="HR56" s="267"/>
      <c r="HS56" s="267"/>
      <c r="HT56" s="267"/>
      <c r="HU56" s="267"/>
      <c r="HV56" s="267"/>
      <c r="HW56" s="267"/>
      <c r="HX56" s="267"/>
      <c r="HY56" s="267"/>
      <c r="HZ56" s="267"/>
      <c r="IA56" s="267"/>
      <c r="IB56" s="267"/>
      <c r="IC56" s="267"/>
      <c r="ID56" s="267"/>
      <c r="IE56" s="267"/>
      <c r="IF56" s="267"/>
      <c r="IG56" s="267"/>
      <c r="IH56" s="267"/>
      <c r="II56" s="267"/>
      <c r="IJ56" s="267"/>
      <c r="IK56" s="267"/>
      <c r="IL56" s="267"/>
      <c r="IM56" s="267"/>
      <c r="IN56" s="267"/>
      <c r="IO56" s="267"/>
      <c r="IP56" s="267"/>
      <c r="IQ56" s="267"/>
      <c r="IR56" s="267"/>
      <c r="IS56" s="267"/>
      <c r="IT56" s="267"/>
      <c r="IU56" s="267"/>
      <c r="IV56" s="267"/>
      <c r="IW56" s="267"/>
    </row>
    <row r="57" customFormat="false" ht="12" hidden="false" customHeight="true" outlineLevel="0" collapsed="false">
      <c r="A57" s="294" t="s">
        <v>111</v>
      </c>
      <c r="B57" s="271" t="s">
        <v>112</v>
      </c>
      <c r="C57" s="302" t="s">
        <v>114</v>
      </c>
      <c r="D57" s="305" t="n">
        <f aca="false">'E. VaR &amp; Peak Pos By Trader'!E57</f>
        <v>-0</v>
      </c>
      <c r="E57" s="315" t="n">
        <f aca="false">'E. VaR &amp; Peak Pos By Trader'!F57</f>
        <v>0</v>
      </c>
      <c r="F57" s="274" t="n">
        <f aca="false">VLOOKUP($B57,'[3]Delta Monthly'!$A$1:$AW$55,5,1)</f>
        <v>0</v>
      </c>
      <c r="G57" s="274" t="n">
        <f aca="false">VLOOKUP($B57,'[3]Delta Monthly'!$A$1:$AW$55,7,1)</f>
        <v>0</v>
      </c>
      <c r="H57" s="274" t="n">
        <f aca="false">VLOOKUP($B57,'[3]Delta Monthly'!$A$1:$AW$55,9,1)</f>
        <v>0</v>
      </c>
      <c r="I57" s="274" t="n">
        <f aca="false">VLOOKUP($B57,'[3]Delta Monthly'!$A$1:$AW$55,11,0)</f>
        <v>0</v>
      </c>
      <c r="J57" s="274" t="n">
        <f aca="false">VLOOKUP($B57,'[3]Delta Monthly'!$A$1:$AW$55,13,0)</f>
        <v>0</v>
      </c>
      <c r="K57" s="274" t="n">
        <f aca="false">VLOOKUP($B57,'[3]Delta Monthly'!$A$1:$AW$55,15,0)</f>
        <v>0</v>
      </c>
      <c r="L57" s="274" t="n">
        <f aca="false">+VLOOKUP($B57,'[3]Delta Monthly'!$A$1:$AW$55,17,0)</f>
        <v>0</v>
      </c>
      <c r="M57" s="274" t="n">
        <f aca="false">VLOOKUP($B57,'[3]Delta Monthly'!$A$1:$AW$55,19,0)</f>
        <v>0</v>
      </c>
      <c r="N57" s="274" t="n">
        <f aca="false">VLOOKUP($B57,'[3]Delta Monthly'!$A$1:$AW$55,21,FALSE())</f>
        <v>0</v>
      </c>
      <c r="O57" s="274" t="n">
        <f aca="false">VLOOKUP($B57,'[3]Delta Monthly'!$A$1:$AW$55,23,FALSE())</f>
        <v>0</v>
      </c>
      <c r="P57" s="274" t="n">
        <f aca="false">VLOOKUP($B57,'[3]Delta Monthly'!$A$1:$AW$55,25,FALSE())</f>
        <v>0</v>
      </c>
      <c r="Q57" s="302" t="n">
        <f aca="false">SUM(F57:P57)</f>
        <v>0</v>
      </c>
      <c r="R57" s="274" t="n">
        <f aca="false">VLOOKUP($B57,'[3]Delta Monthly'!$A$1:$AW$55,27,0)+VLOOKUP($B57,'[3]Delta Monthly'!$A$1:$AW$55,29,0)</f>
        <v>0</v>
      </c>
      <c r="S57" s="274" t="n">
        <f aca="false">VLOOKUP($B57,'[3]Delta Monthly'!$A$1:$AW$55,31,0)+VLOOKUP($B57,'[3]Delta Monthly'!$A$1:$AW$55,33,0)</f>
        <v>0</v>
      </c>
      <c r="T57" s="274" t="n">
        <f aca="false">VLOOKUP($B57,'[3]Delta Monthly'!$A$1:$AW$55,35,0)</f>
        <v>0</v>
      </c>
      <c r="U57" s="274" t="n">
        <f aca="false">VLOOKUP($B57,'[3]Delta Monthly'!$A$1:$AW$55,37,0)</f>
        <v>0</v>
      </c>
      <c r="V57" s="274" t="n">
        <f aca="false">VLOOKUP($B57,'[3]Delta Monthly'!$A$1:$AW$55,39,0)+VLOOKUP($B57,'[3]Delta Monthly'!$A$1:$AW$55,41,0)</f>
        <v>0</v>
      </c>
      <c r="W57" s="274" t="n">
        <f aca="false">VLOOKUP($B57,'[3]Delta Monthly'!$A$1:$AW$55,43,0)</f>
        <v>0</v>
      </c>
      <c r="X57" s="274" t="n">
        <f aca="false">VLOOKUP($B57,'[3]Delta Monthly'!$A$1:$AW$55,45,0)+VLOOKUP($B57,'[3]Delta Monthly'!$A$1:$AW$55,47,0)+VLOOKUP($B57,'[3]Delta Monthly'!$A$1:$AW$55,49,0)</f>
        <v>0</v>
      </c>
      <c r="Y57" s="302" t="n">
        <f aca="false">SUM(R57:X57)</f>
        <v>0</v>
      </c>
      <c r="Z57" s="287" t="n">
        <f aca="false">VLOOKUP($B57,'[5]Delta Yearly'!$A$1:$AC$55,5,0)</f>
        <v>0</v>
      </c>
      <c r="AA57" s="302" t="n">
        <f aca="false">VLOOKUP($B57,'[5]Delta Yearly'!$A$1:$AC$55,7,FALSE())+VLOOKUP($B57,'[5]Delta Yearly'!$A$1:$AC$55,9,FALSE())+VLOOKUP($B57,'[5]Delta Yearly'!$A$1:$AC$55,11,FALSE())+VLOOKUP($B57,'[5]Delta Yearly'!$A$1:$AC$55,13,FALSE())+VLOOKUP($B57,'[5]Delta Yearly'!$A$1:$AC$55,15,FALSE())+VLOOKUP($B57,'[5]Delta Yearly'!$A$1:$AC$55,17,FALSE())+VLOOKUP($B57,'[5]Delta Yearly'!$A$1:$AC$55,19,FALSE())+VLOOKUP($B57,'[5]Delta Yearly'!$A$1:$AC$55,21,FALSE())+VLOOKUP($B57,'[5]Delta Yearly'!$A$1:$AC$55,23,FALSE())+VLOOKUP($B57,'[5]Delta Yearly'!$A$1:$AC$55,25,FALSE())+VLOOKUP($B57,'[5]Delta Yearly'!$A$1:$AC$55,27,FALSE())+VLOOKUP($B57,'[5]Delta Yearly'!$A$1:$AC$55,29,FALSE())</f>
        <v>0</v>
      </c>
      <c r="AB57" s="302" t="n">
        <f aca="false">SUM(AA57,Z57,Y57,Q57)</f>
        <v>0</v>
      </c>
      <c r="AC57" s="265"/>
      <c r="AD57" s="303"/>
      <c r="AE57" s="266"/>
      <c r="AF57" s="266"/>
      <c r="AG57" s="266"/>
      <c r="AH57" s="266"/>
      <c r="AI57" s="266"/>
      <c r="AJ57" s="266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7"/>
      <c r="BW57" s="267"/>
      <c r="BX57" s="267"/>
      <c r="BY57" s="267"/>
      <c r="BZ57" s="267"/>
      <c r="CA57" s="267"/>
      <c r="CB57" s="267"/>
      <c r="CC57" s="267"/>
      <c r="CD57" s="267"/>
      <c r="CE57" s="267"/>
      <c r="CF57" s="267"/>
      <c r="CG57" s="267"/>
      <c r="CH57" s="267"/>
      <c r="CI57" s="267"/>
      <c r="CJ57" s="267"/>
      <c r="CK57" s="267"/>
      <c r="CL57" s="267"/>
      <c r="CM57" s="267"/>
      <c r="CN57" s="267"/>
      <c r="CO57" s="267"/>
      <c r="CP57" s="267"/>
      <c r="CQ57" s="267"/>
      <c r="CR57" s="267"/>
      <c r="CS57" s="267"/>
      <c r="CT57" s="267"/>
      <c r="CU57" s="267"/>
      <c r="CV57" s="267"/>
      <c r="CW57" s="267"/>
      <c r="CX57" s="267"/>
      <c r="CY57" s="267"/>
      <c r="CZ57" s="267"/>
      <c r="DA57" s="267"/>
      <c r="DB57" s="267"/>
      <c r="DC57" s="267"/>
      <c r="DD57" s="267"/>
      <c r="DE57" s="267"/>
      <c r="DF57" s="267"/>
      <c r="DG57" s="267"/>
      <c r="DH57" s="267"/>
      <c r="DI57" s="267"/>
      <c r="DJ57" s="267"/>
      <c r="DK57" s="267"/>
      <c r="DL57" s="267"/>
      <c r="DM57" s="267"/>
      <c r="DN57" s="267"/>
      <c r="DO57" s="267"/>
      <c r="DP57" s="267"/>
      <c r="DQ57" s="267"/>
      <c r="DR57" s="267"/>
      <c r="DS57" s="267"/>
      <c r="DT57" s="267"/>
      <c r="DU57" s="267"/>
      <c r="DV57" s="267"/>
      <c r="DW57" s="267"/>
      <c r="DX57" s="267"/>
      <c r="DY57" s="267"/>
      <c r="DZ57" s="267"/>
      <c r="EA57" s="267"/>
      <c r="EB57" s="267"/>
      <c r="EC57" s="267"/>
      <c r="ED57" s="267"/>
      <c r="EE57" s="267"/>
      <c r="EF57" s="267"/>
      <c r="EG57" s="267"/>
      <c r="EH57" s="267"/>
      <c r="EI57" s="267"/>
      <c r="EJ57" s="267"/>
      <c r="EK57" s="267"/>
      <c r="EL57" s="267"/>
      <c r="EM57" s="267"/>
      <c r="EN57" s="267"/>
      <c r="EO57" s="267"/>
      <c r="EP57" s="267"/>
      <c r="EQ57" s="267"/>
      <c r="ER57" s="267"/>
      <c r="ES57" s="267"/>
      <c r="ET57" s="267"/>
      <c r="EU57" s="267"/>
      <c r="EV57" s="267"/>
      <c r="EW57" s="267"/>
      <c r="EX57" s="267"/>
      <c r="EY57" s="267"/>
      <c r="EZ57" s="267"/>
      <c r="FA57" s="267"/>
      <c r="FB57" s="267"/>
      <c r="FC57" s="267"/>
      <c r="FD57" s="267"/>
      <c r="FE57" s="267"/>
      <c r="FF57" s="267"/>
      <c r="FG57" s="267"/>
      <c r="FH57" s="267"/>
      <c r="FI57" s="267"/>
      <c r="FJ57" s="267"/>
      <c r="FK57" s="267"/>
      <c r="FL57" s="267"/>
      <c r="FM57" s="267"/>
      <c r="FN57" s="267"/>
      <c r="FO57" s="267"/>
      <c r="FP57" s="267"/>
      <c r="FQ57" s="267"/>
      <c r="FR57" s="267"/>
      <c r="FS57" s="267"/>
      <c r="FT57" s="267"/>
      <c r="FU57" s="267"/>
      <c r="FV57" s="267"/>
      <c r="FW57" s="267"/>
      <c r="FX57" s="267"/>
      <c r="FY57" s="267"/>
      <c r="FZ57" s="267"/>
      <c r="GA57" s="267"/>
      <c r="GB57" s="267"/>
      <c r="GC57" s="267"/>
      <c r="GD57" s="267"/>
      <c r="GE57" s="267"/>
      <c r="GF57" s="267"/>
      <c r="GG57" s="267"/>
      <c r="GH57" s="267"/>
      <c r="GI57" s="267"/>
      <c r="GJ57" s="267"/>
      <c r="GK57" s="267"/>
      <c r="GL57" s="267"/>
      <c r="GM57" s="267"/>
      <c r="GN57" s="267"/>
      <c r="GO57" s="267"/>
      <c r="GP57" s="267"/>
      <c r="GQ57" s="267"/>
      <c r="GR57" s="267"/>
      <c r="GS57" s="267"/>
      <c r="GT57" s="267"/>
      <c r="GU57" s="267"/>
      <c r="GV57" s="267"/>
      <c r="GW57" s="267"/>
      <c r="GX57" s="267"/>
      <c r="GY57" s="267"/>
      <c r="GZ57" s="267"/>
      <c r="HA57" s="267"/>
      <c r="HB57" s="267"/>
      <c r="HC57" s="267"/>
      <c r="HD57" s="267"/>
      <c r="HE57" s="267"/>
      <c r="HF57" s="267"/>
      <c r="HG57" s="267"/>
      <c r="HH57" s="267"/>
      <c r="HI57" s="267"/>
      <c r="HJ57" s="267"/>
      <c r="HK57" s="267"/>
      <c r="HL57" s="267"/>
      <c r="HM57" s="267"/>
      <c r="HN57" s="267"/>
      <c r="HO57" s="267"/>
      <c r="HP57" s="267"/>
      <c r="HQ57" s="267"/>
      <c r="HR57" s="267"/>
      <c r="HS57" s="267"/>
      <c r="HT57" s="267"/>
      <c r="HU57" s="267"/>
      <c r="HV57" s="267"/>
      <c r="HW57" s="267"/>
      <c r="HX57" s="267"/>
      <c r="HY57" s="267"/>
      <c r="HZ57" s="267"/>
      <c r="IA57" s="267"/>
      <c r="IB57" s="267"/>
      <c r="IC57" s="267"/>
      <c r="ID57" s="267"/>
      <c r="IE57" s="267"/>
      <c r="IF57" s="267"/>
      <c r="IG57" s="267"/>
      <c r="IH57" s="267"/>
      <c r="II57" s="267"/>
      <c r="IJ57" s="267"/>
      <c r="IK57" s="267"/>
      <c r="IL57" s="267"/>
      <c r="IM57" s="267"/>
      <c r="IN57" s="267"/>
      <c r="IO57" s="267"/>
      <c r="IP57" s="267"/>
      <c r="IQ57" s="267"/>
      <c r="IR57" s="267"/>
      <c r="IS57" s="267"/>
      <c r="IT57" s="267"/>
      <c r="IU57" s="267"/>
      <c r="IV57" s="267"/>
      <c r="IW57" s="267"/>
    </row>
    <row r="58" customFormat="false" ht="12" hidden="false" customHeight="true" outlineLevel="0" collapsed="false">
      <c r="A58" s="314"/>
      <c r="B58" s="271"/>
      <c r="C58" s="302"/>
      <c r="D58" s="305"/>
      <c r="E58" s="34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308"/>
      <c r="R58" s="284"/>
      <c r="S58" s="284"/>
      <c r="T58" s="284"/>
      <c r="U58" s="284"/>
      <c r="V58" s="284"/>
      <c r="W58" s="284"/>
      <c r="X58" s="284"/>
      <c r="Y58" s="302"/>
      <c r="Z58" s="309"/>
      <c r="AA58" s="308"/>
      <c r="AB58" s="308"/>
      <c r="AC58" s="265"/>
      <c r="AD58" s="303"/>
      <c r="AE58" s="266"/>
      <c r="AF58" s="266"/>
      <c r="AG58" s="266"/>
      <c r="AH58" s="266"/>
      <c r="AI58" s="266"/>
      <c r="AJ58" s="266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7"/>
      <c r="CC58" s="267"/>
      <c r="CD58" s="267"/>
      <c r="CE58" s="267"/>
      <c r="CF58" s="267"/>
      <c r="CG58" s="267"/>
      <c r="CH58" s="267"/>
      <c r="CI58" s="267"/>
      <c r="CJ58" s="267"/>
      <c r="CK58" s="267"/>
      <c r="CL58" s="267"/>
      <c r="CM58" s="267"/>
      <c r="CN58" s="267"/>
      <c r="CO58" s="267"/>
      <c r="CP58" s="267"/>
      <c r="CQ58" s="267"/>
      <c r="CR58" s="267"/>
      <c r="CS58" s="267"/>
      <c r="CT58" s="267"/>
      <c r="CU58" s="267"/>
      <c r="CV58" s="267"/>
      <c r="CW58" s="267"/>
      <c r="CX58" s="267"/>
      <c r="CY58" s="267"/>
      <c r="CZ58" s="267"/>
      <c r="DA58" s="267"/>
      <c r="DB58" s="267"/>
      <c r="DC58" s="267"/>
      <c r="DD58" s="267"/>
      <c r="DE58" s="267"/>
      <c r="DF58" s="267"/>
      <c r="DG58" s="267"/>
      <c r="DH58" s="267"/>
      <c r="DI58" s="267"/>
      <c r="DJ58" s="267"/>
      <c r="DK58" s="267"/>
      <c r="DL58" s="267"/>
      <c r="DM58" s="267"/>
      <c r="DN58" s="267"/>
      <c r="DO58" s="267"/>
      <c r="DP58" s="267"/>
      <c r="DQ58" s="267"/>
      <c r="DR58" s="267"/>
      <c r="DS58" s="267"/>
      <c r="DT58" s="267"/>
      <c r="DU58" s="267"/>
      <c r="DV58" s="267"/>
      <c r="DW58" s="267"/>
      <c r="DX58" s="267"/>
      <c r="DY58" s="267"/>
      <c r="DZ58" s="267"/>
      <c r="EA58" s="267"/>
      <c r="EB58" s="267"/>
      <c r="EC58" s="267"/>
      <c r="ED58" s="267"/>
      <c r="EE58" s="267"/>
      <c r="EF58" s="267"/>
      <c r="EG58" s="267"/>
      <c r="EH58" s="267"/>
      <c r="EI58" s="267"/>
      <c r="EJ58" s="267"/>
      <c r="EK58" s="267"/>
      <c r="EL58" s="267"/>
      <c r="EM58" s="267"/>
      <c r="EN58" s="267"/>
      <c r="EO58" s="267"/>
      <c r="EP58" s="267"/>
      <c r="EQ58" s="267"/>
      <c r="ER58" s="267"/>
      <c r="ES58" s="267"/>
      <c r="ET58" s="267"/>
      <c r="EU58" s="267"/>
      <c r="EV58" s="267"/>
      <c r="EW58" s="267"/>
      <c r="EX58" s="267"/>
      <c r="EY58" s="267"/>
      <c r="EZ58" s="267"/>
      <c r="FA58" s="267"/>
      <c r="FB58" s="267"/>
      <c r="FC58" s="267"/>
      <c r="FD58" s="267"/>
      <c r="FE58" s="267"/>
      <c r="FF58" s="267"/>
      <c r="FG58" s="267"/>
      <c r="FH58" s="267"/>
      <c r="FI58" s="267"/>
      <c r="FJ58" s="267"/>
      <c r="FK58" s="267"/>
      <c r="FL58" s="267"/>
      <c r="FM58" s="267"/>
      <c r="FN58" s="267"/>
      <c r="FO58" s="267"/>
      <c r="FP58" s="267"/>
      <c r="FQ58" s="267"/>
      <c r="FR58" s="267"/>
      <c r="FS58" s="267"/>
      <c r="FT58" s="267"/>
      <c r="FU58" s="267"/>
      <c r="FV58" s="267"/>
      <c r="FW58" s="267"/>
      <c r="FX58" s="267"/>
      <c r="FY58" s="267"/>
      <c r="FZ58" s="267"/>
      <c r="GA58" s="267"/>
      <c r="GB58" s="267"/>
      <c r="GC58" s="267"/>
      <c r="GD58" s="267"/>
      <c r="GE58" s="267"/>
      <c r="GF58" s="267"/>
      <c r="GG58" s="267"/>
      <c r="GH58" s="267"/>
      <c r="GI58" s="267"/>
      <c r="GJ58" s="267"/>
      <c r="GK58" s="267"/>
      <c r="GL58" s="267"/>
      <c r="GM58" s="267"/>
      <c r="GN58" s="267"/>
      <c r="GO58" s="267"/>
      <c r="GP58" s="267"/>
      <c r="GQ58" s="267"/>
      <c r="GR58" s="267"/>
      <c r="GS58" s="267"/>
      <c r="GT58" s="267"/>
      <c r="GU58" s="267"/>
      <c r="GV58" s="267"/>
      <c r="GW58" s="267"/>
      <c r="GX58" s="267"/>
      <c r="GY58" s="267"/>
      <c r="GZ58" s="267"/>
      <c r="HA58" s="267"/>
      <c r="HB58" s="267"/>
      <c r="HC58" s="267"/>
      <c r="HD58" s="267"/>
      <c r="HE58" s="267"/>
      <c r="HF58" s="267"/>
      <c r="HG58" s="267"/>
      <c r="HH58" s="267"/>
      <c r="HI58" s="267"/>
      <c r="HJ58" s="267"/>
      <c r="HK58" s="267"/>
      <c r="HL58" s="267"/>
      <c r="HM58" s="267"/>
      <c r="HN58" s="267"/>
      <c r="HO58" s="267"/>
      <c r="HP58" s="267"/>
      <c r="HQ58" s="267"/>
      <c r="HR58" s="267"/>
      <c r="HS58" s="267"/>
      <c r="HT58" s="267"/>
      <c r="HU58" s="267"/>
      <c r="HV58" s="267"/>
      <c r="HW58" s="267"/>
      <c r="HX58" s="267"/>
      <c r="HY58" s="267"/>
      <c r="HZ58" s="267"/>
      <c r="IA58" s="267"/>
      <c r="IB58" s="267"/>
      <c r="IC58" s="267"/>
      <c r="ID58" s="267"/>
      <c r="IE58" s="267"/>
      <c r="IF58" s="267"/>
      <c r="IG58" s="267"/>
      <c r="IH58" s="267"/>
      <c r="II58" s="267"/>
      <c r="IJ58" s="267"/>
      <c r="IK58" s="267"/>
      <c r="IL58" s="267"/>
      <c r="IM58" s="267"/>
      <c r="IN58" s="267"/>
      <c r="IO58" s="267"/>
      <c r="IP58" s="267"/>
      <c r="IQ58" s="267"/>
      <c r="IR58" s="267"/>
      <c r="IS58" s="267"/>
      <c r="IT58" s="267"/>
      <c r="IU58" s="267"/>
      <c r="IV58" s="267"/>
      <c r="IW58" s="267"/>
    </row>
    <row r="59" customFormat="false" ht="12" hidden="false" customHeight="true" outlineLevel="0" collapsed="false">
      <c r="A59" s="318" t="s">
        <v>115</v>
      </c>
      <c r="B59" s="319" t="s">
        <v>115</v>
      </c>
      <c r="C59" s="320"/>
      <c r="D59" s="345" t="n">
        <f aca="false">'E. VaR &amp; Peak Pos By Trader'!E59</f>
        <v>4052299.07896584</v>
      </c>
      <c r="E59" s="320" t="n">
        <f aca="false">'E. VaR &amp; Peak Pos By Trader'!F59</f>
        <v>-836668.98213697</v>
      </c>
      <c r="F59" s="322" t="n">
        <f aca="false">SUM(F43,F45,F47,F49,F51,F53,F55)</f>
        <v>0</v>
      </c>
      <c r="G59" s="322" t="n">
        <f aca="false">SUM(G43,G45,G47,G49,G51,G53,G55)</f>
        <v>0</v>
      </c>
      <c r="H59" s="322" t="n">
        <f aca="false">SUM(H43,H45,H47,H49,H51,H53,H55)</f>
        <v>0</v>
      </c>
      <c r="I59" s="322" t="n">
        <f aca="false">SUM(I43,I45,I47,I49,I51,I53,I55)</f>
        <v>0</v>
      </c>
      <c r="J59" s="322" t="n">
        <f aca="false">SUM(J43,J45,J47,J49,J51,J53,J55)</f>
        <v>0</v>
      </c>
      <c r="K59" s="322" t="n">
        <f aca="false">SUM(K43,K45,K47,K49,K51,K53,K55)</f>
        <v>0</v>
      </c>
      <c r="L59" s="322" t="n">
        <f aca="false">SUM(L43,L45,L47,L49,L51,L53,L55)</f>
        <v>0</v>
      </c>
      <c r="M59" s="322" t="n">
        <f aca="false">SUM(M43,M45,M47,M49,M51,M53,M55)</f>
        <v>0</v>
      </c>
      <c r="N59" s="322" t="n">
        <f aca="false">SUM(N43,N45,N47,N49,N51,N53,N55,N57)</f>
        <v>0</v>
      </c>
      <c r="O59" s="322" t="n">
        <f aca="false">SUM(O43,O45,O47,O49,O51,O53,O55,O57)</f>
        <v>188749.38776378</v>
      </c>
      <c r="P59" s="322" t="n">
        <f aca="false">SUM(P43,P45,P47,P49,P51,P53,P55,P57)</f>
        <v>90663.7333281954</v>
      </c>
      <c r="Q59" s="320" t="n">
        <f aca="false">SUM(Q43,Q45,Q47,Q49,Q51,Q53,Q55,Q57)</f>
        <v>279413.121091976</v>
      </c>
      <c r="R59" s="322" t="n">
        <f aca="false">SUM(R43,R45,R47,R49,R51,R53,R55,R57)</f>
        <v>35415.1590633229</v>
      </c>
      <c r="S59" s="322" t="n">
        <f aca="false">SUM(S43,S45,S47,S49,S51,S53,S55,S57)</f>
        <v>-39702.6087411496</v>
      </c>
      <c r="T59" s="322" t="n">
        <f aca="false">SUM(T43,T45,T47,T49,T51,T53,T55,T57)</f>
        <v>-96562.7584341833</v>
      </c>
      <c r="U59" s="322" t="n">
        <f aca="false">SUM(U43,U45,U47,U49,U51,U53,U55,U57)</f>
        <v>-31614.7792998929</v>
      </c>
      <c r="V59" s="322" t="n">
        <f aca="false">SUM(V43,V45,V47,V49,V51,V53,V55,V57)</f>
        <v>128723.70143573</v>
      </c>
      <c r="W59" s="322" t="n">
        <f aca="false">SUM(W43,W45,W47,W49,W51,W53,W55,W57)</f>
        <v>-22036.9758247543</v>
      </c>
      <c r="X59" s="322" t="n">
        <f aca="false">SUM(X43,X45,X47,X49,X51,X53,X55,X57)</f>
        <v>18993.3138643281</v>
      </c>
      <c r="Y59" s="320" t="n">
        <f aca="false">SUM(Y43,Y45,Y47,Y49,Y51,Y53,Y55,Y57)</f>
        <v>-6784.9479365992</v>
      </c>
      <c r="Z59" s="320" t="n">
        <f aca="false">SUM(Z43,Z45,Z47,Z49,Z51,Z53,Z55,Z57)</f>
        <v>-1630659.39270453</v>
      </c>
      <c r="AA59" s="323" t="n">
        <f aca="false">SUM(AA43,AA45,AA47,AA49,AA51,AA53,AA55,AA57)</f>
        <v>-5364416.4167289</v>
      </c>
      <c r="AB59" s="320" t="n">
        <f aca="false">SUM(AB43,AB45,AB47,AB49,AB51,AB53,AB55,AB57)</f>
        <v>-6722447.63627805</v>
      </c>
      <c r="AC59" s="265"/>
      <c r="AD59" s="303"/>
      <c r="AE59" s="266"/>
      <c r="AF59" s="266"/>
      <c r="AG59" s="266"/>
      <c r="AH59" s="266"/>
      <c r="AI59" s="266"/>
      <c r="AJ59" s="266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67"/>
      <c r="BX59" s="267"/>
      <c r="BY59" s="267"/>
      <c r="BZ59" s="267"/>
      <c r="CA59" s="267"/>
      <c r="CB59" s="267"/>
      <c r="CC59" s="267"/>
      <c r="CD59" s="267"/>
      <c r="CE59" s="267"/>
      <c r="CF59" s="267"/>
      <c r="CG59" s="267"/>
      <c r="CH59" s="267"/>
      <c r="CI59" s="267"/>
      <c r="CJ59" s="267"/>
      <c r="CK59" s="267"/>
      <c r="CL59" s="267"/>
      <c r="CM59" s="267"/>
      <c r="CN59" s="267"/>
      <c r="CO59" s="267"/>
      <c r="CP59" s="267"/>
      <c r="CQ59" s="267"/>
      <c r="CR59" s="267"/>
      <c r="CS59" s="267"/>
      <c r="CT59" s="267"/>
      <c r="CU59" s="267"/>
      <c r="CV59" s="267"/>
      <c r="CW59" s="267"/>
      <c r="CX59" s="267"/>
      <c r="CY59" s="267"/>
      <c r="CZ59" s="267"/>
      <c r="DA59" s="267"/>
      <c r="DB59" s="267"/>
      <c r="DC59" s="267"/>
      <c r="DD59" s="267"/>
      <c r="DE59" s="267"/>
      <c r="DF59" s="267"/>
      <c r="DG59" s="267"/>
      <c r="DH59" s="267"/>
      <c r="DI59" s="267"/>
      <c r="DJ59" s="267"/>
      <c r="DK59" s="267"/>
      <c r="DL59" s="267"/>
      <c r="DM59" s="267"/>
      <c r="DN59" s="267"/>
      <c r="DO59" s="267"/>
      <c r="DP59" s="267"/>
      <c r="DQ59" s="267"/>
      <c r="DR59" s="267"/>
      <c r="DS59" s="267"/>
      <c r="DT59" s="267"/>
      <c r="DU59" s="267"/>
      <c r="DV59" s="267"/>
      <c r="DW59" s="267"/>
      <c r="DX59" s="267"/>
      <c r="DY59" s="267"/>
      <c r="DZ59" s="267"/>
      <c r="EA59" s="267"/>
      <c r="EB59" s="267"/>
      <c r="EC59" s="267"/>
      <c r="ED59" s="267"/>
      <c r="EE59" s="267"/>
      <c r="EF59" s="267"/>
      <c r="EG59" s="267"/>
      <c r="EH59" s="267"/>
      <c r="EI59" s="267"/>
      <c r="EJ59" s="267"/>
      <c r="EK59" s="267"/>
      <c r="EL59" s="267"/>
      <c r="EM59" s="267"/>
      <c r="EN59" s="267"/>
      <c r="EO59" s="267"/>
      <c r="EP59" s="267"/>
      <c r="EQ59" s="267"/>
      <c r="ER59" s="267"/>
      <c r="ES59" s="267"/>
      <c r="ET59" s="267"/>
      <c r="EU59" s="267"/>
      <c r="EV59" s="267"/>
      <c r="EW59" s="267"/>
      <c r="EX59" s="267"/>
      <c r="EY59" s="267"/>
      <c r="EZ59" s="267"/>
      <c r="FA59" s="267"/>
      <c r="FB59" s="267"/>
      <c r="FC59" s="267"/>
      <c r="FD59" s="267"/>
      <c r="FE59" s="267"/>
      <c r="FF59" s="267"/>
      <c r="FG59" s="267"/>
      <c r="FH59" s="267"/>
      <c r="FI59" s="267"/>
      <c r="FJ59" s="267"/>
      <c r="FK59" s="267"/>
      <c r="FL59" s="267"/>
      <c r="FM59" s="267"/>
      <c r="FN59" s="267"/>
      <c r="FO59" s="267"/>
      <c r="FP59" s="267"/>
      <c r="FQ59" s="267"/>
      <c r="FR59" s="267"/>
      <c r="FS59" s="267"/>
      <c r="FT59" s="267"/>
      <c r="FU59" s="267"/>
      <c r="FV59" s="267"/>
      <c r="FW59" s="267"/>
      <c r="FX59" s="267"/>
      <c r="FY59" s="267"/>
      <c r="FZ59" s="267"/>
      <c r="GA59" s="267"/>
      <c r="GB59" s="267"/>
      <c r="GC59" s="267"/>
      <c r="GD59" s="267"/>
      <c r="GE59" s="267"/>
      <c r="GF59" s="267"/>
      <c r="GG59" s="267"/>
      <c r="GH59" s="267"/>
      <c r="GI59" s="267"/>
      <c r="GJ59" s="267"/>
      <c r="GK59" s="267"/>
      <c r="GL59" s="267"/>
      <c r="GM59" s="267"/>
      <c r="GN59" s="267"/>
      <c r="GO59" s="267"/>
      <c r="GP59" s="267"/>
      <c r="GQ59" s="267"/>
      <c r="GR59" s="267"/>
      <c r="GS59" s="267"/>
      <c r="GT59" s="267"/>
      <c r="GU59" s="267"/>
      <c r="GV59" s="267"/>
      <c r="GW59" s="267"/>
      <c r="GX59" s="267"/>
      <c r="GY59" s="267"/>
      <c r="GZ59" s="267"/>
      <c r="HA59" s="267"/>
      <c r="HB59" s="267"/>
      <c r="HC59" s="267"/>
      <c r="HD59" s="267"/>
      <c r="HE59" s="267"/>
      <c r="HF59" s="267"/>
      <c r="HG59" s="267"/>
      <c r="HH59" s="267"/>
      <c r="HI59" s="267"/>
      <c r="HJ59" s="267"/>
      <c r="HK59" s="267"/>
      <c r="HL59" s="267"/>
      <c r="HM59" s="267"/>
      <c r="HN59" s="267"/>
      <c r="HO59" s="267"/>
      <c r="HP59" s="267"/>
      <c r="HQ59" s="267"/>
      <c r="HR59" s="267"/>
      <c r="HS59" s="267"/>
      <c r="HT59" s="267"/>
      <c r="HU59" s="267"/>
      <c r="HV59" s="267"/>
      <c r="HW59" s="267"/>
      <c r="HX59" s="267"/>
      <c r="HY59" s="267"/>
      <c r="HZ59" s="267"/>
      <c r="IA59" s="267"/>
      <c r="IB59" s="267"/>
      <c r="IC59" s="267"/>
      <c r="ID59" s="267"/>
      <c r="IE59" s="267"/>
      <c r="IF59" s="267"/>
      <c r="IG59" s="267"/>
      <c r="IH59" s="267"/>
      <c r="II59" s="267"/>
      <c r="IJ59" s="267"/>
      <c r="IK59" s="267"/>
      <c r="IL59" s="267"/>
      <c r="IM59" s="267"/>
      <c r="IN59" s="267"/>
      <c r="IO59" s="267"/>
      <c r="IP59" s="267"/>
      <c r="IQ59" s="267"/>
      <c r="IR59" s="267"/>
      <c r="IS59" s="267"/>
      <c r="IT59" s="267"/>
      <c r="IU59" s="267"/>
      <c r="IV59" s="267"/>
      <c r="IW59" s="267"/>
    </row>
    <row r="60" customFormat="false" ht="12" hidden="false" customHeight="true" outlineLevel="0" collapsed="false">
      <c r="A60" s="271"/>
      <c r="B60" s="271"/>
      <c r="C60" s="284"/>
      <c r="D60" s="284"/>
      <c r="E60" s="28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84"/>
      <c r="R60" s="284"/>
      <c r="S60" s="284"/>
      <c r="T60" s="284"/>
      <c r="U60" s="284"/>
      <c r="V60" s="284"/>
      <c r="W60" s="284"/>
      <c r="X60" s="284"/>
      <c r="Y60" s="284"/>
      <c r="Z60" s="346"/>
      <c r="AA60" s="291"/>
      <c r="AB60" s="284"/>
      <c r="AC60" s="265"/>
      <c r="AD60" s="303"/>
      <c r="AE60" s="266"/>
      <c r="AF60" s="266"/>
      <c r="AG60" s="266"/>
      <c r="AH60" s="266"/>
      <c r="AI60" s="266"/>
      <c r="AJ60" s="266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267"/>
      <c r="BD60" s="267"/>
      <c r="BE60" s="267"/>
      <c r="BF60" s="267"/>
      <c r="BG60" s="267"/>
      <c r="BH60" s="267"/>
      <c r="BI60" s="267"/>
      <c r="BJ60" s="267"/>
      <c r="BK60" s="267"/>
      <c r="BL60" s="267"/>
      <c r="BM60" s="267"/>
      <c r="BN60" s="267"/>
      <c r="BO60" s="267"/>
      <c r="BP60" s="267"/>
      <c r="BQ60" s="267"/>
      <c r="BR60" s="267"/>
      <c r="BS60" s="267"/>
      <c r="BT60" s="267"/>
      <c r="BU60" s="267"/>
      <c r="BV60" s="267"/>
      <c r="BW60" s="267"/>
      <c r="BX60" s="267"/>
      <c r="BY60" s="267"/>
      <c r="BZ60" s="267"/>
      <c r="CA60" s="267"/>
      <c r="CB60" s="267"/>
      <c r="CC60" s="267"/>
      <c r="CD60" s="267"/>
      <c r="CE60" s="267"/>
      <c r="CF60" s="267"/>
      <c r="CG60" s="267"/>
      <c r="CH60" s="267"/>
      <c r="CI60" s="267"/>
      <c r="CJ60" s="267"/>
      <c r="CK60" s="267"/>
      <c r="CL60" s="267"/>
      <c r="CM60" s="267"/>
      <c r="CN60" s="267"/>
      <c r="CO60" s="267"/>
      <c r="CP60" s="267"/>
      <c r="CQ60" s="267"/>
      <c r="CR60" s="267"/>
      <c r="CS60" s="267"/>
      <c r="CT60" s="267"/>
      <c r="CU60" s="267"/>
      <c r="CV60" s="267"/>
      <c r="CW60" s="267"/>
      <c r="CX60" s="267"/>
      <c r="CY60" s="267"/>
      <c r="CZ60" s="267"/>
      <c r="DA60" s="267"/>
      <c r="DB60" s="267"/>
      <c r="DC60" s="267"/>
      <c r="DD60" s="267"/>
      <c r="DE60" s="267"/>
      <c r="DF60" s="267"/>
      <c r="DG60" s="267"/>
      <c r="DH60" s="267"/>
      <c r="DI60" s="267"/>
      <c r="DJ60" s="267"/>
      <c r="DK60" s="267"/>
      <c r="DL60" s="267"/>
      <c r="DM60" s="267"/>
      <c r="DN60" s="267"/>
      <c r="DO60" s="267"/>
      <c r="DP60" s="267"/>
      <c r="DQ60" s="267"/>
      <c r="DR60" s="267"/>
      <c r="DS60" s="267"/>
      <c r="DT60" s="267"/>
      <c r="DU60" s="267"/>
      <c r="DV60" s="267"/>
      <c r="DW60" s="267"/>
      <c r="DX60" s="267"/>
      <c r="DY60" s="267"/>
      <c r="DZ60" s="267"/>
      <c r="EA60" s="267"/>
      <c r="EB60" s="267"/>
      <c r="EC60" s="267"/>
      <c r="ED60" s="267"/>
      <c r="EE60" s="267"/>
      <c r="EF60" s="267"/>
      <c r="EG60" s="267"/>
      <c r="EH60" s="267"/>
      <c r="EI60" s="267"/>
      <c r="EJ60" s="267"/>
      <c r="EK60" s="267"/>
      <c r="EL60" s="267"/>
      <c r="EM60" s="267"/>
      <c r="EN60" s="267"/>
      <c r="EO60" s="267"/>
      <c r="EP60" s="267"/>
      <c r="EQ60" s="267"/>
      <c r="ER60" s="267"/>
      <c r="ES60" s="267"/>
      <c r="ET60" s="267"/>
      <c r="EU60" s="267"/>
      <c r="EV60" s="267"/>
      <c r="EW60" s="267"/>
      <c r="EX60" s="267"/>
      <c r="EY60" s="267"/>
      <c r="EZ60" s="267"/>
      <c r="FA60" s="267"/>
      <c r="FB60" s="267"/>
      <c r="FC60" s="267"/>
      <c r="FD60" s="267"/>
      <c r="FE60" s="267"/>
      <c r="FF60" s="267"/>
      <c r="FG60" s="267"/>
      <c r="FH60" s="267"/>
      <c r="FI60" s="267"/>
      <c r="FJ60" s="267"/>
      <c r="FK60" s="267"/>
      <c r="FL60" s="267"/>
      <c r="FM60" s="267"/>
      <c r="FN60" s="267"/>
      <c r="FO60" s="267"/>
      <c r="FP60" s="267"/>
      <c r="FQ60" s="267"/>
      <c r="FR60" s="267"/>
      <c r="FS60" s="267"/>
      <c r="FT60" s="267"/>
      <c r="FU60" s="267"/>
      <c r="FV60" s="267"/>
      <c r="FW60" s="267"/>
      <c r="FX60" s="267"/>
      <c r="FY60" s="267"/>
      <c r="FZ60" s="267"/>
      <c r="GA60" s="267"/>
      <c r="GB60" s="267"/>
      <c r="GC60" s="267"/>
      <c r="GD60" s="267"/>
      <c r="GE60" s="267"/>
      <c r="GF60" s="267"/>
      <c r="GG60" s="267"/>
      <c r="GH60" s="267"/>
      <c r="GI60" s="267"/>
      <c r="GJ60" s="267"/>
      <c r="GK60" s="267"/>
      <c r="GL60" s="267"/>
      <c r="GM60" s="267"/>
      <c r="GN60" s="267"/>
      <c r="GO60" s="267"/>
      <c r="GP60" s="267"/>
      <c r="GQ60" s="267"/>
      <c r="GR60" s="267"/>
      <c r="GS60" s="267"/>
      <c r="GT60" s="267"/>
      <c r="GU60" s="267"/>
      <c r="GV60" s="267"/>
      <c r="GW60" s="267"/>
      <c r="GX60" s="267"/>
      <c r="GY60" s="267"/>
      <c r="GZ60" s="267"/>
      <c r="HA60" s="267"/>
      <c r="HB60" s="267"/>
      <c r="HC60" s="267"/>
      <c r="HD60" s="267"/>
      <c r="HE60" s="267"/>
      <c r="HF60" s="267"/>
      <c r="HG60" s="267"/>
      <c r="HH60" s="267"/>
      <c r="HI60" s="267"/>
      <c r="HJ60" s="267"/>
      <c r="HK60" s="267"/>
      <c r="HL60" s="267"/>
      <c r="HM60" s="267"/>
      <c r="HN60" s="267"/>
      <c r="HO60" s="267"/>
      <c r="HP60" s="267"/>
      <c r="HQ60" s="267"/>
      <c r="HR60" s="267"/>
      <c r="HS60" s="267"/>
      <c r="HT60" s="267"/>
      <c r="HU60" s="267"/>
      <c r="HV60" s="267"/>
      <c r="HW60" s="267"/>
      <c r="HX60" s="267"/>
      <c r="HY60" s="267"/>
      <c r="HZ60" s="267"/>
      <c r="IA60" s="267"/>
      <c r="IB60" s="267"/>
      <c r="IC60" s="267"/>
      <c r="ID60" s="267"/>
      <c r="IE60" s="267"/>
      <c r="IF60" s="267"/>
      <c r="IG60" s="267"/>
      <c r="IH60" s="267"/>
      <c r="II60" s="267"/>
      <c r="IJ60" s="267"/>
      <c r="IK60" s="267"/>
      <c r="IL60" s="267"/>
      <c r="IM60" s="267"/>
      <c r="IN60" s="267"/>
      <c r="IO60" s="267"/>
      <c r="IP60" s="267"/>
      <c r="IQ60" s="267"/>
      <c r="IR60" s="267"/>
      <c r="IS60" s="267"/>
      <c r="IT60" s="267"/>
      <c r="IU60" s="267"/>
      <c r="IV60" s="267"/>
      <c r="IW60" s="267"/>
    </row>
    <row r="61" customFormat="false" ht="12" hidden="false" customHeight="true" outlineLevel="0" collapsed="false">
      <c r="A61" s="276"/>
      <c r="B61" s="277"/>
      <c r="C61" s="279" t="s">
        <v>26</v>
      </c>
      <c r="D61" s="298" t="n">
        <f aca="false">'E. VaR &amp; Peak Pos By Trader'!E61</f>
        <v>3000000</v>
      </c>
      <c r="E61" s="279"/>
      <c r="F61" s="281"/>
      <c r="G61" s="281"/>
      <c r="H61" s="281"/>
      <c r="I61" s="281" t="s">
        <v>117</v>
      </c>
      <c r="J61" s="281"/>
      <c r="K61" s="281"/>
      <c r="L61" s="281"/>
      <c r="M61" s="281"/>
      <c r="N61" s="281"/>
      <c r="O61" s="281"/>
      <c r="P61" s="281"/>
      <c r="Q61" s="298"/>
      <c r="R61" s="298"/>
      <c r="S61" s="281"/>
      <c r="T61" s="281"/>
      <c r="U61" s="281"/>
      <c r="V61" s="281"/>
      <c r="W61" s="281"/>
      <c r="X61" s="281"/>
      <c r="Y61" s="279"/>
      <c r="Z61" s="279"/>
      <c r="AA61" s="280"/>
      <c r="AB61" s="279"/>
      <c r="AC61" s="265"/>
      <c r="AD61" s="303"/>
      <c r="AE61" s="266"/>
      <c r="AF61" s="266"/>
      <c r="AG61" s="266"/>
      <c r="AH61" s="266"/>
      <c r="AI61" s="266"/>
      <c r="AJ61" s="266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7"/>
      <c r="BE61" s="267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267"/>
      <c r="BS61" s="267"/>
      <c r="BT61" s="267"/>
      <c r="BU61" s="267"/>
      <c r="BV61" s="267"/>
      <c r="BW61" s="267"/>
      <c r="BX61" s="267"/>
      <c r="BY61" s="267"/>
      <c r="BZ61" s="267"/>
      <c r="CA61" s="267"/>
      <c r="CB61" s="267"/>
      <c r="CC61" s="267"/>
      <c r="CD61" s="267"/>
      <c r="CE61" s="267"/>
      <c r="CF61" s="267"/>
      <c r="CG61" s="267"/>
      <c r="CH61" s="267"/>
      <c r="CI61" s="267"/>
      <c r="CJ61" s="267"/>
      <c r="CK61" s="267"/>
      <c r="CL61" s="267"/>
      <c r="CM61" s="267"/>
      <c r="CN61" s="267"/>
      <c r="CO61" s="267"/>
      <c r="CP61" s="267"/>
      <c r="CQ61" s="267"/>
      <c r="CR61" s="267"/>
      <c r="CS61" s="267"/>
      <c r="CT61" s="267"/>
      <c r="CU61" s="267"/>
      <c r="CV61" s="267"/>
      <c r="CW61" s="267"/>
      <c r="CX61" s="267"/>
      <c r="CY61" s="267"/>
      <c r="CZ61" s="267"/>
      <c r="DA61" s="267"/>
      <c r="DB61" s="267"/>
      <c r="DC61" s="267"/>
      <c r="DD61" s="267"/>
      <c r="DE61" s="267"/>
      <c r="DF61" s="267"/>
      <c r="DG61" s="267"/>
      <c r="DH61" s="267"/>
      <c r="DI61" s="267"/>
      <c r="DJ61" s="267"/>
      <c r="DK61" s="267"/>
      <c r="DL61" s="267"/>
      <c r="DM61" s="267"/>
      <c r="DN61" s="267"/>
      <c r="DO61" s="267"/>
      <c r="DP61" s="267"/>
      <c r="DQ61" s="267"/>
      <c r="DR61" s="267"/>
      <c r="DS61" s="267"/>
      <c r="DT61" s="267"/>
      <c r="DU61" s="267"/>
      <c r="DV61" s="267"/>
      <c r="DW61" s="267"/>
      <c r="DX61" s="267"/>
      <c r="DY61" s="267"/>
      <c r="DZ61" s="267"/>
      <c r="EA61" s="267"/>
      <c r="EB61" s="267"/>
      <c r="EC61" s="267"/>
      <c r="ED61" s="267"/>
      <c r="EE61" s="267"/>
      <c r="EF61" s="267"/>
      <c r="EG61" s="267"/>
      <c r="EH61" s="267"/>
      <c r="EI61" s="267"/>
      <c r="EJ61" s="267"/>
      <c r="EK61" s="267"/>
      <c r="EL61" s="267"/>
      <c r="EM61" s="267"/>
      <c r="EN61" s="267"/>
      <c r="EO61" s="267"/>
      <c r="EP61" s="267"/>
      <c r="EQ61" s="267"/>
      <c r="ER61" s="267"/>
      <c r="ES61" s="267"/>
      <c r="ET61" s="267"/>
      <c r="EU61" s="267"/>
      <c r="EV61" s="267"/>
      <c r="EW61" s="267"/>
      <c r="EX61" s="267"/>
      <c r="EY61" s="267"/>
      <c r="EZ61" s="267"/>
      <c r="FA61" s="267"/>
      <c r="FB61" s="267"/>
      <c r="FC61" s="267"/>
      <c r="FD61" s="267"/>
      <c r="FE61" s="267"/>
      <c r="FF61" s="267"/>
      <c r="FG61" s="267"/>
      <c r="FH61" s="267"/>
      <c r="FI61" s="267"/>
      <c r="FJ61" s="267"/>
      <c r="FK61" s="267"/>
      <c r="FL61" s="267"/>
      <c r="FM61" s="267"/>
      <c r="FN61" s="267"/>
      <c r="FO61" s="267"/>
      <c r="FP61" s="267"/>
      <c r="FQ61" s="267"/>
      <c r="FR61" s="267"/>
      <c r="FS61" s="267"/>
      <c r="FT61" s="267"/>
      <c r="FU61" s="267"/>
      <c r="FV61" s="267"/>
      <c r="FW61" s="267"/>
      <c r="FX61" s="267"/>
      <c r="FY61" s="267"/>
      <c r="FZ61" s="267"/>
      <c r="GA61" s="267"/>
      <c r="GB61" s="267"/>
      <c r="GC61" s="267"/>
      <c r="GD61" s="267"/>
      <c r="GE61" s="267"/>
      <c r="GF61" s="267"/>
      <c r="GG61" s="267"/>
      <c r="GH61" s="267"/>
      <c r="GI61" s="267"/>
      <c r="GJ61" s="267"/>
      <c r="GK61" s="267"/>
      <c r="GL61" s="267"/>
      <c r="GM61" s="267"/>
      <c r="GN61" s="267"/>
      <c r="GO61" s="267"/>
      <c r="GP61" s="267"/>
      <c r="GQ61" s="267"/>
      <c r="GR61" s="267"/>
      <c r="GS61" s="267"/>
      <c r="GT61" s="267"/>
      <c r="GU61" s="267"/>
      <c r="GV61" s="267"/>
      <c r="GW61" s="267"/>
      <c r="GX61" s="267"/>
      <c r="GY61" s="267"/>
      <c r="GZ61" s="267"/>
      <c r="HA61" s="267"/>
      <c r="HB61" s="267"/>
      <c r="HC61" s="267"/>
      <c r="HD61" s="267"/>
      <c r="HE61" s="267"/>
      <c r="HF61" s="267"/>
      <c r="HG61" s="267"/>
      <c r="HH61" s="267"/>
      <c r="HI61" s="267"/>
      <c r="HJ61" s="267"/>
      <c r="HK61" s="267"/>
      <c r="HL61" s="267"/>
      <c r="HM61" s="267"/>
      <c r="HN61" s="267"/>
      <c r="HO61" s="267"/>
      <c r="HP61" s="267"/>
      <c r="HQ61" s="267"/>
      <c r="HR61" s="267"/>
      <c r="HS61" s="267"/>
      <c r="HT61" s="267"/>
      <c r="HU61" s="267"/>
      <c r="HV61" s="267"/>
      <c r="HW61" s="267"/>
      <c r="HX61" s="267"/>
      <c r="HY61" s="267"/>
      <c r="HZ61" s="267"/>
      <c r="IA61" s="267"/>
      <c r="IB61" s="267"/>
      <c r="IC61" s="267"/>
      <c r="ID61" s="267"/>
      <c r="IE61" s="267"/>
      <c r="IF61" s="267"/>
      <c r="IG61" s="267"/>
      <c r="IH61" s="267"/>
      <c r="II61" s="267"/>
      <c r="IJ61" s="267"/>
      <c r="IK61" s="267"/>
      <c r="IL61" s="267"/>
      <c r="IM61" s="267"/>
      <c r="IN61" s="267"/>
      <c r="IO61" s="267"/>
      <c r="IP61" s="267"/>
      <c r="IQ61" s="267"/>
      <c r="IR61" s="267"/>
      <c r="IS61" s="267"/>
      <c r="IT61" s="267"/>
      <c r="IU61" s="267"/>
      <c r="IV61" s="267"/>
      <c r="IW61" s="267"/>
    </row>
    <row r="62" customFormat="false" ht="12" hidden="false" customHeight="true" outlineLevel="0" collapsed="false">
      <c r="A62" s="294"/>
      <c r="B62" s="272"/>
      <c r="C62" s="302"/>
      <c r="D62" s="305"/>
      <c r="E62" s="315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347"/>
      <c r="R62" s="348"/>
      <c r="S62" s="349"/>
      <c r="T62" s="349"/>
      <c r="U62" s="349"/>
      <c r="V62" s="349"/>
      <c r="W62" s="349"/>
      <c r="X62" s="350"/>
      <c r="Y62" s="347"/>
      <c r="Z62" s="347"/>
      <c r="AA62" s="284"/>
      <c r="AB62" s="302"/>
      <c r="AC62" s="265"/>
      <c r="AD62" s="303"/>
      <c r="AE62" s="266"/>
      <c r="AF62" s="266"/>
      <c r="AG62" s="266"/>
      <c r="AH62" s="266"/>
      <c r="AI62" s="266"/>
      <c r="AJ62" s="266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  <c r="BA62" s="267"/>
      <c r="BB62" s="267"/>
      <c r="BC62" s="267"/>
      <c r="BD62" s="267"/>
      <c r="BE62" s="267"/>
      <c r="BF62" s="267"/>
      <c r="BG62" s="267"/>
      <c r="BH62" s="267"/>
      <c r="BI62" s="267"/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67"/>
      <c r="BX62" s="267"/>
      <c r="BY62" s="267"/>
      <c r="BZ62" s="267"/>
      <c r="CA62" s="267"/>
      <c r="CB62" s="267"/>
      <c r="CC62" s="267"/>
      <c r="CD62" s="267"/>
      <c r="CE62" s="267"/>
      <c r="CF62" s="267"/>
      <c r="CG62" s="267"/>
      <c r="CH62" s="267"/>
      <c r="CI62" s="267"/>
      <c r="CJ62" s="267"/>
      <c r="CK62" s="267"/>
      <c r="CL62" s="267"/>
      <c r="CM62" s="267"/>
      <c r="CN62" s="267"/>
      <c r="CO62" s="267"/>
      <c r="CP62" s="267"/>
      <c r="CQ62" s="267"/>
      <c r="CR62" s="267"/>
      <c r="CS62" s="267"/>
      <c r="CT62" s="267"/>
      <c r="CU62" s="267"/>
      <c r="CV62" s="267"/>
      <c r="CW62" s="267"/>
      <c r="CX62" s="267"/>
      <c r="CY62" s="267"/>
      <c r="CZ62" s="267"/>
      <c r="DA62" s="267"/>
      <c r="DB62" s="267"/>
      <c r="DC62" s="267"/>
      <c r="DD62" s="267"/>
      <c r="DE62" s="267"/>
      <c r="DF62" s="267"/>
      <c r="DG62" s="267"/>
      <c r="DH62" s="267"/>
      <c r="DI62" s="267"/>
      <c r="DJ62" s="267"/>
      <c r="DK62" s="267"/>
      <c r="DL62" s="267"/>
      <c r="DM62" s="267"/>
      <c r="DN62" s="267"/>
      <c r="DO62" s="267"/>
      <c r="DP62" s="267"/>
      <c r="DQ62" s="267"/>
      <c r="DR62" s="267"/>
      <c r="DS62" s="267"/>
      <c r="DT62" s="267"/>
      <c r="DU62" s="267"/>
      <c r="DV62" s="267"/>
      <c r="DW62" s="267"/>
      <c r="DX62" s="267"/>
      <c r="DY62" s="267"/>
      <c r="DZ62" s="267"/>
      <c r="EA62" s="267"/>
      <c r="EB62" s="267"/>
      <c r="EC62" s="267"/>
      <c r="ED62" s="267"/>
      <c r="EE62" s="267"/>
      <c r="EF62" s="267"/>
      <c r="EG62" s="267"/>
      <c r="EH62" s="267"/>
      <c r="EI62" s="267"/>
      <c r="EJ62" s="267"/>
      <c r="EK62" s="267"/>
      <c r="EL62" s="267"/>
      <c r="EM62" s="267"/>
      <c r="EN62" s="267"/>
      <c r="EO62" s="267"/>
      <c r="EP62" s="267"/>
      <c r="EQ62" s="267"/>
      <c r="ER62" s="267"/>
      <c r="ES62" s="267"/>
      <c r="ET62" s="267"/>
      <c r="EU62" s="267"/>
      <c r="EV62" s="267"/>
      <c r="EW62" s="267"/>
      <c r="EX62" s="267"/>
      <c r="EY62" s="267"/>
      <c r="EZ62" s="267"/>
      <c r="FA62" s="267"/>
      <c r="FB62" s="267"/>
      <c r="FC62" s="267"/>
      <c r="FD62" s="267"/>
      <c r="FE62" s="267"/>
      <c r="FF62" s="267"/>
      <c r="FG62" s="267"/>
      <c r="FH62" s="267"/>
      <c r="FI62" s="267"/>
      <c r="FJ62" s="267"/>
      <c r="FK62" s="267"/>
      <c r="FL62" s="267"/>
      <c r="FM62" s="267"/>
      <c r="FN62" s="267"/>
      <c r="FO62" s="267"/>
      <c r="FP62" s="267"/>
      <c r="FQ62" s="267"/>
      <c r="FR62" s="267"/>
      <c r="FS62" s="267"/>
      <c r="FT62" s="267"/>
      <c r="FU62" s="267"/>
      <c r="FV62" s="267"/>
      <c r="FW62" s="267"/>
      <c r="FX62" s="267"/>
      <c r="FY62" s="267"/>
      <c r="FZ62" s="267"/>
      <c r="GA62" s="267"/>
      <c r="GB62" s="267"/>
      <c r="GC62" s="267"/>
      <c r="GD62" s="267"/>
      <c r="GE62" s="267"/>
      <c r="GF62" s="267"/>
      <c r="GG62" s="267"/>
      <c r="GH62" s="267"/>
      <c r="GI62" s="267"/>
      <c r="GJ62" s="267"/>
      <c r="GK62" s="267"/>
      <c r="GL62" s="267"/>
      <c r="GM62" s="267"/>
      <c r="GN62" s="267"/>
      <c r="GO62" s="267"/>
      <c r="GP62" s="267"/>
      <c r="GQ62" s="267"/>
      <c r="GR62" s="267"/>
      <c r="GS62" s="267"/>
      <c r="GT62" s="267"/>
      <c r="GU62" s="267"/>
      <c r="GV62" s="267"/>
      <c r="GW62" s="267"/>
      <c r="GX62" s="267"/>
      <c r="GY62" s="267"/>
      <c r="GZ62" s="267"/>
      <c r="HA62" s="267"/>
      <c r="HB62" s="267"/>
      <c r="HC62" s="267"/>
      <c r="HD62" s="267"/>
      <c r="HE62" s="267"/>
      <c r="HF62" s="267"/>
      <c r="HG62" s="267"/>
      <c r="HH62" s="267"/>
      <c r="HI62" s="267"/>
      <c r="HJ62" s="267"/>
      <c r="HK62" s="267"/>
      <c r="HL62" s="267"/>
      <c r="HM62" s="267"/>
      <c r="HN62" s="267"/>
      <c r="HO62" s="267"/>
      <c r="HP62" s="267"/>
      <c r="HQ62" s="267"/>
      <c r="HR62" s="267"/>
      <c r="HS62" s="267"/>
      <c r="HT62" s="267"/>
      <c r="HU62" s="267"/>
      <c r="HV62" s="267"/>
      <c r="HW62" s="267"/>
      <c r="HX62" s="267"/>
      <c r="HY62" s="267"/>
      <c r="HZ62" s="267"/>
      <c r="IA62" s="267"/>
      <c r="IB62" s="267"/>
      <c r="IC62" s="267"/>
      <c r="ID62" s="267"/>
      <c r="IE62" s="267"/>
      <c r="IF62" s="267"/>
      <c r="IG62" s="267"/>
      <c r="IH62" s="267"/>
      <c r="II62" s="267"/>
      <c r="IJ62" s="267"/>
      <c r="IK62" s="267"/>
      <c r="IL62" s="267"/>
      <c r="IM62" s="267"/>
      <c r="IN62" s="267"/>
      <c r="IO62" s="267"/>
      <c r="IP62" s="267"/>
      <c r="IQ62" s="267"/>
      <c r="IR62" s="267"/>
      <c r="IS62" s="267"/>
      <c r="IT62" s="267"/>
      <c r="IU62" s="267"/>
      <c r="IV62" s="267"/>
      <c r="IW62" s="267"/>
    </row>
    <row r="63" customFormat="false" ht="12" hidden="false" customHeight="true" outlineLevel="0" collapsed="false">
      <c r="A63" s="294" t="s">
        <v>118</v>
      </c>
      <c r="B63" s="271" t="s">
        <v>119</v>
      </c>
      <c r="C63" s="302" t="s">
        <v>121</v>
      </c>
      <c r="D63" s="305" t="n">
        <f aca="false">'E. VaR &amp; Peak Pos By Trader'!E63</f>
        <v>993392.697123133</v>
      </c>
      <c r="E63" s="315" t="n">
        <f aca="false">'E. VaR &amp; Peak Pos By Trader'!F63</f>
        <v>-45681.2124099369</v>
      </c>
      <c r="F63" s="274" t="n">
        <f aca="false">VLOOKUP($B63,'[3]Delta Monthly'!$A$1:$AW$55,5,1)</f>
        <v>0</v>
      </c>
      <c r="G63" s="274" t="n">
        <f aca="false">VLOOKUP($B63,'[3]Delta Monthly'!$A$1:$AW$55,7,1)</f>
        <v>0</v>
      </c>
      <c r="H63" s="274" t="n">
        <f aca="false">VLOOKUP($B63,'[3]Delta Monthly'!$A$1:$AW$55,9,1)</f>
        <v>0</v>
      </c>
      <c r="I63" s="274" t="n">
        <f aca="false">VLOOKUP($B63,'[3]Delta Monthly'!$A$1:$AW$55,11,0)</f>
        <v>0</v>
      </c>
      <c r="J63" s="274" t="n">
        <f aca="false">VLOOKUP($B63,'[3]Delta Monthly'!$A$1:$AW$55,13,0)</f>
        <v>0</v>
      </c>
      <c r="K63" s="274" t="n">
        <f aca="false">VLOOKUP($B63,'[3]Delta Monthly'!$A$1:$AW$55,15,0)</f>
        <v>0</v>
      </c>
      <c r="L63" s="274" t="n">
        <f aca="false">+VLOOKUP($B63,'[3]Delta Monthly'!$A$1:$AW$55,17,0)</f>
        <v>0</v>
      </c>
      <c r="M63" s="274" t="n">
        <f aca="false">VLOOKUP($B63,'[3]Delta Monthly'!$A$1:$AW$55,19,0)</f>
        <v>0</v>
      </c>
      <c r="N63" s="274" t="n">
        <f aca="false">VLOOKUP($B63,'[3]Delta Monthly'!$A$1:$AW$55,21,FALSE())</f>
        <v>0</v>
      </c>
      <c r="O63" s="274" t="n">
        <f aca="false">VLOOKUP($B63,'[3]Delta Monthly'!$A$1:$AW$55,23,FALSE())</f>
        <v>0</v>
      </c>
      <c r="P63" s="274" t="n">
        <f aca="false">VLOOKUP($B63,'[3]Delta Monthly'!$A$1:$AW$55,25,FALSE())</f>
        <v>-21122.4595828265</v>
      </c>
      <c r="Q63" s="302" t="n">
        <f aca="false">SUM(F63:P63)</f>
        <v>-21122.4595828265</v>
      </c>
      <c r="R63" s="305" t="n">
        <f aca="false">VLOOKUP($B63,'[3]Delta Monthly'!$A$1:$AW$55,27,0)+VLOOKUP($B63,'[3]Delta Monthly'!$A$1:$AW$55,29,0)</f>
        <v>-110904.430458357</v>
      </c>
      <c r="S63" s="274" t="n">
        <f aca="false">VLOOKUP($B63,'[3]Delta Monthly'!$A$1:$AW$55,31,0)+VLOOKUP($B63,'[3]Delta Monthly'!$A$1:$AW$55,33,0)</f>
        <v>-115115.377527794</v>
      </c>
      <c r="T63" s="274" t="n">
        <f aca="false">VLOOKUP($B63,'[3]Delta Monthly'!$A$1:$AW$55,35,0)</f>
        <v>-58051.6230772803</v>
      </c>
      <c r="U63" s="274" t="n">
        <f aca="false">VLOOKUP($B63,'[3]Delta Monthly'!$A$1:$AW$55,37,0)</f>
        <v>-59112.8804302167</v>
      </c>
      <c r="V63" s="274" t="n">
        <f aca="false">VLOOKUP($B63,'[3]Delta Monthly'!$A$1:$AW$55,39,0)+VLOOKUP($B63,'[3]Delta Monthly'!$A$1:$AW$55,41,0)</f>
        <v>-115460.46345462</v>
      </c>
      <c r="W63" s="274" t="n">
        <f aca="false">VLOOKUP($B63,'[3]Delta Monthly'!$A$1:$AW$55,43,0)</f>
        <v>-58693.5999251073</v>
      </c>
      <c r="X63" s="274" t="n">
        <f aca="false">VLOOKUP($B63,'[3]Delta Monthly'!$A$1:$AW$55,45,0)+VLOOKUP($B63,'[3]Delta Monthly'!$A$1:$AW$55,47,0)+VLOOKUP($B63,'[3]Delta Monthly'!$A$1:$AW$55,49,0)</f>
        <v>-172918.877362655</v>
      </c>
      <c r="Y63" s="302" t="n">
        <f aca="false">SUM(R63:X63)</f>
        <v>-690257.25223603</v>
      </c>
      <c r="Z63" s="302" t="n">
        <f aca="false">VLOOKUP($B63,'[5]Delta Yearly'!$A$1:$AC$55,5,0)</f>
        <v>-443878.710463992</v>
      </c>
      <c r="AA63" s="284" t="n">
        <f aca="false">VLOOKUP($B63,'[5]Delta Yearly'!$A$1:$AC$55,7,FALSE())+VLOOKUP($B63,'[5]Delta Yearly'!$A$1:$AC$55,9,FALSE())+VLOOKUP($B63,'[5]Delta Yearly'!$A$1:$AC$55,11,FALSE())+VLOOKUP($B63,'[5]Delta Yearly'!$A$1:$AC$55,13,FALSE())+VLOOKUP($B63,'[5]Delta Yearly'!$A$1:$AC$55,15,FALSE())+VLOOKUP($B63,'[5]Delta Yearly'!$A$1:$AC$55,17,FALSE())+VLOOKUP($B63,'[5]Delta Yearly'!$A$1:$AC$55,19,FALSE())+VLOOKUP($B63,'[5]Delta Yearly'!$A$1:$AC$55,21,FALSE())+VLOOKUP($B63,'[5]Delta Yearly'!$A$1:$AC$55,23,FALSE())+VLOOKUP($B63,'[5]Delta Yearly'!$A$1:$AC$55,25,FALSE())+VLOOKUP($B63,'[5]Delta Yearly'!$A$1:$AC$55,27,FALSE())+VLOOKUP($B63,'[5]Delta Yearly'!$A$1:$AC$55,29,FALSE())</f>
        <v>1042297.0965885</v>
      </c>
      <c r="AB63" s="302" t="n">
        <f aca="false">SUM(AA63,Z63,Y63,Q63)</f>
        <v>-112961.32569435</v>
      </c>
      <c r="AC63" s="265"/>
      <c r="AD63" s="303"/>
      <c r="AE63" s="266"/>
      <c r="AF63" s="266"/>
      <c r="AG63" s="266"/>
      <c r="AH63" s="266"/>
      <c r="AI63" s="266"/>
      <c r="AJ63" s="266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267"/>
      <c r="BC63" s="267"/>
      <c r="BD63" s="267"/>
      <c r="BE63" s="267"/>
      <c r="BF63" s="267"/>
      <c r="BG63" s="267"/>
      <c r="BH63" s="267"/>
      <c r="BI63" s="267"/>
      <c r="BJ63" s="267"/>
      <c r="BK63" s="267"/>
      <c r="BL63" s="267"/>
      <c r="BM63" s="267"/>
      <c r="BN63" s="267"/>
      <c r="BO63" s="267"/>
      <c r="BP63" s="267"/>
      <c r="BQ63" s="267"/>
      <c r="BR63" s="267"/>
      <c r="BS63" s="267"/>
      <c r="BT63" s="267"/>
      <c r="BU63" s="267"/>
      <c r="BV63" s="267"/>
      <c r="BW63" s="267"/>
      <c r="BX63" s="267"/>
      <c r="BY63" s="267"/>
      <c r="BZ63" s="267"/>
      <c r="CA63" s="267"/>
      <c r="CB63" s="267"/>
      <c r="CC63" s="267"/>
      <c r="CD63" s="267"/>
      <c r="CE63" s="267"/>
      <c r="CF63" s="267"/>
      <c r="CG63" s="267"/>
      <c r="CH63" s="267"/>
      <c r="CI63" s="267"/>
      <c r="CJ63" s="267"/>
      <c r="CK63" s="267"/>
      <c r="CL63" s="267"/>
      <c r="CM63" s="267"/>
      <c r="CN63" s="267"/>
      <c r="CO63" s="267"/>
      <c r="CP63" s="267"/>
      <c r="CQ63" s="267"/>
      <c r="CR63" s="267"/>
      <c r="CS63" s="267"/>
      <c r="CT63" s="267"/>
      <c r="CU63" s="267"/>
      <c r="CV63" s="267"/>
      <c r="CW63" s="267"/>
      <c r="CX63" s="267"/>
      <c r="CY63" s="267"/>
      <c r="CZ63" s="267"/>
      <c r="DA63" s="267"/>
      <c r="DB63" s="267"/>
      <c r="DC63" s="267"/>
      <c r="DD63" s="267"/>
      <c r="DE63" s="267"/>
      <c r="DF63" s="267"/>
      <c r="DG63" s="267"/>
      <c r="DH63" s="267"/>
      <c r="DI63" s="267"/>
      <c r="DJ63" s="267"/>
      <c r="DK63" s="267"/>
      <c r="DL63" s="267"/>
      <c r="DM63" s="267"/>
      <c r="DN63" s="267"/>
      <c r="DO63" s="267"/>
      <c r="DP63" s="267"/>
      <c r="DQ63" s="267"/>
      <c r="DR63" s="267"/>
      <c r="DS63" s="267"/>
      <c r="DT63" s="267"/>
      <c r="DU63" s="267"/>
      <c r="DV63" s="267"/>
      <c r="DW63" s="267"/>
      <c r="DX63" s="267"/>
      <c r="DY63" s="267"/>
      <c r="DZ63" s="267"/>
      <c r="EA63" s="267"/>
      <c r="EB63" s="267"/>
      <c r="EC63" s="267"/>
      <c r="ED63" s="267"/>
      <c r="EE63" s="267"/>
      <c r="EF63" s="267"/>
      <c r="EG63" s="267"/>
      <c r="EH63" s="267"/>
      <c r="EI63" s="267"/>
      <c r="EJ63" s="267"/>
      <c r="EK63" s="267"/>
      <c r="EL63" s="267"/>
      <c r="EM63" s="267"/>
      <c r="EN63" s="267"/>
      <c r="EO63" s="267"/>
      <c r="EP63" s="267"/>
      <c r="EQ63" s="267"/>
      <c r="ER63" s="267"/>
      <c r="ES63" s="267"/>
      <c r="ET63" s="267"/>
      <c r="EU63" s="267"/>
      <c r="EV63" s="267"/>
      <c r="EW63" s="267"/>
      <c r="EX63" s="267"/>
      <c r="EY63" s="267"/>
      <c r="EZ63" s="267"/>
      <c r="FA63" s="267"/>
      <c r="FB63" s="267"/>
      <c r="FC63" s="267"/>
      <c r="FD63" s="267"/>
      <c r="FE63" s="267"/>
      <c r="FF63" s="267"/>
      <c r="FG63" s="267"/>
      <c r="FH63" s="267"/>
      <c r="FI63" s="267"/>
      <c r="FJ63" s="267"/>
      <c r="FK63" s="267"/>
      <c r="FL63" s="267"/>
      <c r="FM63" s="267"/>
      <c r="FN63" s="267"/>
      <c r="FO63" s="267"/>
      <c r="FP63" s="267"/>
      <c r="FQ63" s="267"/>
      <c r="FR63" s="267"/>
      <c r="FS63" s="267"/>
      <c r="FT63" s="267"/>
      <c r="FU63" s="267"/>
      <c r="FV63" s="267"/>
      <c r="FW63" s="267"/>
      <c r="FX63" s="267"/>
      <c r="FY63" s="267"/>
      <c r="FZ63" s="267"/>
      <c r="GA63" s="267"/>
      <c r="GB63" s="267"/>
      <c r="GC63" s="267"/>
      <c r="GD63" s="267"/>
      <c r="GE63" s="267"/>
      <c r="GF63" s="267"/>
      <c r="GG63" s="267"/>
      <c r="GH63" s="267"/>
      <c r="GI63" s="267"/>
      <c r="GJ63" s="267"/>
      <c r="GK63" s="267"/>
      <c r="GL63" s="267"/>
      <c r="GM63" s="267"/>
      <c r="GN63" s="267"/>
      <c r="GO63" s="267"/>
      <c r="GP63" s="267"/>
      <c r="GQ63" s="267"/>
      <c r="GR63" s="267"/>
      <c r="GS63" s="267"/>
      <c r="GT63" s="267"/>
      <c r="GU63" s="267"/>
      <c r="GV63" s="267"/>
      <c r="GW63" s="267"/>
      <c r="GX63" s="267"/>
      <c r="GY63" s="267"/>
      <c r="GZ63" s="267"/>
      <c r="HA63" s="267"/>
      <c r="HB63" s="267"/>
      <c r="HC63" s="267"/>
      <c r="HD63" s="267"/>
      <c r="HE63" s="267"/>
      <c r="HF63" s="267"/>
      <c r="HG63" s="267"/>
      <c r="HH63" s="267"/>
      <c r="HI63" s="267"/>
      <c r="HJ63" s="267"/>
      <c r="HK63" s="267"/>
      <c r="HL63" s="267"/>
      <c r="HM63" s="267"/>
      <c r="HN63" s="267"/>
      <c r="HO63" s="267"/>
      <c r="HP63" s="267"/>
      <c r="HQ63" s="267"/>
      <c r="HR63" s="267"/>
      <c r="HS63" s="267"/>
      <c r="HT63" s="267"/>
      <c r="HU63" s="267"/>
      <c r="HV63" s="267"/>
      <c r="HW63" s="267"/>
      <c r="HX63" s="267"/>
      <c r="HY63" s="267"/>
      <c r="HZ63" s="267"/>
      <c r="IA63" s="267"/>
      <c r="IB63" s="267"/>
      <c r="IC63" s="267"/>
      <c r="ID63" s="267"/>
      <c r="IE63" s="267"/>
      <c r="IF63" s="267"/>
      <c r="IG63" s="267"/>
      <c r="IH63" s="267"/>
      <c r="II63" s="267"/>
      <c r="IJ63" s="267"/>
      <c r="IK63" s="267"/>
      <c r="IL63" s="267"/>
      <c r="IM63" s="267"/>
      <c r="IN63" s="267"/>
      <c r="IO63" s="267"/>
      <c r="IP63" s="267"/>
      <c r="IQ63" s="267"/>
      <c r="IR63" s="267"/>
      <c r="IS63" s="267"/>
      <c r="IT63" s="267"/>
      <c r="IU63" s="267"/>
      <c r="IV63" s="267"/>
      <c r="IW63" s="267"/>
    </row>
    <row r="64" customFormat="false" ht="12" hidden="false" customHeight="true" outlineLevel="0" collapsed="false">
      <c r="A64" s="294"/>
      <c r="B64" s="272"/>
      <c r="C64" s="302"/>
      <c r="D64" s="305"/>
      <c r="E64" s="315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347"/>
      <c r="R64" s="348"/>
      <c r="S64" s="349"/>
      <c r="T64" s="349"/>
      <c r="U64" s="349"/>
      <c r="V64" s="349"/>
      <c r="W64" s="349"/>
      <c r="X64" s="349"/>
      <c r="Y64" s="347"/>
      <c r="Z64" s="347"/>
      <c r="AA64" s="284"/>
      <c r="AB64" s="302"/>
      <c r="AC64" s="265"/>
      <c r="AD64" s="303"/>
      <c r="AE64" s="266"/>
      <c r="AF64" s="266"/>
      <c r="AG64" s="266"/>
      <c r="AH64" s="266"/>
      <c r="AI64" s="266"/>
      <c r="AJ64" s="266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7"/>
      <c r="AV64" s="267"/>
      <c r="AW64" s="267"/>
      <c r="AX64" s="267"/>
      <c r="AY64" s="267"/>
      <c r="AZ64" s="267"/>
      <c r="BA64" s="267"/>
      <c r="BB64" s="267"/>
      <c r="BC64" s="267"/>
      <c r="BD64" s="267"/>
      <c r="BE64" s="267"/>
      <c r="BF64" s="267"/>
      <c r="BG64" s="267"/>
      <c r="BH64" s="267"/>
      <c r="BI64" s="267"/>
      <c r="BJ64" s="267"/>
      <c r="BK64" s="267"/>
      <c r="BL64" s="267"/>
      <c r="BM64" s="267"/>
      <c r="BN64" s="267"/>
      <c r="BO64" s="267"/>
      <c r="BP64" s="267"/>
      <c r="BQ64" s="267"/>
      <c r="BR64" s="267"/>
      <c r="BS64" s="267"/>
      <c r="BT64" s="267"/>
      <c r="BU64" s="267"/>
      <c r="BV64" s="267"/>
      <c r="BW64" s="267"/>
      <c r="BX64" s="267"/>
      <c r="BY64" s="267"/>
      <c r="BZ64" s="267"/>
      <c r="CA64" s="267"/>
      <c r="CB64" s="267"/>
      <c r="CC64" s="267"/>
      <c r="CD64" s="267"/>
      <c r="CE64" s="267"/>
      <c r="CF64" s="267"/>
      <c r="CG64" s="267"/>
      <c r="CH64" s="267"/>
      <c r="CI64" s="267"/>
      <c r="CJ64" s="267"/>
      <c r="CK64" s="267"/>
      <c r="CL64" s="267"/>
      <c r="CM64" s="267"/>
      <c r="CN64" s="267"/>
      <c r="CO64" s="267"/>
      <c r="CP64" s="267"/>
      <c r="CQ64" s="267"/>
      <c r="CR64" s="267"/>
      <c r="CS64" s="267"/>
      <c r="CT64" s="267"/>
      <c r="CU64" s="267"/>
      <c r="CV64" s="267"/>
      <c r="CW64" s="267"/>
      <c r="CX64" s="267"/>
      <c r="CY64" s="267"/>
      <c r="CZ64" s="267"/>
      <c r="DA64" s="267"/>
      <c r="DB64" s="267"/>
      <c r="DC64" s="267"/>
      <c r="DD64" s="267"/>
      <c r="DE64" s="267"/>
      <c r="DF64" s="267"/>
      <c r="DG64" s="267"/>
      <c r="DH64" s="267"/>
      <c r="DI64" s="267"/>
      <c r="DJ64" s="267"/>
      <c r="DK64" s="267"/>
      <c r="DL64" s="267"/>
      <c r="DM64" s="267"/>
      <c r="DN64" s="267"/>
      <c r="DO64" s="267"/>
      <c r="DP64" s="267"/>
      <c r="DQ64" s="267"/>
      <c r="DR64" s="267"/>
      <c r="DS64" s="267"/>
      <c r="DT64" s="267"/>
      <c r="DU64" s="267"/>
      <c r="DV64" s="267"/>
      <c r="DW64" s="267"/>
      <c r="DX64" s="267"/>
      <c r="DY64" s="267"/>
      <c r="DZ64" s="267"/>
      <c r="EA64" s="267"/>
      <c r="EB64" s="267"/>
      <c r="EC64" s="267"/>
      <c r="ED64" s="267"/>
      <c r="EE64" s="267"/>
      <c r="EF64" s="267"/>
      <c r="EG64" s="267"/>
      <c r="EH64" s="267"/>
      <c r="EI64" s="267"/>
      <c r="EJ64" s="267"/>
      <c r="EK64" s="267"/>
      <c r="EL64" s="267"/>
      <c r="EM64" s="267"/>
      <c r="EN64" s="267"/>
      <c r="EO64" s="267"/>
      <c r="EP64" s="267"/>
      <c r="EQ64" s="267"/>
      <c r="ER64" s="267"/>
      <c r="ES64" s="267"/>
      <c r="ET64" s="267"/>
      <c r="EU64" s="267"/>
      <c r="EV64" s="267"/>
      <c r="EW64" s="267"/>
      <c r="EX64" s="267"/>
      <c r="EY64" s="267"/>
      <c r="EZ64" s="267"/>
      <c r="FA64" s="267"/>
      <c r="FB64" s="267"/>
      <c r="FC64" s="267"/>
      <c r="FD64" s="267"/>
      <c r="FE64" s="267"/>
      <c r="FF64" s="267"/>
      <c r="FG64" s="267"/>
      <c r="FH64" s="267"/>
      <c r="FI64" s="267"/>
      <c r="FJ64" s="267"/>
      <c r="FK64" s="267"/>
      <c r="FL64" s="267"/>
      <c r="FM64" s="267"/>
      <c r="FN64" s="267"/>
      <c r="FO64" s="267"/>
      <c r="FP64" s="267"/>
      <c r="FQ64" s="267"/>
      <c r="FR64" s="267"/>
      <c r="FS64" s="267"/>
      <c r="FT64" s="267"/>
      <c r="FU64" s="267"/>
      <c r="FV64" s="267"/>
      <c r="FW64" s="267"/>
      <c r="FX64" s="267"/>
      <c r="FY64" s="267"/>
      <c r="FZ64" s="267"/>
      <c r="GA64" s="267"/>
      <c r="GB64" s="267"/>
      <c r="GC64" s="267"/>
      <c r="GD64" s="267"/>
      <c r="GE64" s="267"/>
      <c r="GF64" s="267"/>
      <c r="GG64" s="267"/>
      <c r="GH64" s="267"/>
      <c r="GI64" s="267"/>
      <c r="GJ64" s="267"/>
      <c r="GK64" s="267"/>
      <c r="GL64" s="267"/>
      <c r="GM64" s="267"/>
      <c r="GN64" s="267"/>
      <c r="GO64" s="267"/>
      <c r="GP64" s="267"/>
      <c r="GQ64" s="267"/>
      <c r="GR64" s="267"/>
      <c r="GS64" s="267"/>
      <c r="GT64" s="267"/>
      <c r="GU64" s="267"/>
      <c r="GV64" s="267"/>
      <c r="GW64" s="267"/>
      <c r="GX64" s="267"/>
      <c r="GY64" s="267"/>
      <c r="GZ64" s="267"/>
      <c r="HA64" s="267"/>
      <c r="HB64" s="267"/>
      <c r="HC64" s="267"/>
      <c r="HD64" s="267"/>
      <c r="HE64" s="267"/>
      <c r="HF64" s="267"/>
      <c r="HG64" s="267"/>
      <c r="HH64" s="267"/>
      <c r="HI64" s="267"/>
      <c r="HJ64" s="267"/>
      <c r="HK64" s="267"/>
      <c r="HL64" s="267"/>
      <c r="HM64" s="267"/>
      <c r="HN64" s="267"/>
      <c r="HO64" s="267"/>
      <c r="HP64" s="267"/>
      <c r="HQ64" s="267"/>
      <c r="HR64" s="267"/>
      <c r="HS64" s="267"/>
      <c r="HT64" s="267"/>
      <c r="HU64" s="267"/>
      <c r="HV64" s="267"/>
      <c r="HW64" s="267"/>
      <c r="HX64" s="267"/>
      <c r="HY64" s="267"/>
      <c r="HZ64" s="267"/>
      <c r="IA64" s="267"/>
      <c r="IB64" s="267"/>
      <c r="IC64" s="267"/>
      <c r="ID64" s="267"/>
      <c r="IE64" s="267"/>
      <c r="IF64" s="267"/>
      <c r="IG64" s="267"/>
      <c r="IH64" s="267"/>
      <c r="II64" s="267"/>
      <c r="IJ64" s="267"/>
      <c r="IK64" s="267"/>
      <c r="IL64" s="267"/>
      <c r="IM64" s="267"/>
      <c r="IN64" s="267"/>
      <c r="IO64" s="267"/>
      <c r="IP64" s="267"/>
      <c r="IQ64" s="267"/>
      <c r="IR64" s="267"/>
      <c r="IS64" s="267"/>
      <c r="IT64" s="267"/>
      <c r="IU64" s="267"/>
      <c r="IV64" s="267"/>
      <c r="IW64" s="267"/>
    </row>
    <row r="65" customFormat="false" ht="12" hidden="false" customHeight="true" outlineLevel="0" collapsed="false">
      <c r="A65" s="294" t="s">
        <v>122</v>
      </c>
      <c r="B65" s="271" t="s">
        <v>123</v>
      </c>
      <c r="C65" s="302" t="s">
        <v>125</v>
      </c>
      <c r="D65" s="315" t="n">
        <f aca="false">'E. VaR &amp; Peak Pos By Trader'!E65</f>
        <v>1716885.32980429</v>
      </c>
      <c r="E65" s="315" t="n">
        <f aca="false">'E. VaR &amp; Peak Pos By Trader'!F65</f>
        <v>130927.65311918</v>
      </c>
      <c r="F65" s="274" t="n">
        <v>0</v>
      </c>
      <c r="G65" s="274" t="n">
        <v>0</v>
      </c>
      <c r="H65" s="274" t="n">
        <v>0</v>
      </c>
      <c r="I65" s="274" t="n">
        <f aca="false">VLOOKUP($B65,'[3]Delta Monthly'!$A$1:$AW$55,11,0)</f>
        <v>0</v>
      </c>
      <c r="J65" s="274" t="n">
        <f aca="false">VLOOKUP($B65,'[3]Delta Monthly'!$A$1:$AW$55,13,0)</f>
        <v>0</v>
      </c>
      <c r="K65" s="274" t="n">
        <f aca="false">VLOOKUP($B65,'[3]Delta Monthly'!$A$1:$AW$55,15,0)</f>
        <v>0</v>
      </c>
      <c r="L65" s="274" t="n">
        <f aca="false">+VLOOKUP($B65,'[3]Delta Monthly'!$A$1:$AW$55,17,0)</f>
        <v>0</v>
      </c>
      <c r="M65" s="274" t="n">
        <f aca="false">VLOOKUP($B65,'[3]Delta Monthly'!$A$1:$AW$55,19,0)</f>
        <v>0</v>
      </c>
      <c r="N65" s="274" t="n">
        <f aca="false">VLOOKUP($B65,'[3]Delta Monthly'!$A$1:$AW$55,21,FALSE())</f>
        <v>0</v>
      </c>
      <c r="O65" s="274" t="n">
        <f aca="false">VLOOKUP($B65,'[3]Delta Monthly'!$A$1:$AW$55,23,FALSE())</f>
        <v>0</v>
      </c>
      <c r="P65" s="274" t="n">
        <f aca="false">VLOOKUP($B65,'[3]Delta Monthly'!$A$1:$AW$55,25,FALSE())</f>
        <v>0</v>
      </c>
      <c r="Q65" s="286" t="n">
        <f aca="false">SUM(F65:P65)</f>
        <v>0</v>
      </c>
      <c r="R65" s="305" t="n">
        <f aca="false">VLOOKUP($B65,'[3]Delta Monthly'!$A$1:$AW$55,27,0)+VLOOKUP($B65,'[3]Delta Monthly'!$A$1:$AW$55,29,0)</f>
        <v>0</v>
      </c>
      <c r="S65" s="274" t="n">
        <f aca="false">VLOOKUP($B65,'[3]Delta Monthly'!$A$1:$AW$55,31,0)+VLOOKUP($B65,'[3]Delta Monthly'!$A$1:$AW$55,33,0)</f>
        <v>0</v>
      </c>
      <c r="T65" s="274" t="n">
        <f aca="false">VLOOKUP($B65,'[3]Delta Monthly'!$A$1:$AW$55,35,0)</f>
        <v>0</v>
      </c>
      <c r="U65" s="274" t="n">
        <f aca="false">VLOOKUP($B65,'[3]Delta Monthly'!$A$1:$AW$55,37,0)</f>
        <v>0</v>
      </c>
      <c r="V65" s="274" t="n">
        <f aca="false">VLOOKUP($B65,'[3]Delta Monthly'!$A$1:$AW$55,39,0)+VLOOKUP($B65,'[3]Delta Monthly'!$A$1:$AW$55,41,0)</f>
        <v>0</v>
      </c>
      <c r="W65" s="274" t="n">
        <f aca="false">VLOOKUP($B65,'[3]Delta Monthly'!$A$1:$AW$55,43,0)</f>
        <v>0</v>
      </c>
      <c r="X65" s="274" t="n">
        <f aca="false">VLOOKUP($B65,'[3]Delta Monthly'!$A$1:$AW$55,45,0)+VLOOKUP($B65,'[3]Delta Monthly'!$A$1:$AW$55,47,0)+VLOOKUP($B65,'[3]Delta Monthly'!$A$1:$AW$55,49,0)</f>
        <v>0</v>
      </c>
      <c r="Y65" s="302" t="n">
        <f aca="false">SUM(R65:X65)</f>
        <v>0</v>
      </c>
      <c r="Z65" s="287" t="n">
        <f aca="false">VLOOKUP($B65,'[5]Delta Yearly'!$A$1:$AC$55,5,0)</f>
        <v>0</v>
      </c>
      <c r="AA65" s="287" t="n">
        <f aca="false">VLOOKUP($B65,'[5]Delta Yearly'!$A$1:$AC$55,7,FALSE())+VLOOKUP($B65,'[5]Delta Yearly'!$A$1:$AC$55,9,FALSE())+VLOOKUP($B65,'[5]Delta Yearly'!$A$1:$AC$55,11,FALSE())+VLOOKUP($B65,'[5]Delta Yearly'!$A$1:$AC$55,13,FALSE())+VLOOKUP($B65,'[5]Delta Yearly'!$A$1:$AC$55,15,FALSE())+VLOOKUP($B65,'[5]Delta Yearly'!$A$1:$AC$55,17,FALSE())+VLOOKUP($B65,'[5]Delta Yearly'!$A$1:$AC$55,19,FALSE())+VLOOKUP($B65,'[5]Delta Yearly'!$A$1:$AC$55,21,FALSE())+VLOOKUP($B65,'[5]Delta Yearly'!$A$1:$AC$55,23,FALSE())+VLOOKUP($B65,'[5]Delta Yearly'!$A$1:$AC$55,25,FALSE())+VLOOKUP($B65,'[5]Delta Yearly'!$A$1:$AC$55,27,FALSE())+VLOOKUP($B65,'[5]Delta Yearly'!$A$1:$AC$55,29,FALSE())</f>
        <v>0</v>
      </c>
      <c r="AB65" s="287" t="n">
        <f aca="false">SUM(AA65,Z65,Y65,Q65)</f>
        <v>0</v>
      </c>
      <c r="AC65" s="284"/>
      <c r="AD65" s="303"/>
      <c r="AE65" s="266"/>
      <c r="AF65" s="266"/>
      <c r="AG65" s="266"/>
      <c r="AH65" s="266"/>
      <c r="AI65" s="266"/>
      <c r="AJ65" s="266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  <c r="AU65" s="267"/>
      <c r="AV65" s="267"/>
      <c r="AW65" s="267"/>
      <c r="AX65" s="267"/>
      <c r="AY65" s="267"/>
      <c r="AZ65" s="267"/>
      <c r="BA65" s="267"/>
      <c r="BB65" s="267"/>
      <c r="BC65" s="267"/>
      <c r="BD65" s="267"/>
      <c r="BE65" s="267"/>
      <c r="BF65" s="267"/>
      <c r="BG65" s="267"/>
      <c r="BH65" s="267"/>
      <c r="BI65" s="267"/>
      <c r="BJ65" s="267"/>
      <c r="BK65" s="267"/>
      <c r="BL65" s="267"/>
      <c r="BM65" s="267"/>
      <c r="BN65" s="267"/>
      <c r="BO65" s="267"/>
      <c r="BP65" s="267"/>
      <c r="BQ65" s="267"/>
      <c r="BR65" s="267"/>
      <c r="BS65" s="267"/>
      <c r="BT65" s="267"/>
      <c r="BU65" s="267"/>
      <c r="BV65" s="267"/>
      <c r="BW65" s="267"/>
      <c r="BX65" s="267"/>
      <c r="BY65" s="267"/>
      <c r="BZ65" s="267"/>
      <c r="CA65" s="267"/>
      <c r="CB65" s="267"/>
      <c r="CC65" s="267"/>
      <c r="CD65" s="267"/>
      <c r="CE65" s="267"/>
      <c r="CF65" s="267"/>
      <c r="CG65" s="267"/>
      <c r="CH65" s="267"/>
      <c r="CI65" s="267"/>
      <c r="CJ65" s="267"/>
      <c r="CK65" s="267"/>
      <c r="CL65" s="267"/>
      <c r="CM65" s="267"/>
      <c r="CN65" s="267"/>
      <c r="CO65" s="267"/>
      <c r="CP65" s="267"/>
      <c r="CQ65" s="267"/>
      <c r="CR65" s="267"/>
      <c r="CS65" s="267"/>
      <c r="CT65" s="267"/>
      <c r="CU65" s="267"/>
      <c r="CV65" s="267"/>
      <c r="CW65" s="267"/>
      <c r="CX65" s="267"/>
      <c r="CY65" s="267"/>
      <c r="CZ65" s="267"/>
      <c r="DA65" s="267"/>
      <c r="DB65" s="267"/>
      <c r="DC65" s="267"/>
      <c r="DD65" s="267"/>
      <c r="DE65" s="267"/>
      <c r="DF65" s="267"/>
      <c r="DG65" s="267"/>
      <c r="DH65" s="267"/>
      <c r="DI65" s="267"/>
      <c r="DJ65" s="267"/>
      <c r="DK65" s="267"/>
      <c r="DL65" s="267"/>
      <c r="DM65" s="267"/>
      <c r="DN65" s="267"/>
      <c r="DO65" s="267"/>
      <c r="DP65" s="267"/>
      <c r="DQ65" s="267"/>
      <c r="DR65" s="267"/>
      <c r="DS65" s="267"/>
      <c r="DT65" s="267"/>
      <c r="DU65" s="267"/>
      <c r="DV65" s="267"/>
      <c r="DW65" s="267"/>
      <c r="DX65" s="267"/>
      <c r="DY65" s="267"/>
      <c r="DZ65" s="267"/>
      <c r="EA65" s="267"/>
      <c r="EB65" s="267"/>
      <c r="EC65" s="267"/>
      <c r="ED65" s="267"/>
      <c r="EE65" s="267"/>
      <c r="EF65" s="267"/>
      <c r="EG65" s="267"/>
      <c r="EH65" s="267"/>
      <c r="EI65" s="267"/>
      <c r="EJ65" s="267"/>
      <c r="EK65" s="267"/>
      <c r="EL65" s="267"/>
      <c r="EM65" s="267"/>
      <c r="EN65" s="267"/>
      <c r="EO65" s="267"/>
      <c r="EP65" s="267"/>
      <c r="EQ65" s="267"/>
      <c r="ER65" s="267"/>
      <c r="ES65" s="267"/>
      <c r="ET65" s="267"/>
      <c r="EU65" s="267"/>
      <c r="EV65" s="267"/>
      <c r="EW65" s="267"/>
      <c r="EX65" s="267"/>
      <c r="EY65" s="267"/>
      <c r="EZ65" s="267"/>
      <c r="FA65" s="267"/>
      <c r="FB65" s="267"/>
      <c r="FC65" s="267"/>
      <c r="FD65" s="267"/>
      <c r="FE65" s="267"/>
      <c r="FF65" s="267"/>
      <c r="FG65" s="267"/>
      <c r="FH65" s="267"/>
      <c r="FI65" s="267"/>
      <c r="FJ65" s="267"/>
      <c r="FK65" s="267"/>
      <c r="FL65" s="267"/>
      <c r="FM65" s="267"/>
      <c r="FN65" s="267"/>
      <c r="FO65" s="267"/>
      <c r="FP65" s="267"/>
      <c r="FQ65" s="267"/>
      <c r="FR65" s="267"/>
      <c r="FS65" s="267"/>
      <c r="FT65" s="267"/>
      <c r="FU65" s="267"/>
      <c r="FV65" s="267"/>
      <c r="FW65" s="267"/>
      <c r="FX65" s="267"/>
      <c r="FY65" s="267"/>
      <c r="FZ65" s="267"/>
      <c r="GA65" s="267"/>
      <c r="GB65" s="267"/>
      <c r="GC65" s="267"/>
      <c r="GD65" s="267"/>
      <c r="GE65" s="267"/>
      <c r="GF65" s="267"/>
      <c r="GG65" s="267"/>
      <c r="GH65" s="267"/>
      <c r="GI65" s="267"/>
      <c r="GJ65" s="267"/>
      <c r="GK65" s="267"/>
      <c r="GL65" s="267"/>
      <c r="GM65" s="267"/>
      <c r="GN65" s="267"/>
      <c r="GO65" s="267"/>
      <c r="GP65" s="267"/>
      <c r="GQ65" s="267"/>
      <c r="GR65" s="267"/>
      <c r="GS65" s="267"/>
      <c r="GT65" s="267"/>
      <c r="GU65" s="267"/>
      <c r="GV65" s="267"/>
      <c r="GW65" s="267"/>
      <c r="GX65" s="267"/>
      <c r="GY65" s="267"/>
      <c r="GZ65" s="267"/>
      <c r="HA65" s="267"/>
      <c r="HB65" s="267"/>
      <c r="HC65" s="267"/>
      <c r="HD65" s="267"/>
      <c r="HE65" s="267"/>
      <c r="HF65" s="267"/>
      <c r="HG65" s="267"/>
      <c r="HH65" s="267"/>
      <c r="HI65" s="267"/>
      <c r="HJ65" s="267"/>
      <c r="HK65" s="267"/>
      <c r="HL65" s="267"/>
      <c r="HM65" s="267"/>
      <c r="HN65" s="267"/>
      <c r="HO65" s="267"/>
      <c r="HP65" s="267"/>
      <c r="HQ65" s="267"/>
      <c r="HR65" s="267"/>
      <c r="HS65" s="267"/>
      <c r="HT65" s="267"/>
      <c r="HU65" s="267"/>
      <c r="HV65" s="267"/>
      <c r="HW65" s="267"/>
      <c r="HX65" s="267"/>
      <c r="HY65" s="267"/>
      <c r="HZ65" s="267"/>
      <c r="IA65" s="267"/>
      <c r="IB65" s="267"/>
      <c r="IC65" s="267"/>
      <c r="ID65" s="267"/>
      <c r="IE65" s="267"/>
      <c r="IF65" s="267"/>
      <c r="IG65" s="267"/>
      <c r="IH65" s="267"/>
      <c r="II65" s="267"/>
      <c r="IJ65" s="267"/>
      <c r="IK65" s="267"/>
      <c r="IL65" s="267"/>
      <c r="IM65" s="267"/>
      <c r="IN65" s="267"/>
      <c r="IO65" s="267"/>
      <c r="IP65" s="267"/>
      <c r="IQ65" s="267"/>
      <c r="IR65" s="267"/>
      <c r="IS65" s="267"/>
      <c r="IT65" s="267"/>
      <c r="IU65" s="267"/>
      <c r="IV65" s="267"/>
      <c r="IW65" s="267"/>
    </row>
    <row r="66" customFormat="false" ht="12" hidden="false" customHeight="true" outlineLevel="0" collapsed="false">
      <c r="A66" s="294"/>
      <c r="B66" s="272"/>
      <c r="C66" s="302"/>
      <c r="D66" s="305"/>
      <c r="E66" s="315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347"/>
      <c r="R66" s="348"/>
      <c r="S66" s="349"/>
      <c r="T66" s="349"/>
      <c r="U66" s="349"/>
      <c r="V66" s="349"/>
      <c r="W66" s="349"/>
      <c r="X66" s="349"/>
      <c r="Y66" s="347"/>
      <c r="Z66" s="347"/>
      <c r="AA66" s="284"/>
      <c r="AB66" s="302"/>
      <c r="AC66" s="265"/>
      <c r="AD66" s="303"/>
      <c r="AE66" s="266"/>
      <c r="AF66" s="266"/>
      <c r="AG66" s="266"/>
      <c r="AH66" s="266"/>
      <c r="AI66" s="266"/>
      <c r="AJ66" s="266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  <c r="AU66" s="267"/>
      <c r="AV66" s="267"/>
      <c r="AW66" s="267"/>
      <c r="AX66" s="267"/>
      <c r="AY66" s="267"/>
      <c r="AZ66" s="267"/>
      <c r="BA66" s="267"/>
      <c r="BB66" s="267"/>
      <c r="BC66" s="267"/>
      <c r="BD66" s="267"/>
      <c r="BE66" s="267"/>
      <c r="BF66" s="267"/>
      <c r="BG66" s="267"/>
      <c r="BH66" s="267"/>
      <c r="BI66" s="267"/>
      <c r="BJ66" s="267"/>
      <c r="BK66" s="267"/>
      <c r="BL66" s="267"/>
      <c r="BM66" s="267"/>
      <c r="BN66" s="267"/>
      <c r="BO66" s="267"/>
      <c r="BP66" s="267"/>
      <c r="BQ66" s="267"/>
      <c r="BR66" s="267"/>
      <c r="BS66" s="267"/>
      <c r="BT66" s="267"/>
      <c r="BU66" s="267"/>
      <c r="BV66" s="267"/>
      <c r="BW66" s="267"/>
      <c r="BX66" s="267"/>
      <c r="BY66" s="267"/>
      <c r="BZ66" s="267"/>
      <c r="CA66" s="267"/>
      <c r="CB66" s="267"/>
      <c r="CC66" s="267"/>
      <c r="CD66" s="267"/>
      <c r="CE66" s="267"/>
      <c r="CF66" s="267"/>
      <c r="CG66" s="267"/>
      <c r="CH66" s="267"/>
      <c r="CI66" s="267"/>
      <c r="CJ66" s="267"/>
      <c r="CK66" s="267"/>
      <c r="CL66" s="267"/>
      <c r="CM66" s="267"/>
      <c r="CN66" s="267"/>
      <c r="CO66" s="267"/>
      <c r="CP66" s="267"/>
      <c r="CQ66" s="267"/>
      <c r="CR66" s="267"/>
      <c r="CS66" s="267"/>
      <c r="CT66" s="267"/>
      <c r="CU66" s="267"/>
      <c r="CV66" s="267"/>
      <c r="CW66" s="267"/>
      <c r="CX66" s="267"/>
      <c r="CY66" s="267"/>
      <c r="CZ66" s="267"/>
      <c r="DA66" s="267"/>
      <c r="DB66" s="267"/>
      <c r="DC66" s="267"/>
      <c r="DD66" s="267"/>
      <c r="DE66" s="267"/>
      <c r="DF66" s="267"/>
      <c r="DG66" s="267"/>
      <c r="DH66" s="267"/>
      <c r="DI66" s="267"/>
      <c r="DJ66" s="267"/>
      <c r="DK66" s="267"/>
      <c r="DL66" s="267"/>
      <c r="DM66" s="267"/>
      <c r="DN66" s="267"/>
      <c r="DO66" s="267"/>
      <c r="DP66" s="267"/>
      <c r="DQ66" s="267"/>
      <c r="DR66" s="267"/>
      <c r="DS66" s="267"/>
      <c r="DT66" s="267"/>
      <c r="DU66" s="267"/>
      <c r="DV66" s="267"/>
      <c r="DW66" s="267"/>
      <c r="DX66" s="267"/>
      <c r="DY66" s="267"/>
      <c r="DZ66" s="267"/>
      <c r="EA66" s="267"/>
      <c r="EB66" s="267"/>
      <c r="EC66" s="267"/>
      <c r="ED66" s="267"/>
      <c r="EE66" s="267"/>
      <c r="EF66" s="267"/>
      <c r="EG66" s="267"/>
      <c r="EH66" s="267"/>
      <c r="EI66" s="267"/>
      <c r="EJ66" s="267"/>
      <c r="EK66" s="267"/>
      <c r="EL66" s="267"/>
      <c r="EM66" s="267"/>
      <c r="EN66" s="267"/>
      <c r="EO66" s="267"/>
      <c r="EP66" s="267"/>
      <c r="EQ66" s="267"/>
      <c r="ER66" s="267"/>
      <c r="ES66" s="267"/>
      <c r="ET66" s="267"/>
      <c r="EU66" s="267"/>
      <c r="EV66" s="267"/>
      <c r="EW66" s="267"/>
      <c r="EX66" s="267"/>
      <c r="EY66" s="267"/>
      <c r="EZ66" s="267"/>
      <c r="FA66" s="267"/>
      <c r="FB66" s="267"/>
      <c r="FC66" s="267"/>
      <c r="FD66" s="267"/>
      <c r="FE66" s="267"/>
      <c r="FF66" s="267"/>
      <c r="FG66" s="267"/>
      <c r="FH66" s="267"/>
      <c r="FI66" s="267"/>
      <c r="FJ66" s="267"/>
      <c r="FK66" s="267"/>
      <c r="FL66" s="267"/>
      <c r="FM66" s="267"/>
      <c r="FN66" s="267"/>
      <c r="FO66" s="267"/>
      <c r="FP66" s="267"/>
      <c r="FQ66" s="267"/>
      <c r="FR66" s="267"/>
      <c r="FS66" s="267"/>
      <c r="FT66" s="267"/>
      <c r="FU66" s="267"/>
      <c r="FV66" s="267"/>
      <c r="FW66" s="267"/>
      <c r="FX66" s="267"/>
      <c r="FY66" s="267"/>
      <c r="FZ66" s="267"/>
      <c r="GA66" s="267"/>
      <c r="GB66" s="267"/>
      <c r="GC66" s="267"/>
      <c r="GD66" s="267"/>
      <c r="GE66" s="267"/>
      <c r="GF66" s="267"/>
      <c r="GG66" s="267"/>
      <c r="GH66" s="267"/>
      <c r="GI66" s="267"/>
      <c r="GJ66" s="267"/>
      <c r="GK66" s="267"/>
      <c r="GL66" s="267"/>
      <c r="GM66" s="267"/>
      <c r="GN66" s="267"/>
      <c r="GO66" s="267"/>
      <c r="GP66" s="267"/>
      <c r="GQ66" s="267"/>
      <c r="GR66" s="267"/>
      <c r="GS66" s="267"/>
      <c r="GT66" s="267"/>
      <c r="GU66" s="267"/>
      <c r="GV66" s="267"/>
      <c r="GW66" s="267"/>
      <c r="GX66" s="267"/>
      <c r="GY66" s="267"/>
      <c r="GZ66" s="267"/>
      <c r="HA66" s="267"/>
      <c r="HB66" s="267"/>
      <c r="HC66" s="267"/>
      <c r="HD66" s="267"/>
      <c r="HE66" s="267"/>
      <c r="HF66" s="267"/>
      <c r="HG66" s="267"/>
      <c r="HH66" s="267"/>
      <c r="HI66" s="267"/>
      <c r="HJ66" s="267"/>
      <c r="HK66" s="267"/>
      <c r="HL66" s="267"/>
      <c r="HM66" s="267"/>
      <c r="HN66" s="267"/>
      <c r="HO66" s="267"/>
      <c r="HP66" s="267"/>
      <c r="HQ66" s="267"/>
      <c r="HR66" s="267"/>
      <c r="HS66" s="267"/>
      <c r="HT66" s="267"/>
      <c r="HU66" s="267"/>
      <c r="HV66" s="267"/>
      <c r="HW66" s="267"/>
      <c r="HX66" s="267"/>
      <c r="HY66" s="267"/>
      <c r="HZ66" s="267"/>
      <c r="IA66" s="267"/>
      <c r="IB66" s="267"/>
      <c r="IC66" s="267"/>
      <c r="ID66" s="267"/>
      <c r="IE66" s="267"/>
      <c r="IF66" s="267"/>
      <c r="IG66" s="267"/>
      <c r="IH66" s="267"/>
      <c r="II66" s="267"/>
      <c r="IJ66" s="267"/>
      <c r="IK66" s="267"/>
      <c r="IL66" s="267"/>
      <c r="IM66" s="267"/>
      <c r="IN66" s="267"/>
      <c r="IO66" s="267"/>
      <c r="IP66" s="267"/>
      <c r="IQ66" s="267"/>
      <c r="IR66" s="267"/>
      <c r="IS66" s="267"/>
      <c r="IT66" s="267"/>
      <c r="IU66" s="267"/>
      <c r="IV66" s="267"/>
      <c r="IW66" s="267"/>
    </row>
    <row r="67" customFormat="false" ht="12" hidden="false" customHeight="true" outlineLevel="0" collapsed="false">
      <c r="A67" s="294" t="s">
        <v>126</v>
      </c>
      <c r="B67" s="271" t="s">
        <v>127</v>
      </c>
      <c r="C67" s="302" t="s">
        <v>129</v>
      </c>
      <c r="D67" s="305" t="n">
        <f aca="false">'E. VaR &amp; Peak Pos By Trader'!E67</f>
        <v>7520.56621967267</v>
      </c>
      <c r="E67" s="315" t="n">
        <f aca="false">'E. VaR &amp; Peak Pos By Trader'!F67</f>
        <v>-2200.47470791742</v>
      </c>
      <c r="F67" s="274" t="n">
        <f aca="false">VLOOKUP($B67,'[3]Delta Monthly'!$A$1:$AW$55,5,1)</f>
        <v>0</v>
      </c>
      <c r="G67" s="274" t="n">
        <f aca="false">VLOOKUP($B67,'[3]Delta Monthly'!$A$1:$AW$55,7,1)</f>
        <v>0</v>
      </c>
      <c r="H67" s="274" t="n">
        <f aca="false">VLOOKUP($B67,'[3]Delta Monthly'!$A$1:$AW$55,9,1)</f>
        <v>0</v>
      </c>
      <c r="I67" s="274" t="n">
        <f aca="false">VLOOKUP($B67,'[3]Delta Monthly'!$A$1:$AW$55,11,0)</f>
        <v>0</v>
      </c>
      <c r="J67" s="274" t="n">
        <f aca="false">VLOOKUP($B67,'[3]Delta Monthly'!$A$1:$AW$55,13,0)</f>
        <v>0</v>
      </c>
      <c r="K67" s="274" t="n">
        <f aca="false">VLOOKUP($B67,'[3]Delta Monthly'!$A$1:$AW$55,15,0)</f>
        <v>0</v>
      </c>
      <c r="L67" s="274" t="n">
        <f aca="false">+VLOOKUP($B67,'[3]Delta Monthly'!$A$1:$AW$55,17,0)</f>
        <v>0</v>
      </c>
      <c r="M67" s="274" t="n">
        <f aca="false">VLOOKUP($B67,'[3]Delta Monthly'!$A$1:$AW$55,19,0)</f>
        <v>0</v>
      </c>
      <c r="N67" s="274" t="n">
        <f aca="false">VLOOKUP($B67,'[3]Delta Monthly'!$A$1:$AW$55,21,FALSE())</f>
        <v>0</v>
      </c>
      <c r="O67" s="274" t="n">
        <f aca="false">VLOOKUP($B67,'[3]Delta Monthly'!$A$1:$AW$55,23,FALSE())</f>
        <v>399.581159157838</v>
      </c>
      <c r="P67" s="274" t="n">
        <f aca="false">VLOOKUP($B67,'[3]Delta Monthly'!$A$1:$AW$55,25,FALSE())</f>
        <v>0</v>
      </c>
      <c r="Q67" s="347" t="n">
        <f aca="false">SUM(F67:P67)</f>
        <v>399.581159157838</v>
      </c>
      <c r="R67" s="305" t="n">
        <f aca="false">VLOOKUP($B67,'[3]Delta Monthly'!$A$1:$AW$55,27,0)+VLOOKUP($B67,'[3]Delta Monthly'!$A$1:$AW$55,29,0)</f>
        <v>0</v>
      </c>
      <c r="S67" s="274" t="n">
        <f aca="false">VLOOKUP($B67,'[3]Delta Monthly'!$A$1:$AW$55,31,0)+VLOOKUP($B67,'[3]Delta Monthly'!$A$1:$AW$55,33,0)</f>
        <v>0</v>
      </c>
      <c r="T67" s="274" t="n">
        <f aca="false">VLOOKUP($B67,'[3]Delta Monthly'!$A$1:$AW$55,35,0)</f>
        <v>0</v>
      </c>
      <c r="U67" s="274" t="n">
        <f aca="false">VLOOKUP($B67,'[3]Delta Monthly'!$A$1:$AW$55,37,0)</f>
        <v>0</v>
      </c>
      <c r="V67" s="274" t="n">
        <f aca="false">VLOOKUP($B67,'[3]Delta Monthly'!$A$1:$AW$55,39,0)+VLOOKUP($B67,'[3]Delta Monthly'!$A$1:$AW$55,41,0)</f>
        <v>0</v>
      </c>
      <c r="W67" s="274" t="n">
        <f aca="false">VLOOKUP($B67,'[3]Delta Monthly'!$A$1:$AW$55,43,0)</f>
        <v>0</v>
      </c>
      <c r="X67" s="274" t="n">
        <f aca="false">VLOOKUP($B67,'[3]Delta Monthly'!$A$1:$AW$55,45,0)+VLOOKUP($B67,'[3]Delta Monthly'!$A$1:$AW$55,47,0)+VLOOKUP($B67,'[3]Delta Monthly'!$A$1:$AW$55,49,0)</f>
        <v>0</v>
      </c>
      <c r="Y67" s="302" t="n">
        <f aca="false">SUM(R67:X67)</f>
        <v>0</v>
      </c>
      <c r="Z67" s="302" t="n">
        <f aca="false">VLOOKUP($B67,'[5]Delta Yearly'!$A$1:$AC$55,5,0)</f>
        <v>0</v>
      </c>
      <c r="AA67" s="284" t="n">
        <f aca="false">VLOOKUP($B67,'[5]Delta Yearly'!$A$1:$AC$55,7,FALSE())+VLOOKUP($B67,'[5]Delta Yearly'!$A$1:$AC$55,9,FALSE())+VLOOKUP($B67,'[5]Delta Yearly'!$A$1:$AC$55,11,FALSE())+VLOOKUP($B67,'[5]Delta Yearly'!$A$1:$AC$55,13,FALSE())+VLOOKUP($B67,'[5]Delta Yearly'!$A$1:$AC$55,15,FALSE())+VLOOKUP($B67,'[5]Delta Yearly'!$A$1:$AC$55,17,FALSE())+VLOOKUP($B67,'[5]Delta Yearly'!$A$1:$AC$55,19,FALSE())+VLOOKUP($B67,'[5]Delta Yearly'!$A$1:$AC$55,21,FALSE())+VLOOKUP($B67,'[5]Delta Yearly'!$A$1:$AC$55,23,FALSE())+VLOOKUP($B67,'[5]Delta Yearly'!$A$1:$AC$55,25,FALSE())+VLOOKUP($B67,'[5]Delta Yearly'!$A$1:$AC$55,27,FALSE())+VLOOKUP($B67,'[5]Delta Yearly'!$A$1:$AC$55,29,FALSE())</f>
        <v>0</v>
      </c>
      <c r="AB67" s="302" t="n">
        <f aca="false">SUM(AA67,Z67,Y67,Q67)</f>
        <v>399.581159157838</v>
      </c>
      <c r="AC67" s="265"/>
      <c r="AD67" s="303"/>
      <c r="AE67" s="266"/>
      <c r="AF67" s="266"/>
      <c r="AG67" s="266"/>
      <c r="AH67" s="266"/>
      <c r="AI67" s="266"/>
      <c r="AJ67" s="266"/>
      <c r="AK67" s="267"/>
      <c r="AL67" s="267"/>
      <c r="AM67" s="267"/>
      <c r="AN67" s="267"/>
      <c r="AO67" s="267"/>
      <c r="AP67" s="267"/>
      <c r="AQ67" s="267"/>
      <c r="AR67" s="267"/>
      <c r="AS67" s="267"/>
      <c r="AT67" s="267"/>
      <c r="AU67" s="267"/>
      <c r="AV67" s="267"/>
      <c r="AW67" s="267"/>
      <c r="AX67" s="267"/>
      <c r="AY67" s="267"/>
      <c r="AZ67" s="267"/>
      <c r="BA67" s="267"/>
      <c r="BB67" s="267"/>
      <c r="BC67" s="267"/>
      <c r="BD67" s="267"/>
      <c r="BE67" s="267"/>
      <c r="BF67" s="267"/>
      <c r="BG67" s="267"/>
      <c r="BH67" s="267"/>
      <c r="BI67" s="267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/>
      <c r="BX67" s="267"/>
      <c r="BY67" s="267"/>
      <c r="BZ67" s="267"/>
      <c r="CA67" s="267"/>
      <c r="CB67" s="267"/>
      <c r="CC67" s="267"/>
      <c r="CD67" s="267"/>
      <c r="CE67" s="267"/>
      <c r="CF67" s="267"/>
      <c r="CG67" s="267"/>
      <c r="CH67" s="267"/>
      <c r="CI67" s="267"/>
      <c r="CJ67" s="267"/>
      <c r="CK67" s="267"/>
      <c r="CL67" s="267"/>
      <c r="CM67" s="267"/>
      <c r="CN67" s="267"/>
      <c r="CO67" s="267"/>
      <c r="CP67" s="267"/>
      <c r="CQ67" s="267"/>
      <c r="CR67" s="267"/>
      <c r="CS67" s="267"/>
      <c r="CT67" s="267"/>
      <c r="CU67" s="267"/>
      <c r="CV67" s="267"/>
      <c r="CW67" s="267"/>
      <c r="CX67" s="267"/>
      <c r="CY67" s="267"/>
      <c r="CZ67" s="267"/>
      <c r="DA67" s="267"/>
      <c r="DB67" s="267"/>
      <c r="DC67" s="267"/>
      <c r="DD67" s="267"/>
      <c r="DE67" s="267"/>
      <c r="DF67" s="267"/>
      <c r="DG67" s="267"/>
      <c r="DH67" s="267"/>
      <c r="DI67" s="267"/>
      <c r="DJ67" s="267"/>
      <c r="DK67" s="267"/>
      <c r="DL67" s="267"/>
      <c r="DM67" s="267"/>
      <c r="DN67" s="267"/>
      <c r="DO67" s="267"/>
      <c r="DP67" s="267"/>
      <c r="DQ67" s="267"/>
      <c r="DR67" s="267"/>
      <c r="DS67" s="267"/>
      <c r="DT67" s="267"/>
      <c r="DU67" s="267"/>
      <c r="DV67" s="267"/>
      <c r="DW67" s="267"/>
      <c r="DX67" s="267"/>
      <c r="DY67" s="267"/>
      <c r="DZ67" s="267"/>
      <c r="EA67" s="267"/>
      <c r="EB67" s="267"/>
      <c r="EC67" s="267"/>
      <c r="ED67" s="267"/>
      <c r="EE67" s="267"/>
      <c r="EF67" s="267"/>
      <c r="EG67" s="267"/>
      <c r="EH67" s="267"/>
      <c r="EI67" s="267"/>
      <c r="EJ67" s="267"/>
      <c r="EK67" s="267"/>
      <c r="EL67" s="267"/>
      <c r="EM67" s="267"/>
      <c r="EN67" s="267"/>
      <c r="EO67" s="267"/>
      <c r="EP67" s="267"/>
      <c r="EQ67" s="267"/>
      <c r="ER67" s="267"/>
      <c r="ES67" s="267"/>
      <c r="ET67" s="267"/>
      <c r="EU67" s="267"/>
      <c r="EV67" s="267"/>
      <c r="EW67" s="267"/>
      <c r="EX67" s="267"/>
      <c r="EY67" s="267"/>
      <c r="EZ67" s="267"/>
      <c r="FA67" s="267"/>
      <c r="FB67" s="267"/>
      <c r="FC67" s="267"/>
      <c r="FD67" s="267"/>
      <c r="FE67" s="267"/>
      <c r="FF67" s="267"/>
      <c r="FG67" s="267"/>
      <c r="FH67" s="267"/>
      <c r="FI67" s="267"/>
      <c r="FJ67" s="267"/>
      <c r="FK67" s="267"/>
      <c r="FL67" s="267"/>
      <c r="FM67" s="267"/>
      <c r="FN67" s="267"/>
      <c r="FO67" s="267"/>
      <c r="FP67" s="267"/>
      <c r="FQ67" s="267"/>
      <c r="FR67" s="267"/>
      <c r="FS67" s="267"/>
      <c r="FT67" s="267"/>
      <c r="FU67" s="267"/>
      <c r="FV67" s="267"/>
      <c r="FW67" s="267"/>
      <c r="FX67" s="267"/>
      <c r="FY67" s="267"/>
      <c r="FZ67" s="267"/>
      <c r="GA67" s="267"/>
      <c r="GB67" s="267"/>
      <c r="GC67" s="267"/>
      <c r="GD67" s="267"/>
      <c r="GE67" s="267"/>
      <c r="GF67" s="267"/>
      <c r="GG67" s="267"/>
      <c r="GH67" s="267"/>
      <c r="GI67" s="267"/>
      <c r="GJ67" s="267"/>
      <c r="GK67" s="267"/>
      <c r="GL67" s="267"/>
      <c r="GM67" s="267"/>
      <c r="GN67" s="267"/>
      <c r="GO67" s="267"/>
      <c r="GP67" s="267"/>
      <c r="GQ67" s="267"/>
      <c r="GR67" s="267"/>
      <c r="GS67" s="267"/>
      <c r="GT67" s="267"/>
      <c r="GU67" s="267"/>
      <c r="GV67" s="267"/>
      <c r="GW67" s="267"/>
      <c r="GX67" s="267"/>
      <c r="GY67" s="267"/>
      <c r="GZ67" s="267"/>
      <c r="HA67" s="267"/>
      <c r="HB67" s="267"/>
      <c r="HC67" s="267"/>
      <c r="HD67" s="267"/>
      <c r="HE67" s="267"/>
      <c r="HF67" s="267"/>
      <c r="HG67" s="267"/>
      <c r="HH67" s="267"/>
      <c r="HI67" s="267"/>
      <c r="HJ67" s="267"/>
      <c r="HK67" s="267"/>
      <c r="HL67" s="267"/>
      <c r="HM67" s="267"/>
      <c r="HN67" s="267"/>
      <c r="HO67" s="267"/>
      <c r="HP67" s="267"/>
      <c r="HQ67" s="267"/>
      <c r="HR67" s="267"/>
      <c r="HS67" s="267"/>
      <c r="HT67" s="267"/>
      <c r="HU67" s="267"/>
      <c r="HV67" s="267"/>
      <c r="HW67" s="267"/>
      <c r="HX67" s="267"/>
      <c r="HY67" s="267"/>
      <c r="HZ67" s="267"/>
      <c r="IA67" s="267"/>
      <c r="IB67" s="267"/>
      <c r="IC67" s="267"/>
      <c r="ID67" s="267"/>
      <c r="IE67" s="267"/>
      <c r="IF67" s="267"/>
      <c r="IG67" s="267"/>
      <c r="IH67" s="267"/>
      <c r="II67" s="267"/>
      <c r="IJ67" s="267"/>
      <c r="IK67" s="267"/>
      <c r="IL67" s="267"/>
      <c r="IM67" s="267"/>
      <c r="IN67" s="267"/>
      <c r="IO67" s="267"/>
      <c r="IP67" s="267"/>
      <c r="IQ67" s="267"/>
      <c r="IR67" s="267"/>
      <c r="IS67" s="267"/>
      <c r="IT67" s="267"/>
      <c r="IU67" s="267"/>
      <c r="IV67" s="267"/>
      <c r="IW67" s="267"/>
    </row>
    <row r="68" customFormat="false" ht="12" hidden="false" customHeight="true" outlineLevel="0" collapsed="false">
      <c r="A68" s="294"/>
      <c r="B68" s="272"/>
      <c r="C68" s="302"/>
      <c r="D68" s="305"/>
      <c r="E68" s="315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347"/>
      <c r="R68" s="348"/>
      <c r="S68" s="349"/>
      <c r="T68" s="349"/>
      <c r="U68" s="349"/>
      <c r="V68" s="349"/>
      <c r="W68" s="349"/>
      <c r="X68" s="349"/>
      <c r="Y68" s="347"/>
      <c r="Z68" s="347"/>
      <c r="AA68" s="284"/>
      <c r="AB68" s="302"/>
      <c r="AC68" s="265"/>
      <c r="AD68" s="303"/>
      <c r="AE68" s="266"/>
      <c r="AF68" s="266"/>
      <c r="AG68" s="266"/>
      <c r="AH68" s="266"/>
      <c r="AI68" s="266"/>
      <c r="AJ68" s="266"/>
      <c r="AK68" s="267"/>
      <c r="AL68" s="267"/>
      <c r="AM68" s="267"/>
      <c r="AN68" s="267"/>
      <c r="AO68" s="267"/>
      <c r="AP68" s="267"/>
      <c r="AQ68" s="267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267"/>
      <c r="BD68" s="267"/>
      <c r="BE68" s="267"/>
      <c r="BF68" s="267"/>
      <c r="BG68" s="267"/>
      <c r="BH68" s="267"/>
      <c r="BI68" s="267"/>
      <c r="BJ68" s="267"/>
      <c r="BK68" s="267"/>
      <c r="BL68" s="267"/>
      <c r="BM68" s="267"/>
      <c r="BN68" s="267"/>
      <c r="BO68" s="267"/>
      <c r="BP68" s="267"/>
      <c r="BQ68" s="267"/>
      <c r="BR68" s="267"/>
      <c r="BS68" s="267"/>
      <c r="BT68" s="267"/>
      <c r="BU68" s="267"/>
      <c r="BV68" s="267"/>
      <c r="BW68" s="267"/>
      <c r="BX68" s="267"/>
      <c r="BY68" s="267"/>
      <c r="BZ68" s="267"/>
      <c r="CA68" s="267"/>
      <c r="CB68" s="267"/>
      <c r="CC68" s="267"/>
      <c r="CD68" s="267"/>
      <c r="CE68" s="267"/>
      <c r="CF68" s="267"/>
      <c r="CG68" s="267"/>
      <c r="CH68" s="267"/>
      <c r="CI68" s="267"/>
      <c r="CJ68" s="267"/>
      <c r="CK68" s="267"/>
      <c r="CL68" s="267"/>
      <c r="CM68" s="267"/>
      <c r="CN68" s="267"/>
      <c r="CO68" s="267"/>
      <c r="CP68" s="267"/>
      <c r="CQ68" s="267"/>
      <c r="CR68" s="267"/>
      <c r="CS68" s="267"/>
      <c r="CT68" s="267"/>
      <c r="CU68" s="267"/>
      <c r="CV68" s="267"/>
      <c r="CW68" s="267"/>
      <c r="CX68" s="267"/>
      <c r="CY68" s="267"/>
      <c r="CZ68" s="267"/>
      <c r="DA68" s="267"/>
      <c r="DB68" s="267"/>
      <c r="DC68" s="267"/>
      <c r="DD68" s="267"/>
      <c r="DE68" s="267"/>
      <c r="DF68" s="267"/>
      <c r="DG68" s="267"/>
      <c r="DH68" s="267"/>
      <c r="DI68" s="267"/>
      <c r="DJ68" s="267"/>
      <c r="DK68" s="267"/>
      <c r="DL68" s="267"/>
      <c r="DM68" s="267"/>
      <c r="DN68" s="267"/>
      <c r="DO68" s="267"/>
      <c r="DP68" s="267"/>
      <c r="DQ68" s="267"/>
      <c r="DR68" s="267"/>
      <c r="DS68" s="267"/>
      <c r="DT68" s="267"/>
      <c r="DU68" s="267"/>
      <c r="DV68" s="267"/>
      <c r="DW68" s="267"/>
      <c r="DX68" s="267"/>
      <c r="DY68" s="267"/>
      <c r="DZ68" s="267"/>
      <c r="EA68" s="267"/>
      <c r="EB68" s="267"/>
      <c r="EC68" s="267"/>
      <c r="ED68" s="267"/>
      <c r="EE68" s="267"/>
      <c r="EF68" s="267"/>
      <c r="EG68" s="267"/>
      <c r="EH68" s="267"/>
      <c r="EI68" s="267"/>
      <c r="EJ68" s="267"/>
      <c r="EK68" s="267"/>
      <c r="EL68" s="267"/>
      <c r="EM68" s="267"/>
      <c r="EN68" s="267"/>
      <c r="EO68" s="267"/>
      <c r="EP68" s="267"/>
      <c r="EQ68" s="267"/>
      <c r="ER68" s="267"/>
      <c r="ES68" s="267"/>
      <c r="ET68" s="267"/>
      <c r="EU68" s="267"/>
      <c r="EV68" s="267"/>
      <c r="EW68" s="267"/>
      <c r="EX68" s="267"/>
      <c r="EY68" s="267"/>
      <c r="EZ68" s="267"/>
      <c r="FA68" s="267"/>
      <c r="FB68" s="267"/>
      <c r="FC68" s="267"/>
      <c r="FD68" s="267"/>
      <c r="FE68" s="267"/>
      <c r="FF68" s="267"/>
      <c r="FG68" s="267"/>
      <c r="FH68" s="267"/>
      <c r="FI68" s="267"/>
      <c r="FJ68" s="267"/>
      <c r="FK68" s="267"/>
      <c r="FL68" s="267"/>
      <c r="FM68" s="267"/>
      <c r="FN68" s="267"/>
      <c r="FO68" s="267"/>
      <c r="FP68" s="267"/>
      <c r="FQ68" s="267"/>
      <c r="FR68" s="267"/>
      <c r="FS68" s="267"/>
      <c r="FT68" s="267"/>
      <c r="FU68" s="267"/>
      <c r="FV68" s="267"/>
      <c r="FW68" s="267"/>
      <c r="FX68" s="267"/>
      <c r="FY68" s="267"/>
      <c r="FZ68" s="267"/>
      <c r="GA68" s="267"/>
      <c r="GB68" s="267"/>
      <c r="GC68" s="267"/>
      <c r="GD68" s="267"/>
      <c r="GE68" s="267"/>
      <c r="GF68" s="267"/>
      <c r="GG68" s="267"/>
      <c r="GH68" s="267"/>
      <c r="GI68" s="267"/>
      <c r="GJ68" s="267"/>
      <c r="GK68" s="267"/>
      <c r="GL68" s="267"/>
      <c r="GM68" s="267"/>
      <c r="GN68" s="267"/>
      <c r="GO68" s="267"/>
      <c r="GP68" s="267"/>
      <c r="GQ68" s="267"/>
      <c r="GR68" s="267"/>
      <c r="GS68" s="267"/>
      <c r="GT68" s="267"/>
      <c r="GU68" s="267"/>
      <c r="GV68" s="267"/>
      <c r="GW68" s="267"/>
      <c r="GX68" s="267"/>
      <c r="GY68" s="267"/>
      <c r="GZ68" s="267"/>
      <c r="HA68" s="267"/>
      <c r="HB68" s="267"/>
      <c r="HC68" s="267"/>
      <c r="HD68" s="267"/>
      <c r="HE68" s="267"/>
      <c r="HF68" s="267"/>
      <c r="HG68" s="267"/>
      <c r="HH68" s="267"/>
      <c r="HI68" s="267"/>
      <c r="HJ68" s="267"/>
      <c r="HK68" s="267"/>
      <c r="HL68" s="267"/>
      <c r="HM68" s="267"/>
      <c r="HN68" s="267"/>
      <c r="HO68" s="267"/>
      <c r="HP68" s="267"/>
      <c r="HQ68" s="267"/>
      <c r="HR68" s="267"/>
      <c r="HS68" s="267"/>
      <c r="HT68" s="267"/>
      <c r="HU68" s="267"/>
      <c r="HV68" s="267"/>
      <c r="HW68" s="267"/>
      <c r="HX68" s="267"/>
      <c r="HY68" s="267"/>
      <c r="HZ68" s="267"/>
      <c r="IA68" s="267"/>
      <c r="IB68" s="267"/>
      <c r="IC68" s="267"/>
      <c r="ID68" s="267"/>
      <c r="IE68" s="267"/>
      <c r="IF68" s="267"/>
      <c r="IG68" s="267"/>
      <c r="IH68" s="267"/>
      <c r="II68" s="267"/>
      <c r="IJ68" s="267"/>
      <c r="IK68" s="267"/>
      <c r="IL68" s="267"/>
      <c r="IM68" s="267"/>
      <c r="IN68" s="267"/>
      <c r="IO68" s="267"/>
      <c r="IP68" s="267"/>
      <c r="IQ68" s="267"/>
      <c r="IR68" s="267"/>
      <c r="IS68" s="267"/>
      <c r="IT68" s="267"/>
      <c r="IU68" s="267"/>
      <c r="IV68" s="267"/>
      <c r="IW68" s="267"/>
    </row>
    <row r="69" customFormat="false" ht="12.75" hidden="false" customHeight="false" outlineLevel="0" collapsed="false">
      <c r="A69" s="294" t="s">
        <v>130</v>
      </c>
      <c r="B69" s="271" t="s">
        <v>131</v>
      </c>
      <c r="C69" s="302" t="s">
        <v>133</v>
      </c>
      <c r="D69" s="305" t="n">
        <f aca="false">'E. VaR &amp; Peak Pos By Trader'!E69</f>
        <v>0</v>
      </c>
      <c r="E69" s="315" t="n">
        <f aca="false">'E. VaR &amp; Peak Pos By Trader'!F69</f>
        <v>0</v>
      </c>
      <c r="F69" s="274" t="n">
        <f aca="false">VLOOKUP($B69,'[3]Delta Monthly'!$A$1:$AW$55,5,1)</f>
        <v>0</v>
      </c>
      <c r="G69" s="274" t="n">
        <f aca="false">VLOOKUP($B69,'[3]Delta Monthly'!$A$1:$AW$55,7,1)</f>
        <v>0</v>
      </c>
      <c r="H69" s="274" t="n">
        <f aca="false">VLOOKUP($B69,'[3]Delta Monthly'!$A$1:$AW$55,9,1)</f>
        <v>0</v>
      </c>
      <c r="I69" s="274" t="n">
        <v>0</v>
      </c>
      <c r="J69" s="274" t="n">
        <v>0</v>
      </c>
      <c r="K69" s="274" t="n">
        <v>0</v>
      </c>
      <c r="L69" s="274" t="n">
        <f aca="false">+VLOOKUP($B69,'[3]Delta Monthly'!$A$1:$AW$55,17,0)</f>
        <v>0</v>
      </c>
      <c r="M69" s="274" t="n">
        <f aca="false">VLOOKUP($B69,'[3]Delta Monthly'!$A$1:$AW$55,19,0)</f>
        <v>0</v>
      </c>
      <c r="N69" s="274" t="n">
        <f aca="false">VLOOKUP($B69,'[3]Delta Monthly'!$A$1:$AW$55,21,FALSE())</f>
        <v>0</v>
      </c>
      <c r="O69" s="274" t="n">
        <f aca="false">VLOOKUP($B69,'[3]Delta Monthly'!$A$1:$AW$55,23,FALSE())</f>
        <v>0</v>
      </c>
      <c r="P69" s="274" t="n">
        <f aca="false">VLOOKUP($B69,'[3]Delta Monthly'!$A$1:$AW$55,25,FALSE())</f>
        <v>0</v>
      </c>
      <c r="Q69" s="347" t="n">
        <f aca="false">SUM(F69:P69)</f>
        <v>0</v>
      </c>
      <c r="R69" s="305" t="n">
        <f aca="false">VLOOKUP($B69,'[3]Delta Monthly'!$A$1:$AW$55,27,0)+VLOOKUP($B69,'[3]Delta Monthly'!$A$1:$AW$55,29,0)</f>
        <v>0</v>
      </c>
      <c r="S69" s="274" t="n">
        <f aca="false">VLOOKUP($B69,'[3]Delta Monthly'!$A$1:$AW$55,31,0)+VLOOKUP($B69,'[3]Delta Monthly'!$A$1:$AW$55,33,0)</f>
        <v>0</v>
      </c>
      <c r="T69" s="274" t="n">
        <f aca="false">VLOOKUP($B69,'[3]Delta Monthly'!$A$1:$AW$55,35,0)</f>
        <v>0</v>
      </c>
      <c r="U69" s="274" t="n">
        <f aca="false">VLOOKUP($B69,'[3]Delta Monthly'!$A$1:$AW$55,37,0)</f>
        <v>0</v>
      </c>
      <c r="V69" s="274" t="n">
        <f aca="false">VLOOKUP($B69,'[3]Delta Monthly'!$A$1:$AW$55,39,0)+VLOOKUP($B69,'[3]Delta Monthly'!$A$1:$AW$55,41,0)</f>
        <v>0</v>
      </c>
      <c r="W69" s="274" t="n">
        <f aca="false">VLOOKUP($B69,'[3]Delta Monthly'!$A$1:$AW$55,43,0)</f>
        <v>0</v>
      </c>
      <c r="X69" s="274" t="n">
        <f aca="false">VLOOKUP($B69,'[3]Delta Monthly'!$A$1:$AW$55,45,0)+VLOOKUP($B69,'[3]Delta Monthly'!$A$1:$AW$55,47,0)+VLOOKUP($B69,'[3]Delta Monthly'!$A$1:$AW$55,49,0)</f>
        <v>0</v>
      </c>
      <c r="Y69" s="302" t="n">
        <f aca="false">SUM(R69:X69)</f>
        <v>0</v>
      </c>
      <c r="Z69" s="302" t="n">
        <f aca="false">VLOOKUP($B69,'[5]Delta Yearly'!$A$1:$AC$55,5,0)</f>
        <v>0</v>
      </c>
      <c r="AA69" s="284" t="n">
        <f aca="false">VLOOKUP($B69,'[5]Delta Yearly'!$A$1:$AC$55,7,FALSE())+VLOOKUP($B69,'[5]Delta Yearly'!$A$1:$AC$55,9,FALSE())+VLOOKUP($B69,'[5]Delta Yearly'!$A$1:$AC$55,11,FALSE())+VLOOKUP($B69,'[5]Delta Yearly'!$A$1:$AC$55,13,FALSE())+VLOOKUP($B69,'[5]Delta Yearly'!$A$1:$AC$55,15,FALSE())+VLOOKUP($B69,'[5]Delta Yearly'!$A$1:$AC$55,17,FALSE())+VLOOKUP($B69,'[5]Delta Yearly'!$A$1:$AC$55,19,FALSE())+VLOOKUP($B69,'[5]Delta Yearly'!$A$1:$AC$55,21,FALSE())+VLOOKUP($B69,'[5]Delta Yearly'!$A$1:$AC$55,23,FALSE())+VLOOKUP($B69,'[5]Delta Yearly'!$A$1:$AC$55,25,FALSE())+VLOOKUP($B69,'[5]Delta Yearly'!$A$1:$AC$55,27,FALSE())+VLOOKUP($B69,'[5]Delta Yearly'!$A$1:$AC$55,29,FALSE())</f>
        <v>0</v>
      </c>
      <c r="AB69" s="302" t="n">
        <f aca="false">SUM(AA69,Z69,Y69,Q69)</f>
        <v>0</v>
      </c>
      <c r="AC69" s="265"/>
      <c r="AD69" s="303"/>
      <c r="AE69" s="266"/>
      <c r="AF69" s="266"/>
      <c r="AG69" s="266"/>
      <c r="AH69" s="266"/>
      <c r="AI69" s="266"/>
      <c r="AJ69" s="266"/>
      <c r="AK69" s="267"/>
      <c r="AL69" s="267"/>
      <c r="AM69" s="267"/>
      <c r="AN69" s="267"/>
      <c r="AO69" s="267"/>
      <c r="AP69" s="267"/>
      <c r="AQ69" s="267"/>
      <c r="AR69" s="267"/>
      <c r="AS69" s="267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7"/>
      <c r="BH69" s="267"/>
      <c r="BI69" s="267"/>
      <c r="BJ69" s="267"/>
      <c r="BK69" s="267"/>
      <c r="BL69" s="267"/>
      <c r="BM69" s="267"/>
      <c r="BN69" s="267"/>
      <c r="BO69" s="267"/>
      <c r="BP69" s="267"/>
      <c r="BQ69" s="267"/>
      <c r="BR69" s="267"/>
      <c r="BS69" s="267"/>
      <c r="BT69" s="267"/>
      <c r="BU69" s="267"/>
      <c r="BV69" s="267"/>
      <c r="BW69" s="267"/>
      <c r="BX69" s="267"/>
      <c r="BY69" s="267"/>
      <c r="BZ69" s="267"/>
      <c r="CA69" s="267"/>
      <c r="CB69" s="267"/>
      <c r="CC69" s="267"/>
      <c r="CD69" s="267"/>
      <c r="CE69" s="267"/>
      <c r="CF69" s="267"/>
      <c r="CG69" s="267"/>
      <c r="CH69" s="267"/>
      <c r="CI69" s="267"/>
      <c r="CJ69" s="267"/>
      <c r="CK69" s="267"/>
      <c r="CL69" s="267"/>
      <c r="CM69" s="267"/>
      <c r="CN69" s="267"/>
      <c r="CO69" s="267"/>
      <c r="CP69" s="267"/>
      <c r="CQ69" s="267"/>
      <c r="CR69" s="267"/>
      <c r="CS69" s="267"/>
      <c r="CT69" s="267"/>
      <c r="CU69" s="267"/>
      <c r="CV69" s="267"/>
      <c r="CW69" s="267"/>
      <c r="CX69" s="267"/>
      <c r="CY69" s="267"/>
      <c r="CZ69" s="267"/>
      <c r="DA69" s="267"/>
      <c r="DB69" s="267"/>
      <c r="DC69" s="267"/>
      <c r="DD69" s="267"/>
      <c r="DE69" s="267"/>
      <c r="DF69" s="267"/>
      <c r="DG69" s="267"/>
      <c r="DH69" s="267"/>
      <c r="DI69" s="267"/>
      <c r="DJ69" s="267"/>
      <c r="DK69" s="267"/>
      <c r="DL69" s="267"/>
      <c r="DM69" s="267"/>
      <c r="DN69" s="267"/>
      <c r="DO69" s="267"/>
      <c r="DP69" s="267"/>
      <c r="DQ69" s="267"/>
      <c r="DR69" s="267"/>
      <c r="DS69" s="267"/>
      <c r="DT69" s="267"/>
      <c r="DU69" s="267"/>
      <c r="DV69" s="267"/>
      <c r="DW69" s="267"/>
      <c r="DX69" s="267"/>
      <c r="DY69" s="267"/>
      <c r="DZ69" s="267"/>
      <c r="EA69" s="267"/>
      <c r="EB69" s="267"/>
      <c r="EC69" s="267"/>
      <c r="ED69" s="267"/>
      <c r="EE69" s="267"/>
      <c r="EF69" s="267"/>
      <c r="EG69" s="267"/>
      <c r="EH69" s="267"/>
      <c r="EI69" s="267"/>
      <c r="EJ69" s="267"/>
      <c r="EK69" s="267"/>
      <c r="EL69" s="267"/>
      <c r="EM69" s="267"/>
      <c r="EN69" s="267"/>
      <c r="EO69" s="267"/>
      <c r="EP69" s="267"/>
      <c r="EQ69" s="267"/>
      <c r="ER69" s="267"/>
      <c r="ES69" s="267"/>
      <c r="ET69" s="267"/>
      <c r="EU69" s="267"/>
      <c r="EV69" s="267"/>
      <c r="EW69" s="267"/>
      <c r="EX69" s="267"/>
      <c r="EY69" s="267"/>
      <c r="EZ69" s="267"/>
      <c r="FA69" s="267"/>
      <c r="FB69" s="267"/>
      <c r="FC69" s="267"/>
      <c r="FD69" s="267"/>
      <c r="FE69" s="267"/>
      <c r="FF69" s="267"/>
      <c r="FG69" s="267"/>
      <c r="FH69" s="267"/>
      <c r="FI69" s="267"/>
      <c r="FJ69" s="267"/>
      <c r="FK69" s="267"/>
      <c r="FL69" s="267"/>
      <c r="FM69" s="267"/>
      <c r="FN69" s="267"/>
      <c r="FO69" s="267"/>
      <c r="FP69" s="267"/>
      <c r="FQ69" s="267"/>
      <c r="FR69" s="267"/>
      <c r="FS69" s="267"/>
      <c r="FT69" s="267"/>
      <c r="FU69" s="267"/>
      <c r="FV69" s="267"/>
      <c r="FW69" s="267"/>
      <c r="FX69" s="267"/>
      <c r="FY69" s="267"/>
      <c r="FZ69" s="267"/>
      <c r="GA69" s="267"/>
      <c r="GB69" s="267"/>
      <c r="GC69" s="267"/>
      <c r="GD69" s="267"/>
      <c r="GE69" s="267"/>
      <c r="GF69" s="267"/>
      <c r="GG69" s="267"/>
      <c r="GH69" s="267"/>
      <c r="GI69" s="267"/>
      <c r="GJ69" s="267"/>
      <c r="GK69" s="267"/>
      <c r="GL69" s="267"/>
      <c r="GM69" s="267"/>
      <c r="GN69" s="267"/>
      <c r="GO69" s="267"/>
      <c r="GP69" s="267"/>
      <c r="GQ69" s="267"/>
      <c r="GR69" s="267"/>
      <c r="GS69" s="267"/>
      <c r="GT69" s="267"/>
      <c r="GU69" s="267"/>
      <c r="GV69" s="267"/>
      <c r="GW69" s="267"/>
      <c r="GX69" s="267"/>
      <c r="GY69" s="267"/>
      <c r="GZ69" s="267"/>
      <c r="HA69" s="267"/>
      <c r="HB69" s="267"/>
      <c r="HC69" s="267"/>
      <c r="HD69" s="267"/>
      <c r="HE69" s="267"/>
      <c r="HF69" s="267"/>
      <c r="HG69" s="267"/>
      <c r="HH69" s="267"/>
      <c r="HI69" s="267"/>
      <c r="HJ69" s="267"/>
      <c r="HK69" s="267"/>
      <c r="HL69" s="267"/>
      <c r="HM69" s="267"/>
      <c r="HN69" s="267"/>
      <c r="HO69" s="267"/>
      <c r="HP69" s="267"/>
      <c r="HQ69" s="267"/>
      <c r="HR69" s="267"/>
      <c r="HS69" s="267"/>
      <c r="HT69" s="267"/>
      <c r="HU69" s="267"/>
      <c r="HV69" s="267"/>
      <c r="HW69" s="267"/>
      <c r="HX69" s="267"/>
      <c r="HY69" s="267"/>
      <c r="HZ69" s="267"/>
      <c r="IA69" s="267"/>
      <c r="IB69" s="267"/>
      <c r="IC69" s="267"/>
      <c r="ID69" s="267"/>
      <c r="IE69" s="267"/>
      <c r="IF69" s="267"/>
      <c r="IG69" s="267"/>
      <c r="IH69" s="267"/>
      <c r="II69" s="267"/>
      <c r="IJ69" s="267"/>
      <c r="IK69" s="267"/>
      <c r="IL69" s="267"/>
      <c r="IM69" s="267"/>
      <c r="IN69" s="267"/>
      <c r="IO69" s="267"/>
      <c r="IP69" s="267"/>
      <c r="IQ69" s="267"/>
      <c r="IR69" s="267"/>
      <c r="IS69" s="267"/>
      <c r="IT69" s="267"/>
      <c r="IU69" s="267"/>
      <c r="IV69" s="267"/>
      <c r="IW69" s="267"/>
    </row>
    <row r="70" customFormat="false" ht="13.5" hidden="false" customHeight="false" outlineLevel="0" collapsed="false">
      <c r="A70" s="294"/>
      <c r="B70" s="272"/>
      <c r="C70" s="302"/>
      <c r="D70" s="305"/>
      <c r="E70" s="315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302"/>
      <c r="R70" s="286"/>
      <c r="S70" s="284"/>
      <c r="T70" s="284"/>
      <c r="U70" s="284"/>
      <c r="V70" s="284"/>
      <c r="W70" s="284"/>
      <c r="X70" s="284"/>
      <c r="Y70" s="302"/>
      <c r="Z70" s="302"/>
      <c r="AA70" s="284"/>
      <c r="AB70" s="302"/>
      <c r="AC70" s="265"/>
      <c r="AD70" s="303"/>
      <c r="AE70" s="266"/>
      <c r="AF70" s="266"/>
      <c r="AG70" s="266"/>
      <c r="AH70" s="266"/>
      <c r="AI70" s="266"/>
      <c r="AJ70" s="266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  <c r="BI70" s="267"/>
      <c r="BJ70" s="267"/>
      <c r="BK70" s="267"/>
      <c r="BL70" s="267"/>
      <c r="BM70" s="267"/>
      <c r="BN70" s="267"/>
      <c r="BO70" s="267"/>
      <c r="BP70" s="267"/>
      <c r="BQ70" s="267"/>
      <c r="BR70" s="267"/>
      <c r="BS70" s="267"/>
      <c r="BT70" s="267"/>
      <c r="BU70" s="267"/>
      <c r="BV70" s="267"/>
      <c r="BW70" s="267"/>
      <c r="BX70" s="267"/>
      <c r="BY70" s="267"/>
      <c r="BZ70" s="267"/>
      <c r="CA70" s="267"/>
      <c r="CB70" s="267"/>
      <c r="CC70" s="267"/>
      <c r="CD70" s="267"/>
      <c r="CE70" s="267"/>
      <c r="CF70" s="267"/>
      <c r="CG70" s="267"/>
      <c r="CH70" s="267"/>
      <c r="CI70" s="267"/>
      <c r="CJ70" s="267"/>
      <c r="CK70" s="267"/>
      <c r="CL70" s="267"/>
      <c r="CM70" s="267"/>
      <c r="CN70" s="267"/>
      <c r="CO70" s="267"/>
      <c r="CP70" s="267"/>
      <c r="CQ70" s="267"/>
      <c r="CR70" s="267"/>
      <c r="CS70" s="267"/>
      <c r="CT70" s="267"/>
      <c r="CU70" s="267"/>
      <c r="CV70" s="267"/>
      <c r="CW70" s="267"/>
      <c r="CX70" s="267"/>
      <c r="CY70" s="267"/>
      <c r="CZ70" s="267"/>
      <c r="DA70" s="267"/>
      <c r="DB70" s="267"/>
      <c r="DC70" s="267"/>
      <c r="DD70" s="267"/>
      <c r="DE70" s="267"/>
      <c r="DF70" s="267"/>
      <c r="DG70" s="267"/>
      <c r="DH70" s="267"/>
      <c r="DI70" s="267"/>
      <c r="DJ70" s="267"/>
      <c r="DK70" s="267"/>
      <c r="DL70" s="267"/>
      <c r="DM70" s="267"/>
      <c r="DN70" s="267"/>
      <c r="DO70" s="267"/>
      <c r="DP70" s="267"/>
      <c r="DQ70" s="267"/>
      <c r="DR70" s="267"/>
      <c r="DS70" s="267"/>
      <c r="DT70" s="267"/>
      <c r="DU70" s="267"/>
      <c r="DV70" s="267"/>
      <c r="DW70" s="267"/>
      <c r="DX70" s="267"/>
      <c r="DY70" s="267"/>
      <c r="DZ70" s="267"/>
      <c r="EA70" s="267"/>
      <c r="EB70" s="267"/>
      <c r="EC70" s="267"/>
      <c r="ED70" s="267"/>
      <c r="EE70" s="267"/>
      <c r="EF70" s="267"/>
      <c r="EG70" s="267"/>
      <c r="EH70" s="267"/>
      <c r="EI70" s="267"/>
      <c r="EJ70" s="267"/>
      <c r="EK70" s="267"/>
      <c r="EL70" s="267"/>
      <c r="EM70" s="267"/>
      <c r="EN70" s="267"/>
      <c r="EO70" s="267"/>
      <c r="EP70" s="267"/>
      <c r="EQ70" s="267"/>
      <c r="ER70" s="267"/>
      <c r="ES70" s="267"/>
      <c r="ET70" s="267"/>
      <c r="EU70" s="267"/>
      <c r="EV70" s="267"/>
      <c r="EW70" s="267"/>
      <c r="EX70" s="267"/>
      <c r="EY70" s="267"/>
      <c r="EZ70" s="267"/>
      <c r="FA70" s="267"/>
      <c r="FB70" s="267"/>
      <c r="FC70" s="267"/>
      <c r="FD70" s="267"/>
      <c r="FE70" s="267"/>
      <c r="FF70" s="267"/>
      <c r="FG70" s="267"/>
      <c r="FH70" s="267"/>
      <c r="FI70" s="267"/>
      <c r="FJ70" s="267"/>
      <c r="FK70" s="267"/>
      <c r="FL70" s="267"/>
      <c r="FM70" s="267"/>
      <c r="FN70" s="267"/>
      <c r="FO70" s="267"/>
      <c r="FP70" s="267"/>
      <c r="FQ70" s="267"/>
      <c r="FR70" s="267"/>
      <c r="FS70" s="267"/>
      <c r="FT70" s="267"/>
      <c r="FU70" s="267"/>
      <c r="FV70" s="267"/>
      <c r="FW70" s="267"/>
      <c r="FX70" s="267"/>
      <c r="FY70" s="267"/>
      <c r="FZ70" s="267"/>
      <c r="GA70" s="267"/>
      <c r="GB70" s="267"/>
      <c r="GC70" s="267"/>
      <c r="GD70" s="267"/>
      <c r="GE70" s="267"/>
      <c r="GF70" s="267"/>
      <c r="GG70" s="267"/>
      <c r="GH70" s="267"/>
      <c r="GI70" s="267"/>
      <c r="GJ70" s="267"/>
      <c r="GK70" s="267"/>
      <c r="GL70" s="267"/>
      <c r="GM70" s="267"/>
      <c r="GN70" s="267"/>
      <c r="GO70" s="267"/>
      <c r="GP70" s="267"/>
      <c r="GQ70" s="267"/>
      <c r="GR70" s="267"/>
      <c r="GS70" s="267"/>
      <c r="GT70" s="267"/>
      <c r="GU70" s="267"/>
      <c r="GV70" s="267"/>
      <c r="GW70" s="267"/>
      <c r="GX70" s="267"/>
      <c r="GY70" s="267"/>
      <c r="GZ70" s="267"/>
      <c r="HA70" s="267"/>
      <c r="HB70" s="267"/>
      <c r="HC70" s="267"/>
      <c r="HD70" s="267"/>
      <c r="HE70" s="267"/>
      <c r="HF70" s="267"/>
      <c r="HG70" s="267"/>
      <c r="HH70" s="267"/>
      <c r="HI70" s="267"/>
      <c r="HJ70" s="267"/>
      <c r="HK70" s="267"/>
      <c r="HL70" s="267"/>
      <c r="HM70" s="267"/>
      <c r="HN70" s="267"/>
      <c r="HO70" s="267"/>
      <c r="HP70" s="267"/>
      <c r="HQ70" s="267"/>
      <c r="HR70" s="267"/>
      <c r="HS70" s="267"/>
      <c r="HT70" s="267"/>
      <c r="HU70" s="267"/>
      <c r="HV70" s="267"/>
      <c r="HW70" s="267"/>
      <c r="HX70" s="267"/>
      <c r="HY70" s="267"/>
      <c r="HZ70" s="267"/>
      <c r="IA70" s="267"/>
      <c r="IB70" s="267"/>
      <c r="IC70" s="267"/>
      <c r="ID70" s="267"/>
      <c r="IE70" s="267"/>
      <c r="IF70" s="267"/>
      <c r="IG70" s="267"/>
      <c r="IH70" s="267"/>
      <c r="II70" s="267"/>
      <c r="IJ70" s="267"/>
      <c r="IK70" s="267"/>
      <c r="IL70" s="267"/>
      <c r="IM70" s="267"/>
      <c r="IN70" s="267"/>
      <c r="IO70" s="267"/>
      <c r="IP70" s="267"/>
      <c r="IQ70" s="267"/>
      <c r="IR70" s="267"/>
      <c r="IS70" s="267"/>
      <c r="IT70" s="267"/>
      <c r="IU70" s="267"/>
      <c r="IV70" s="267"/>
      <c r="IW70" s="267"/>
    </row>
    <row r="71" customFormat="false" ht="12" hidden="false" customHeight="true" outlineLevel="0" collapsed="false">
      <c r="A71" s="318" t="s">
        <v>134</v>
      </c>
      <c r="B71" s="319" t="s">
        <v>134</v>
      </c>
      <c r="C71" s="320"/>
      <c r="D71" s="345" t="n">
        <f aca="false">'E. VaR &amp; Peak Pos By Trader'!E71</f>
        <v>2393195.74499811</v>
      </c>
      <c r="E71" s="320" t="n">
        <f aca="false">'E. VaR &amp; Peak Pos By Trader'!F71</f>
        <v>11052.3027150701</v>
      </c>
      <c r="F71" s="322" t="n">
        <f aca="false">SUM(F63,F67,F69)</f>
        <v>0</v>
      </c>
      <c r="G71" s="322" t="n">
        <f aca="false">SUM(G63,G67,G69)</f>
        <v>0</v>
      </c>
      <c r="H71" s="322" t="n">
        <f aca="false">SUM(H63,H67,H69)</f>
        <v>0</v>
      </c>
      <c r="I71" s="322" t="n">
        <f aca="false">SUM(I63,I67,I69)</f>
        <v>0</v>
      </c>
      <c r="J71" s="322" t="n">
        <f aca="false">SUM(J63,J67,J69)</f>
        <v>0</v>
      </c>
      <c r="K71" s="322" t="n">
        <f aca="false">SUM(K63,K67,K69)</f>
        <v>0</v>
      </c>
      <c r="L71" s="322" t="n">
        <f aca="false">SUM(L63,L67,L69)</f>
        <v>0</v>
      </c>
      <c r="M71" s="322" t="n">
        <f aca="false">SUM(M63,M67,M69)</f>
        <v>0</v>
      </c>
      <c r="N71" s="322" t="n">
        <f aca="false">SUM(N63,N65,N67,N69)</f>
        <v>0</v>
      </c>
      <c r="O71" s="322" t="n">
        <f aca="false">SUM(O63,O65,O67,O69)</f>
        <v>399.581159157838</v>
      </c>
      <c r="P71" s="322" t="n">
        <f aca="false">SUM(P63,P65,P67,P69)</f>
        <v>-21122.4595828265</v>
      </c>
      <c r="Q71" s="351" t="n">
        <f aca="false">SUM(Q63,Q65,Q67,Q69)</f>
        <v>-20722.8784236686</v>
      </c>
      <c r="R71" s="322" t="n">
        <f aca="false">SUM(R63,R65,R67,R69)</f>
        <v>-110904.430458357</v>
      </c>
      <c r="S71" s="322" t="n">
        <f aca="false">SUM(S63,S65,S67,S69)</f>
        <v>-115115.377527794</v>
      </c>
      <c r="T71" s="322" t="n">
        <f aca="false">SUM(T63,T65,T67,T69)</f>
        <v>-58051.6230772803</v>
      </c>
      <c r="U71" s="322" t="n">
        <f aca="false">SUM(U63,U65,U67,U69)</f>
        <v>-59112.8804302167</v>
      </c>
      <c r="V71" s="322" t="n">
        <f aca="false">SUM(V63,V65,V67,V69)</f>
        <v>-115460.46345462</v>
      </c>
      <c r="W71" s="322" t="n">
        <f aca="false">SUM(W63,W65,W67,W69)</f>
        <v>-58693.5999251073</v>
      </c>
      <c r="X71" s="322" t="n">
        <f aca="false">SUM(X63,X65,X67,X69)</f>
        <v>-172918.877362655</v>
      </c>
      <c r="Y71" s="320" t="n">
        <f aca="false">SUM(Y63,Y65,Y67,Y69)</f>
        <v>-690257.25223603</v>
      </c>
      <c r="Z71" s="320" t="n">
        <f aca="false">SUM(Z63,Z65,Z67,Z69)</f>
        <v>-443878.710463992</v>
      </c>
      <c r="AA71" s="320" t="n">
        <f aca="false">SUM(AA63,AA65,AA67,AA69)</f>
        <v>1042297.0965885</v>
      </c>
      <c r="AB71" s="320" t="n">
        <f aca="false">SUM(AB63,AB65,AB67,AB69)</f>
        <v>-112561.744535192</v>
      </c>
      <c r="AC71" s="265"/>
      <c r="AD71" s="303"/>
      <c r="AE71" s="266"/>
      <c r="AF71" s="266"/>
      <c r="AG71" s="266"/>
      <c r="AH71" s="266"/>
      <c r="AI71" s="266"/>
      <c r="AJ71" s="266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  <c r="BI71" s="267"/>
      <c r="BJ71" s="267"/>
      <c r="BK71" s="267"/>
      <c r="BL71" s="267"/>
      <c r="BM71" s="267"/>
      <c r="BN71" s="267"/>
      <c r="BO71" s="267"/>
      <c r="BP71" s="267"/>
      <c r="BQ71" s="267"/>
      <c r="BR71" s="267"/>
      <c r="BS71" s="267"/>
      <c r="BT71" s="267"/>
      <c r="BU71" s="267"/>
      <c r="BV71" s="267"/>
      <c r="BW71" s="267"/>
      <c r="BX71" s="267"/>
      <c r="BY71" s="267"/>
      <c r="BZ71" s="267"/>
      <c r="CA71" s="267"/>
      <c r="CB71" s="267"/>
      <c r="CC71" s="267"/>
      <c r="CD71" s="267"/>
      <c r="CE71" s="267"/>
      <c r="CF71" s="267"/>
      <c r="CG71" s="267"/>
      <c r="CH71" s="267"/>
      <c r="CI71" s="267"/>
      <c r="CJ71" s="267"/>
      <c r="CK71" s="267"/>
      <c r="CL71" s="267"/>
      <c r="CM71" s="267"/>
      <c r="CN71" s="267"/>
      <c r="CO71" s="267"/>
      <c r="CP71" s="267"/>
      <c r="CQ71" s="267"/>
      <c r="CR71" s="267"/>
      <c r="CS71" s="267"/>
      <c r="CT71" s="267"/>
      <c r="CU71" s="267"/>
      <c r="CV71" s="267"/>
      <c r="CW71" s="267"/>
      <c r="CX71" s="267"/>
      <c r="CY71" s="267"/>
      <c r="CZ71" s="267"/>
      <c r="DA71" s="267"/>
      <c r="DB71" s="267"/>
      <c r="DC71" s="267"/>
      <c r="DD71" s="267"/>
      <c r="DE71" s="267"/>
      <c r="DF71" s="267"/>
      <c r="DG71" s="267"/>
      <c r="DH71" s="267"/>
      <c r="DI71" s="267"/>
      <c r="DJ71" s="267"/>
      <c r="DK71" s="267"/>
      <c r="DL71" s="267"/>
      <c r="DM71" s="267"/>
      <c r="DN71" s="267"/>
      <c r="DO71" s="267"/>
      <c r="DP71" s="267"/>
      <c r="DQ71" s="267"/>
      <c r="DR71" s="267"/>
      <c r="DS71" s="267"/>
      <c r="DT71" s="267"/>
      <c r="DU71" s="267"/>
      <c r="DV71" s="267"/>
      <c r="DW71" s="267"/>
      <c r="DX71" s="267"/>
      <c r="DY71" s="267"/>
      <c r="DZ71" s="267"/>
      <c r="EA71" s="267"/>
      <c r="EB71" s="267"/>
      <c r="EC71" s="267"/>
      <c r="ED71" s="267"/>
      <c r="EE71" s="267"/>
      <c r="EF71" s="267"/>
      <c r="EG71" s="267"/>
      <c r="EH71" s="267"/>
      <c r="EI71" s="267"/>
      <c r="EJ71" s="267"/>
      <c r="EK71" s="267"/>
      <c r="EL71" s="267"/>
      <c r="EM71" s="267"/>
      <c r="EN71" s="267"/>
      <c r="EO71" s="267"/>
      <c r="EP71" s="267"/>
      <c r="EQ71" s="267"/>
      <c r="ER71" s="267"/>
      <c r="ES71" s="267"/>
      <c r="ET71" s="267"/>
      <c r="EU71" s="267"/>
      <c r="EV71" s="267"/>
      <c r="EW71" s="267"/>
      <c r="EX71" s="267"/>
      <c r="EY71" s="267"/>
      <c r="EZ71" s="267"/>
      <c r="FA71" s="267"/>
      <c r="FB71" s="267"/>
      <c r="FC71" s="267"/>
      <c r="FD71" s="267"/>
      <c r="FE71" s="267"/>
      <c r="FF71" s="267"/>
      <c r="FG71" s="267"/>
      <c r="FH71" s="267"/>
      <c r="FI71" s="267"/>
      <c r="FJ71" s="267"/>
      <c r="FK71" s="267"/>
      <c r="FL71" s="267"/>
      <c r="FM71" s="267"/>
      <c r="FN71" s="267"/>
      <c r="FO71" s="267"/>
      <c r="FP71" s="267"/>
      <c r="FQ71" s="267"/>
      <c r="FR71" s="267"/>
      <c r="FS71" s="267"/>
      <c r="FT71" s="267"/>
      <c r="FU71" s="267"/>
      <c r="FV71" s="267"/>
      <c r="FW71" s="267"/>
      <c r="FX71" s="267"/>
      <c r="FY71" s="267"/>
      <c r="FZ71" s="267"/>
      <c r="GA71" s="267"/>
      <c r="GB71" s="267"/>
      <c r="GC71" s="267"/>
      <c r="GD71" s="267"/>
      <c r="GE71" s="267"/>
      <c r="GF71" s="267"/>
      <c r="GG71" s="267"/>
      <c r="GH71" s="267"/>
      <c r="GI71" s="267"/>
      <c r="GJ71" s="267"/>
      <c r="GK71" s="267"/>
      <c r="GL71" s="267"/>
      <c r="GM71" s="267"/>
      <c r="GN71" s="267"/>
      <c r="GO71" s="267"/>
      <c r="GP71" s="267"/>
      <c r="GQ71" s="267"/>
      <c r="GR71" s="267"/>
      <c r="GS71" s="267"/>
      <c r="GT71" s="267"/>
      <c r="GU71" s="267"/>
      <c r="GV71" s="267"/>
      <c r="GW71" s="267"/>
      <c r="GX71" s="267"/>
      <c r="GY71" s="267"/>
      <c r="GZ71" s="267"/>
      <c r="HA71" s="267"/>
      <c r="HB71" s="267"/>
      <c r="HC71" s="267"/>
      <c r="HD71" s="267"/>
      <c r="HE71" s="267"/>
      <c r="HF71" s="267"/>
      <c r="HG71" s="267"/>
      <c r="HH71" s="267"/>
      <c r="HI71" s="267"/>
      <c r="HJ71" s="267"/>
      <c r="HK71" s="267"/>
      <c r="HL71" s="267"/>
      <c r="HM71" s="267"/>
      <c r="HN71" s="267"/>
      <c r="HO71" s="267"/>
      <c r="HP71" s="267"/>
      <c r="HQ71" s="267"/>
      <c r="HR71" s="267"/>
      <c r="HS71" s="267"/>
      <c r="HT71" s="267"/>
      <c r="HU71" s="267"/>
      <c r="HV71" s="267"/>
      <c r="HW71" s="267"/>
      <c r="HX71" s="267"/>
      <c r="HY71" s="267"/>
      <c r="HZ71" s="267"/>
      <c r="IA71" s="267"/>
      <c r="IB71" s="267"/>
      <c r="IC71" s="267"/>
      <c r="ID71" s="267"/>
      <c r="IE71" s="267"/>
      <c r="IF71" s="267"/>
      <c r="IG71" s="267"/>
      <c r="IH71" s="267"/>
      <c r="II71" s="267"/>
      <c r="IJ71" s="267"/>
      <c r="IK71" s="267"/>
      <c r="IL71" s="267"/>
      <c r="IM71" s="267"/>
      <c r="IN71" s="267"/>
      <c r="IO71" s="267"/>
      <c r="IP71" s="267"/>
      <c r="IQ71" s="267"/>
      <c r="IR71" s="267"/>
      <c r="IS71" s="267"/>
      <c r="IT71" s="267"/>
      <c r="IU71" s="267"/>
      <c r="IV71" s="267"/>
      <c r="IW71" s="267"/>
    </row>
    <row r="72" customFormat="false" ht="12" hidden="false" customHeight="true" outlineLevel="0" collapsed="false">
      <c r="A72" s="271"/>
      <c r="B72" s="271"/>
      <c r="C72" s="284"/>
      <c r="D72" s="284"/>
      <c r="E72" s="28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84"/>
      <c r="R72" s="284"/>
      <c r="S72" s="284"/>
      <c r="T72" s="284"/>
      <c r="U72" s="284"/>
      <c r="V72" s="284"/>
      <c r="W72" s="284"/>
      <c r="X72" s="284"/>
      <c r="Y72" s="284"/>
      <c r="Z72" s="311"/>
      <c r="AA72" s="309"/>
      <c r="AB72" s="284"/>
      <c r="AC72" s="265"/>
      <c r="AD72" s="303"/>
      <c r="AE72" s="266"/>
      <c r="AF72" s="266"/>
      <c r="AG72" s="266"/>
      <c r="AH72" s="266"/>
      <c r="AI72" s="266"/>
      <c r="AJ72" s="266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7"/>
      <c r="CC72" s="267"/>
      <c r="CD72" s="267"/>
      <c r="CE72" s="267"/>
      <c r="CF72" s="267"/>
      <c r="CG72" s="267"/>
      <c r="CH72" s="267"/>
      <c r="CI72" s="267"/>
      <c r="CJ72" s="267"/>
      <c r="CK72" s="267"/>
      <c r="CL72" s="267"/>
      <c r="CM72" s="267"/>
      <c r="CN72" s="267"/>
      <c r="CO72" s="267"/>
      <c r="CP72" s="267"/>
      <c r="CQ72" s="267"/>
      <c r="CR72" s="267"/>
      <c r="CS72" s="267"/>
      <c r="CT72" s="267"/>
      <c r="CU72" s="267"/>
      <c r="CV72" s="267"/>
      <c r="CW72" s="267"/>
      <c r="CX72" s="267"/>
      <c r="CY72" s="267"/>
      <c r="CZ72" s="267"/>
      <c r="DA72" s="267"/>
      <c r="DB72" s="267"/>
      <c r="DC72" s="267"/>
      <c r="DD72" s="267"/>
      <c r="DE72" s="267"/>
      <c r="DF72" s="267"/>
      <c r="DG72" s="267"/>
      <c r="DH72" s="267"/>
      <c r="DI72" s="267"/>
      <c r="DJ72" s="267"/>
      <c r="DK72" s="267"/>
      <c r="DL72" s="267"/>
      <c r="DM72" s="267"/>
      <c r="DN72" s="267"/>
      <c r="DO72" s="267"/>
      <c r="DP72" s="267"/>
      <c r="DQ72" s="267"/>
      <c r="DR72" s="267"/>
      <c r="DS72" s="267"/>
      <c r="DT72" s="267"/>
      <c r="DU72" s="267"/>
      <c r="DV72" s="267"/>
      <c r="DW72" s="267"/>
      <c r="DX72" s="267"/>
      <c r="DY72" s="267"/>
      <c r="DZ72" s="267"/>
      <c r="EA72" s="267"/>
      <c r="EB72" s="267"/>
      <c r="EC72" s="267"/>
      <c r="ED72" s="267"/>
      <c r="EE72" s="267"/>
      <c r="EF72" s="267"/>
      <c r="EG72" s="267"/>
      <c r="EH72" s="267"/>
      <c r="EI72" s="267"/>
      <c r="EJ72" s="267"/>
      <c r="EK72" s="267"/>
      <c r="EL72" s="267"/>
      <c r="EM72" s="267"/>
      <c r="EN72" s="267"/>
      <c r="EO72" s="267"/>
      <c r="EP72" s="267"/>
      <c r="EQ72" s="267"/>
      <c r="ER72" s="267"/>
      <c r="ES72" s="267"/>
      <c r="ET72" s="267"/>
      <c r="EU72" s="267"/>
      <c r="EV72" s="267"/>
      <c r="EW72" s="267"/>
      <c r="EX72" s="267"/>
      <c r="EY72" s="267"/>
      <c r="EZ72" s="267"/>
      <c r="FA72" s="267"/>
      <c r="FB72" s="267"/>
      <c r="FC72" s="267"/>
      <c r="FD72" s="267"/>
      <c r="FE72" s="267"/>
      <c r="FF72" s="267"/>
      <c r="FG72" s="267"/>
      <c r="FH72" s="267"/>
      <c r="FI72" s="267"/>
      <c r="FJ72" s="267"/>
      <c r="FK72" s="267"/>
      <c r="FL72" s="267"/>
      <c r="FM72" s="267"/>
      <c r="FN72" s="267"/>
      <c r="FO72" s="267"/>
      <c r="FP72" s="267"/>
      <c r="FQ72" s="267"/>
      <c r="FR72" s="267"/>
      <c r="FS72" s="267"/>
      <c r="FT72" s="267"/>
      <c r="FU72" s="267"/>
      <c r="FV72" s="267"/>
      <c r="FW72" s="267"/>
      <c r="FX72" s="267"/>
      <c r="FY72" s="267"/>
      <c r="FZ72" s="267"/>
      <c r="GA72" s="267"/>
      <c r="GB72" s="267"/>
      <c r="GC72" s="267"/>
      <c r="GD72" s="267"/>
      <c r="GE72" s="267"/>
      <c r="GF72" s="267"/>
      <c r="GG72" s="267"/>
      <c r="GH72" s="267"/>
      <c r="GI72" s="267"/>
      <c r="GJ72" s="267"/>
      <c r="GK72" s="267"/>
      <c r="GL72" s="267"/>
      <c r="GM72" s="267"/>
      <c r="GN72" s="267"/>
      <c r="GO72" s="267"/>
      <c r="GP72" s="267"/>
      <c r="GQ72" s="267"/>
      <c r="GR72" s="267"/>
      <c r="GS72" s="267"/>
      <c r="GT72" s="267"/>
      <c r="GU72" s="267"/>
      <c r="GV72" s="267"/>
      <c r="GW72" s="267"/>
      <c r="GX72" s="267"/>
      <c r="GY72" s="267"/>
      <c r="GZ72" s="267"/>
      <c r="HA72" s="267"/>
      <c r="HB72" s="267"/>
      <c r="HC72" s="267"/>
      <c r="HD72" s="267"/>
      <c r="HE72" s="267"/>
      <c r="HF72" s="267"/>
      <c r="HG72" s="267"/>
      <c r="HH72" s="267"/>
      <c r="HI72" s="267"/>
      <c r="HJ72" s="267"/>
      <c r="HK72" s="267"/>
      <c r="HL72" s="267"/>
      <c r="HM72" s="267"/>
      <c r="HN72" s="267"/>
      <c r="HO72" s="267"/>
      <c r="HP72" s="267"/>
      <c r="HQ72" s="267"/>
      <c r="HR72" s="267"/>
      <c r="HS72" s="267"/>
      <c r="HT72" s="267"/>
      <c r="HU72" s="267"/>
      <c r="HV72" s="267"/>
      <c r="HW72" s="267"/>
      <c r="HX72" s="267"/>
      <c r="HY72" s="267"/>
      <c r="HZ72" s="267"/>
      <c r="IA72" s="267"/>
      <c r="IB72" s="267"/>
      <c r="IC72" s="267"/>
      <c r="ID72" s="267"/>
      <c r="IE72" s="267"/>
      <c r="IF72" s="267"/>
      <c r="IG72" s="267"/>
      <c r="IH72" s="267"/>
      <c r="II72" s="267"/>
      <c r="IJ72" s="267"/>
      <c r="IK72" s="267"/>
      <c r="IL72" s="267"/>
      <c r="IM72" s="267"/>
      <c r="IN72" s="267"/>
      <c r="IO72" s="267"/>
      <c r="IP72" s="267"/>
      <c r="IQ72" s="267"/>
      <c r="IR72" s="267"/>
      <c r="IS72" s="267"/>
      <c r="IT72" s="267"/>
      <c r="IU72" s="267"/>
      <c r="IV72" s="267"/>
      <c r="IW72" s="267"/>
    </row>
    <row r="73" customFormat="false" ht="12" hidden="false" customHeight="true" outlineLevel="0" collapsed="false">
      <c r="A73" s="276"/>
      <c r="B73" s="277"/>
      <c r="C73" s="279" t="s">
        <v>26</v>
      </c>
      <c r="D73" s="298" t="n">
        <f aca="false">'E. VaR &amp; Peak Pos By Trader'!E73</f>
        <v>5000000</v>
      </c>
      <c r="E73" s="280"/>
      <c r="F73" s="281"/>
      <c r="G73" s="281"/>
      <c r="H73" s="281"/>
      <c r="I73" s="281" t="s">
        <v>136</v>
      </c>
      <c r="J73" s="281"/>
      <c r="K73" s="281"/>
      <c r="L73" s="281"/>
      <c r="M73" s="281"/>
      <c r="N73" s="281"/>
      <c r="O73" s="281"/>
      <c r="P73" s="281"/>
      <c r="Q73" s="298"/>
      <c r="R73" s="298"/>
      <c r="S73" s="281"/>
      <c r="T73" s="281"/>
      <c r="U73" s="281"/>
      <c r="V73" s="281"/>
      <c r="W73" s="281"/>
      <c r="X73" s="281"/>
      <c r="Y73" s="279"/>
      <c r="Z73" s="280"/>
      <c r="AA73" s="280"/>
      <c r="AB73" s="279"/>
      <c r="AC73" s="265"/>
      <c r="AD73" s="303"/>
      <c r="AE73" s="266"/>
      <c r="AF73" s="266"/>
      <c r="AG73" s="266"/>
      <c r="AH73" s="266"/>
      <c r="AI73" s="266"/>
      <c r="AJ73" s="266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67"/>
      <c r="BM73" s="267"/>
      <c r="BN73" s="267"/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  <c r="CA73" s="267"/>
      <c r="CB73" s="267"/>
      <c r="CC73" s="267"/>
      <c r="CD73" s="267"/>
      <c r="CE73" s="267"/>
      <c r="CF73" s="267"/>
      <c r="CG73" s="267"/>
      <c r="CH73" s="267"/>
      <c r="CI73" s="267"/>
      <c r="CJ73" s="267"/>
      <c r="CK73" s="267"/>
      <c r="CL73" s="267"/>
      <c r="CM73" s="267"/>
      <c r="CN73" s="267"/>
      <c r="CO73" s="267"/>
      <c r="CP73" s="267"/>
      <c r="CQ73" s="267"/>
      <c r="CR73" s="267"/>
      <c r="CS73" s="267"/>
      <c r="CT73" s="267"/>
      <c r="CU73" s="267"/>
      <c r="CV73" s="267"/>
      <c r="CW73" s="267"/>
      <c r="CX73" s="267"/>
      <c r="CY73" s="267"/>
      <c r="CZ73" s="267"/>
      <c r="DA73" s="267"/>
      <c r="DB73" s="267"/>
      <c r="DC73" s="267"/>
      <c r="DD73" s="267"/>
      <c r="DE73" s="267"/>
      <c r="DF73" s="267"/>
      <c r="DG73" s="267"/>
      <c r="DH73" s="267"/>
      <c r="DI73" s="267"/>
      <c r="DJ73" s="267"/>
      <c r="DK73" s="267"/>
      <c r="DL73" s="267"/>
      <c r="DM73" s="267"/>
      <c r="DN73" s="267"/>
      <c r="DO73" s="267"/>
      <c r="DP73" s="267"/>
      <c r="DQ73" s="267"/>
      <c r="DR73" s="267"/>
      <c r="DS73" s="267"/>
      <c r="DT73" s="267"/>
      <c r="DU73" s="267"/>
      <c r="DV73" s="267"/>
      <c r="DW73" s="267"/>
      <c r="DX73" s="267"/>
      <c r="DY73" s="267"/>
      <c r="DZ73" s="267"/>
      <c r="EA73" s="267"/>
      <c r="EB73" s="267"/>
      <c r="EC73" s="267"/>
      <c r="ED73" s="267"/>
      <c r="EE73" s="267"/>
      <c r="EF73" s="267"/>
      <c r="EG73" s="267"/>
      <c r="EH73" s="267"/>
      <c r="EI73" s="267"/>
      <c r="EJ73" s="267"/>
      <c r="EK73" s="267"/>
      <c r="EL73" s="267"/>
      <c r="EM73" s="267"/>
      <c r="EN73" s="267"/>
      <c r="EO73" s="267"/>
      <c r="EP73" s="267"/>
      <c r="EQ73" s="267"/>
      <c r="ER73" s="267"/>
      <c r="ES73" s="267"/>
      <c r="ET73" s="267"/>
      <c r="EU73" s="267"/>
      <c r="EV73" s="267"/>
      <c r="EW73" s="267"/>
      <c r="EX73" s="267"/>
      <c r="EY73" s="267"/>
      <c r="EZ73" s="267"/>
      <c r="FA73" s="267"/>
      <c r="FB73" s="267"/>
      <c r="FC73" s="267"/>
      <c r="FD73" s="267"/>
      <c r="FE73" s="267"/>
      <c r="FF73" s="267"/>
      <c r="FG73" s="267"/>
      <c r="FH73" s="267"/>
      <c r="FI73" s="267"/>
      <c r="FJ73" s="267"/>
      <c r="FK73" s="267"/>
      <c r="FL73" s="267"/>
      <c r="FM73" s="267"/>
      <c r="FN73" s="267"/>
      <c r="FO73" s="267"/>
      <c r="FP73" s="267"/>
      <c r="FQ73" s="267"/>
      <c r="FR73" s="267"/>
      <c r="FS73" s="267"/>
      <c r="FT73" s="267"/>
      <c r="FU73" s="267"/>
      <c r="FV73" s="267"/>
      <c r="FW73" s="267"/>
      <c r="FX73" s="267"/>
      <c r="FY73" s="267"/>
      <c r="FZ73" s="267"/>
      <c r="GA73" s="267"/>
      <c r="GB73" s="267"/>
      <c r="GC73" s="267"/>
      <c r="GD73" s="267"/>
      <c r="GE73" s="267"/>
      <c r="GF73" s="267"/>
      <c r="GG73" s="267"/>
      <c r="GH73" s="267"/>
      <c r="GI73" s="267"/>
      <c r="GJ73" s="267"/>
      <c r="GK73" s="267"/>
      <c r="GL73" s="267"/>
      <c r="GM73" s="267"/>
      <c r="GN73" s="267"/>
      <c r="GO73" s="267"/>
      <c r="GP73" s="267"/>
      <c r="GQ73" s="267"/>
      <c r="GR73" s="267"/>
      <c r="GS73" s="267"/>
      <c r="GT73" s="267"/>
      <c r="GU73" s="267"/>
      <c r="GV73" s="267"/>
      <c r="GW73" s="267"/>
      <c r="GX73" s="267"/>
      <c r="GY73" s="267"/>
      <c r="GZ73" s="267"/>
      <c r="HA73" s="267"/>
      <c r="HB73" s="267"/>
      <c r="HC73" s="267"/>
      <c r="HD73" s="267"/>
      <c r="HE73" s="267"/>
      <c r="HF73" s="267"/>
      <c r="HG73" s="267"/>
      <c r="HH73" s="267"/>
      <c r="HI73" s="267"/>
      <c r="HJ73" s="267"/>
      <c r="HK73" s="267"/>
      <c r="HL73" s="267"/>
      <c r="HM73" s="267"/>
      <c r="HN73" s="267"/>
      <c r="HO73" s="267"/>
      <c r="HP73" s="267"/>
      <c r="HQ73" s="267"/>
      <c r="HR73" s="267"/>
      <c r="HS73" s="267"/>
      <c r="HT73" s="267"/>
      <c r="HU73" s="267"/>
      <c r="HV73" s="267"/>
      <c r="HW73" s="267"/>
      <c r="HX73" s="267"/>
      <c r="HY73" s="267"/>
      <c r="HZ73" s="267"/>
      <c r="IA73" s="267"/>
      <c r="IB73" s="267"/>
      <c r="IC73" s="267"/>
      <c r="ID73" s="267"/>
      <c r="IE73" s="267"/>
      <c r="IF73" s="267"/>
      <c r="IG73" s="267"/>
      <c r="IH73" s="267"/>
      <c r="II73" s="267"/>
      <c r="IJ73" s="267"/>
      <c r="IK73" s="267"/>
      <c r="IL73" s="267"/>
      <c r="IM73" s="267"/>
      <c r="IN73" s="267"/>
      <c r="IO73" s="267"/>
      <c r="IP73" s="267"/>
      <c r="IQ73" s="267"/>
      <c r="IR73" s="267"/>
      <c r="IS73" s="267"/>
      <c r="IT73" s="267"/>
      <c r="IU73" s="267"/>
      <c r="IV73" s="267"/>
      <c r="IW73" s="267"/>
    </row>
    <row r="74" customFormat="false" ht="12" hidden="false" customHeight="true" outlineLevel="0" collapsed="false">
      <c r="A74" s="268"/>
      <c r="B74" s="269"/>
      <c r="C74" s="300"/>
      <c r="D74" s="327"/>
      <c r="E74" s="301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328"/>
      <c r="R74" s="286"/>
      <c r="S74" s="284"/>
      <c r="T74" s="284"/>
      <c r="U74" s="284"/>
      <c r="V74" s="284"/>
      <c r="W74" s="284"/>
      <c r="X74" s="284"/>
      <c r="Y74" s="302"/>
      <c r="Z74" s="287"/>
      <c r="AA74" s="284"/>
      <c r="AB74" s="300"/>
      <c r="AC74" s="265"/>
      <c r="AD74" s="303"/>
      <c r="AE74" s="266"/>
      <c r="AF74" s="266"/>
      <c r="AG74" s="266"/>
      <c r="AH74" s="266"/>
      <c r="AI74" s="266"/>
      <c r="AJ74" s="266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G74" s="267"/>
      <c r="BH74" s="267"/>
      <c r="BI74" s="267"/>
      <c r="BJ74" s="267"/>
      <c r="BK74" s="267"/>
      <c r="BL74" s="267"/>
      <c r="BM74" s="267"/>
      <c r="BN74" s="267"/>
      <c r="BO74" s="267"/>
      <c r="BP74" s="267"/>
      <c r="BQ74" s="267"/>
      <c r="BR74" s="267"/>
      <c r="BS74" s="267"/>
      <c r="BT74" s="267"/>
      <c r="BU74" s="267"/>
      <c r="BV74" s="267"/>
      <c r="BW74" s="267"/>
      <c r="BX74" s="267"/>
      <c r="BY74" s="267"/>
      <c r="BZ74" s="267"/>
      <c r="CA74" s="267"/>
      <c r="CB74" s="267"/>
      <c r="CC74" s="267"/>
      <c r="CD74" s="267"/>
      <c r="CE74" s="267"/>
      <c r="CF74" s="267"/>
      <c r="CG74" s="267"/>
      <c r="CH74" s="267"/>
      <c r="CI74" s="267"/>
      <c r="CJ74" s="267"/>
      <c r="CK74" s="267"/>
      <c r="CL74" s="267"/>
      <c r="CM74" s="267"/>
      <c r="CN74" s="267"/>
      <c r="CO74" s="267"/>
      <c r="CP74" s="267"/>
      <c r="CQ74" s="267"/>
      <c r="CR74" s="267"/>
      <c r="CS74" s="267"/>
      <c r="CT74" s="267"/>
      <c r="CU74" s="267"/>
      <c r="CV74" s="267"/>
      <c r="CW74" s="267"/>
      <c r="CX74" s="267"/>
      <c r="CY74" s="267"/>
      <c r="CZ74" s="267"/>
      <c r="DA74" s="267"/>
      <c r="DB74" s="267"/>
      <c r="DC74" s="267"/>
      <c r="DD74" s="267"/>
      <c r="DE74" s="267"/>
      <c r="DF74" s="267"/>
      <c r="DG74" s="267"/>
      <c r="DH74" s="267"/>
      <c r="DI74" s="267"/>
      <c r="DJ74" s="267"/>
      <c r="DK74" s="267"/>
      <c r="DL74" s="267"/>
      <c r="DM74" s="267"/>
      <c r="DN74" s="267"/>
      <c r="DO74" s="267"/>
      <c r="DP74" s="267"/>
      <c r="DQ74" s="267"/>
      <c r="DR74" s="267"/>
      <c r="DS74" s="267"/>
      <c r="DT74" s="267"/>
      <c r="DU74" s="267"/>
      <c r="DV74" s="267"/>
      <c r="DW74" s="267"/>
      <c r="DX74" s="267"/>
      <c r="DY74" s="267"/>
      <c r="DZ74" s="267"/>
      <c r="EA74" s="267"/>
      <c r="EB74" s="267"/>
      <c r="EC74" s="267"/>
      <c r="ED74" s="267"/>
      <c r="EE74" s="267"/>
      <c r="EF74" s="267"/>
      <c r="EG74" s="267"/>
      <c r="EH74" s="267"/>
      <c r="EI74" s="267"/>
      <c r="EJ74" s="267"/>
      <c r="EK74" s="267"/>
      <c r="EL74" s="267"/>
      <c r="EM74" s="267"/>
      <c r="EN74" s="267"/>
      <c r="EO74" s="267"/>
      <c r="EP74" s="267"/>
      <c r="EQ74" s="267"/>
      <c r="ER74" s="267"/>
      <c r="ES74" s="267"/>
      <c r="ET74" s="267"/>
      <c r="EU74" s="267"/>
      <c r="EV74" s="267"/>
      <c r="EW74" s="267"/>
      <c r="EX74" s="267"/>
      <c r="EY74" s="267"/>
      <c r="EZ74" s="267"/>
      <c r="FA74" s="267"/>
      <c r="FB74" s="267"/>
      <c r="FC74" s="267"/>
      <c r="FD74" s="267"/>
      <c r="FE74" s="267"/>
      <c r="FF74" s="267"/>
      <c r="FG74" s="267"/>
      <c r="FH74" s="267"/>
      <c r="FI74" s="267"/>
      <c r="FJ74" s="267"/>
      <c r="FK74" s="267"/>
      <c r="FL74" s="267"/>
      <c r="FM74" s="267"/>
      <c r="FN74" s="267"/>
      <c r="FO74" s="267"/>
      <c r="FP74" s="267"/>
      <c r="FQ74" s="267"/>
      <c r="FR74" s="267"/>
      <c r="FS74" s="267"/>
      <c r="FT74" s="267"/>
      <c r="FU74" s="267"/>
      <c r="FV74" s="267"/>
      <c r="FW74" s="267"/>
      <c r="FX74" s="267"/>
      <c r="FY74" s="267"/>
      <c r="FZ74" s="267"/>
      <c r="GA74" s="267"/>
      <c r="GB74" s="267"/>
      <c r="GC74" s="267"/>
      <c r="GD74" s="267"/>
      <c r="GE74" s="267"/>
      <c r="GF74" s="267"/>
      <c r="GG74" s="267"/>
      <c r="GH74" s="267"/>
      <c r="GI74" s="267"/>
      <c r="GJ74" s="267"/>
      <c r="GK74" s="267"/>
      <c r="GL74" s="267"/>
      <c r="GM74" s="267"/>
      <c r="GN74" s="267"/>
      <c r="GO74" s="267"/>
      <c r="GP74" s="267"/>
      <c r="GQ74" s="267"/>
      <c r="GR74" s="267"/>
      <c r="GS74" s="267"/>
      <c r="GT74" s="267"/>
      <c r="GU74" s="267"/>
      <c r="GV74" s="267"/>
      <c r="GW74" s="267"/>
      <c r="GX74" s="267"/>
      <c r="GY74" s="267"/>
      <c r="GZ74" s="267"/>
      <c r="HA74" s="267"/>
      <c r="HB74" s="267"/>
      <c r="HC74" s="267"/>
      <c r="HD74" s="267"/>
      <c r="HE74" s="267"/>
      <c r="HF74" s="267"/>
      <c r="HG74" s="267"/>
      <c r="HH74" s="267"/>
      <c r="HI74" s="267"/>
      <c r="HJ74" s="267"/>
      <c r="HK74" s="267"/>
      <c r="HL74" s="267"/>
      <c r="HM74" s="267"/>
      <c r="HN74" s="267"/>
      <c r="HO74" s="267"/>
      <c r="HP74" s="267"/>
      <c r="HQ74" s="267"/>
      <c r="HR74" s="267"/>
      <c r="HS74" s="267"/>
      <c r="HT74" s="267"/>
      <c r="HU74" s="267"/>
      <c r="HV74" s="267"/>
      <c r="HW74" s="267"/>
      <c r="HX74" s="267"/>
      <c r="HY74" s="267"/>
      <c r="HZ74" s="267"/>
      <c r="IA74" s="267"/>
      <c r="IB74" s="267"/>
      <c r="IC74" s="267"/>
      <c r="ID74" s="267"/>
      <c r="IE74" s="267"/>
      <c r="IF74" s="267"/>
      <c r="IG74" s="267"/>
      <c r="IH74" s="267"/>
      <c r="II74" s="267"/>
      <c r="IJ74" s="267"/>
      <c r="IK74" s="267"/>
      <c r="IL74" s="267"/>
      <c r="IM74" s="267"/>
      <c r="IN74" s="267"/>
      <c r="IO74" s="267"/>
      <c r="IP74" s="267"/>
      <c r="IQ74" s="267"/>
      <c r="IR74" s="267"/>
      <c r="IS74" s="267"/>
      <c r="IT74" s="267"/>
      <c r="IU74" s="267"/>
      <c r="IV74" s="267"/>
      <c r="IW74" s="267"/>
    </row>
    <row r="75" customFormat="false" ht="12" hidden="false" customHeight="true" outlineLevel="0" collapsed="false">
      <c r="A75" s="352" t="s">
        <v>137</v>
      </c>
      <c r="B75" s="271" t="s">
        <v>138</v>
      </c>
      <c r="C75" s="302" t="s">
        <v>140</v>
      </c>
      <c r="D75" s="315" t="n">
        <f aca="false">'E. VaR &amp; Peak Pos By Trader'!E75</f>
        <v>3178062.92179312</v>
      </c>
      <c r="E75" s="316" t="n">
        <f aca="false">'E. VaR &amp; Peak Pos By Trader'!F75</f>
        <v>-118936.95327595</v>
      </c>
      <c r="F75" s="274"/>
      <c r="G75" s="274"/>
      <c r="H75" s="274"/>
      <c r="I75" s="274"/>
      <c r="J75" s="274"/>
      <c r="K75" s="274"/>
      <c r="L75" s="274" t="n">
        <f aca="false">+VLOOKUP($B75,'[3]Delta Monthly'!$A$1:$AW$55,17,0)</f>
        <v>0</v>
      </c>
      <c r="M75" s="274" t="n">
        <f aca="false">VLOOKUP($B75,'[3]Delta Monthly'!$A$1:$AW$55,19,0)</f>
        <v>0</v>
      </c>
      <c r="N75" s="274" t="n">
        <f aca="false">VLOOKUP($B75,'[3]Delta Monthly'!$A$1:$AW$55,21,FALSE())</f>
        <v>0</v>
      </c>
      <c r="O75" s="274" t="n">
        <f aca="false">VLOOKUP($B75,'[3]Delta Monthly'!$A$1:$AW$55,23,FALSE())</f>
        <v>-11098.9610483153</v>
      </c>
      <c r="P75" s="274" t="n">
        <f aca="false">VLOOKUP($B75,'[3]Delta Monthly'!$A$1:$AW$55,25,FALSE())</f>
        <v>3632.69440154588</v>
      </c>
      <c r="Q75" s="286" t="n">
        <f aca="false">SUM(F75:P75)</f>
        <v>-7466.26664676942</v>
      </c>
      <c r="R75" s="305" t="n">
        <f aca="false">VLOOKUP($B75,'[3]Delta Monthly'!$A$1:$AW$55,27,0)+VLOOKUP($B75,'[3]Delta Monthly'!$A$1:$AW$55,29,0)</f>
        <v>-25720.0337320262</v>
      </c>
      <c r="S75" s="274" t="n">
        <f aca="false">VLOOKUP($B75,'[3]Delta Monthly'!$A$1:$AW$55,31,0)+VLOOKUP($B75,'[3]Delta Monthly'!$A$1:$AW$55,33,0)</f>
        <v>20525.349109434</v>
      </c>
      <c r="T75" s="274" t="n">
        <f aca="false">VLOOKUP($B75,'[3]Delta Monthly'!$A$1:$AW$55,35,0)</f>
        <v>1027.79327921906</v>
      </c>
      <c r="U75" s="274" t="n">
        <f aca="false">VLOOKUP($B75,'[3]Delta Monthly'!$A$1:$AW$55,37,0)</f>
        <v>-6460.80657643074</v>
      </c>
      <c r="V75" s="274" t="n">
        <f aca="false">VLOOKUP($B75,'[3]Delta Monthly'!$A$1:$AW$55,39,0)+VLOOKUP($B75,'[3]Delta Monthly'!$A$1:$AW$55,41,0)</f>
        <v>12102.7057524672</v>
      </c>
      <c r="W75" s="274" t="n">
        <f aca="false">VLOOKUP($B75,'[3]Delta Monthly'!$A$1:$AW$55,43,0)</f>
        <v>-13151.2881360152</v>
      </c>
      <c r="X75" s="274" t="n">
        <f aca="false">VLOOKUP($B75,'[3]Delta Monthly'!$A$1:$AW$55,45,0)+VLOOKUP($B75,'[3]Delta Monthly'!$A$1:$AW$55,47,0)+VLOOKUP($B75,'[3]Delta Monthly'!$A$1:$AW$55,49,0)</f>
        <v>-45223.7025331109</v>
      </c>
      <c r="Y75" s="302" t="n">
        <f aca="false">SUM(R75:X75)</f>
        <v>-56899.9828364627</v>
      </c>
      <c r="Z75" s="287" t="n">
        <f aca="false">VLOOKUP($B75,'[5]Delta Yearly'!$A$1:$AC$55,5,0)</f>
        <v>-1159738.75278958</v>
      </c>
      <c r="AA75" s="284" t="n">
        <f aca="false">VLOOKUP($B75,'[5]Delta Yearly'!$A$1:$AC$55,7,FALSE())+VLOOKUP($B75,'[5]Delta Yearly'!$A$1:$AC$55,9,FALSE())+VLOOKUP($B75,'[5]Delta Yearly'!$A$1:$AC$55,11,FALSE())+VLOOKUP($B75,'[5]Delta Yearly'!$A$1:$AC$55,13,FALSE())+VLOOKUP($B75,'[5]Delta Yearly'!$A$1:$AC$55,15,FALSE())+VLOOKUP($B75,'[5]Delta Yearly'!$A$1:$AC$55,17,FALSE())+VLOOKUP($B75,'[5]Delta Yearly'!$A$1:$AC$55,19,FALSE())+VLOOKUP($B75,'[5]Delta Yearly'!$A$1:$AC$55,21,FALSE())+VLOOKUP($B75,'[5]Delta Yearly'!$A$1:$AC$55,23,FALSE())+VLOOKUP($B75,'[5]Delta Yearly'!$A$1:$AC$55,25,FALSE())+VLOOKUP($B75,'[5]Delta Yearly'!$A$1:$AC$55,27,FALSE())+VLOOKUP($B75,'[5]Delta Yearly'!$A$1:$AC$55,29,FALSE())</f>
        <v>418591.525511765</v>
      </c>
      <c r="AB75" s="302" t="n">
        <f aca="false">SUM(AA75,Z75,Y75,Q75)</f>
        <v>-805513.476761046</v>
      </c>
      <c r="AC75" s="265"/>
      <c r="AD75" s="303"/>
      <c r="AE75" s="266"/>
      <c r="AF75" s="266"/>
      <c r="AG75" s="266"/>
      <c r="AH75" s="266"/>
      <c r="AI75" s="266"/>
      <c r="AJ75" s="266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  <c r="AU75" s="267"/>
      <c r="AV75" s="267"/>
      <c r="AW75" s="267"/>
      <c r="AX75" s="267"/>
      <c r="AY75" s="267"/>
      <c r="AZ75" s="267"/>
      <c r="BA75" s="267"/>
      <c r="BB75" s="267"/>
      <c r="BC75" s="267"/>
      <c r="BD75" s="267"/>
      <c r="BE75" s="267"/>
      <c r="BF75" s="267"/>
      <c r="BG75" s="267"/>
      <c r="BH75" s="267"/>
      <c r="BI75" s="267"/>
      <c r="BJ75" s="267"/>
      <c r="BK75" s="267"/>
      <c r="BL75" s="267"/>
      <c r="BM75" s="267"/>
      <c r="BN75" s="267"/>
      <c r="BO75" s="267"/>
      <c r="BP75" s="267"/>
      <c r="BQ75" s="267"/>
      <c r="BR75" s="267"/>
      <c r="BS75" s="267"/>
      <c r="BT75" s="267"/>
      <c r="BU75" s="267"/>
      <c r="BV75" s="267"/>
      <c r="BW75" s="267"/>
      <c r="BX75" s="267"/>
      <c r="BY75" s="267"/>
      <c r="BZ75" s="267"/>
      <c r="CA75" s="267"/>
      <c r="CB75" s="267"/>
      <c r="CC75" s="267"/>
      <c r="CD75" s="267"/>
      <c r="CE75" s="267"/>
      <c r="CF75" s="267"/>
      <c r="CG75" s="267"/>
      <c r="CH75" s="267"/>
      <c r="CI75" s="267"/>
      <c r="CJ75" s="267"/>
      <c r="CK75" s="267"/>
      <c r="CL75" s="267"/>
      <c r="CM75" s="267"/>
      <c r="CN75" s="267"/>
      <c r="CO75" s="267"/>
      <c r="CP75" s="267"/>
      <c r="CQ75" s="267"/>
      <c r="CR75" s="267"/>
      <c r="CS75" s="267"/>
      <c r="CT75" s="267"/>
      <c r="CU75" s="267"/>
      <c r="CV75" s="267"/>
      <c r="CW75" s="267"/>
      <c r="CX75" s="267"/>
      <c r="CY75" s="267"/>
      <c r="CZ75" s="267"/>
      <c r="DA75" s="267"/>
      <c r="DB75" s="267"/>
      <c r="DC75" s="267"/>
      <c r="DD75" s="267"/>
      <c r="DE75" s="267"/>
      <c r="DF75" s="267"/>
      <c r="DG75" s="267"/>
      <c r="DH75" s="267"/>
      <c r="DI75" s="267"/>
      <c r="DJ75" s="267"/>
      <c r="DK75" s="267"/>
      <c r="DL75" s="267"/>
      <c r="DM75" s="267"/>
      <c r="DN75" s="267"/>
      <c r="DO75" s="267"/>
      <c r="DP75" s="267"/>
      <c r="DQ75" s="267"/>
      <c r="DR75" s="267"/>
      <c r="DS75" s="267"/>
      <c r="DT75" s="267"/>
      <c r="DU75" s="267"/>
      <c r="DV75" s="267"/>
      <c r="DW75" s="267"/>
      <c r="DX75" s="267"/>
      <c r="DY75" s="267"/>
      <c r="DZ75" s="267"/>
      <c r="EA75" s="267"/>
      <c r="EB75" s="267"/>
      <c r="EC75" s="267"/>
      <c r="ED75" s="267"/>
      <c r="EE75" s="267"/>
      <c r="EF75" s="267"/>
      <c r="EG75" s="267"/>
      <c r="EH75" s="267"/>
      <c r="EI75" s="267"/>
      <c r="EJ75" s="267"/>
      <c r="EK75" s="267"/>
      <c r="EL75" s="267"/>
      <c r="EM75" s="267"/>
      <c r="EN75" s="267"/>
      <c r="EO75" s="267"/>
      <c r="EP75" s="267"/>
      <c r="EQ75" s="267"/>
      <c r="ER75" s="267"/>
      <c r="ES75" s="267"/>
      <c r="ET75" s="267"/>
      <c r="EU75" s="267"/>
      <c r="EV75" s="267"/>
      <c r="EW75" s="267"/>
      <c r="EX75" s="267"/>
      <c r="EY75" s="267"/>
      <c r="EZ75" s="267"/>
      <c r="FA75" s="267"/>
      <c r="FB75" s="267"/>
      <c r="FC75" s="267"/>
      <c r="FD75" s="267"/>
      <c r="FE75" s="267"/>
      <c r="FF75" s="267"/>
      <c r="FG75" s="267"/>
      <c r="FH75" s="267"/>
      <c r="FI75" s="267"/>
      <c r="FJ75" s="267"/>
      <c r="FK75" s="267"/>
      <c r="FL75" s="267"/>
      <c r="FM75" s="267"/>
      <c r="FN75" s="267"/>
      <c r="FO75" s="267"/>
      <c r="FP75" s="267"/>
      <c r="FQ75" s="267"/>
      <c r="FR75" s="267"/>
      <c r="FS75" s="267"/>
      <c r="FT75" s="267"/>
      <c r="FU75" s="267"/>
      <c r="FV75" s="267"/>
      <c r="FW75" s="267"/>
      <c r="FX75" s="267"/>
      <c r="FY75" s="267"/>
      <c r="FZ75" s="267"/>
      <c r="GA75" s="267"/>
      <c r="GB75" s="267"/>
      <c r="GC75" s="267"/>
      <c r="GD75" s="267"/>
      <c r="GE75" s="267"/>
      <c r="GF75" s="267"/>
      <c r="GG75" s="267"/>
      <c r="GH75" s="267"/>
      <c r="GI75" s="267"/>
      <c r="GJ75" s="267"/>
      <c r="GK75" s="267"/>
      <c r="GL75" s="267"/>
      <c r="GM75" s="267"/>
      <c r="GN75" s="267"/>
      <c r="GO75" s="267"/>
      <c r="GP75" s="267"/>
      <c r="GQ75" s="267"/>
      <c r="GR75" s="267"/>
      <c r="GS75" s="267"/>
      <c r="GT75" s="267"/>
      <c r="GU75" s="267"/>
      <c r="GV75" s="267"/>
      <c r="GW75" s="267"/>
      <c r="GX75" s="267"/>
      <c r="GY75" s="267"/>
      <c r="GZ75" s="267"/>
      <c r="HA75" s="267"/>
      <c r="HB75" s="267"/>
      <c r="HC75" s="267"/>
      <c r="HD75" s="267"/>
      <c r="HE75" s="267"/>
      <c r="HF75" s="267"/>
      <c r="HG75" s="267"/>
      <c r="HH75" s="267"/>
      <c r="HI75" s="267"/>
      <c r="HJ75" s="267"/>
      <c r="HK75" s="267"/>
      <c r="HL75" s="267"/>
      <c r="HM75" s="267"/>
      <c r="HN75" s="267"/>
      <c r="HO75" s="267"/>
      <c r="HP75" s="267"/>
      <c r="HQ75" s="267"/>
      <c r="HR75" s="267"/>
      <c r="HS75" s="267"/>
      <c r="HT75" s="267"/>
      <c r="HU75" s="267"/>
      <c r="HV75" s="267"/>
      <c r="HW75" s="267"/>
      <c r="HX75" s="267"/>
      <c r="HY75" s="267"/>
      <c r="HZ75" s="267"/>
      <c r="IA75" s="267"/>
      <c r="IB75" s="267"/>
      <c r="IC75" s="267"/>
      <c r="ID75" s="267"/>
      <c r="IE75" s="267"/>
      <c r="IF75" s="267"/>
      <c r="IG75" s="267"/>
      <c r="IH75" s="267"/>
      <c r="II75" s="267"/>
      <c r="IJ75" s="267"/>
      <c r="IK75" s="267"/>
      <c r="IL75" s="267"/>
      <c r="IM75" s="267"/>
      <c r="IN75" s="267"/>
      <c r="IO75" s="267"/>
      <c r="IP75" s="267"/>
      <c r="IQ75" s="267"/>
      <c r="IR75" s="267"/>
      <c r="IS75" s="267"/>
      <c r="IT75" s="267"/>
      <c r="IU75" s="267"/>
      <c r="IV75" s="267"/>
      <c r="IW75" s="267"/>
    </row>
    <row r="76" customFormat="false" ht="12" hidden="false" customHeight="true" outlineLevel="0" collapsed="false">
      <c r="A76" s="314"/>
      <c r="B76" s="271"/>
      <c r="C76" s="302"/>
      <c r="D76" s="315"/>
      <c r="E76" s="287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86"/>
      <c r="R76" s="286"/>
      <c r="S76" s="284"/>
      <c r="T76" s="284"/>
      <c r="U76" s="284"/>
      <c r="V76" s="284"/>
      <c r="W76" s="284"/>
      <c r="X76" s="284"/>
      <c r="Y76" s="302"/>
      <c r="Z76" s="287"/>
      <c r="AA76" s="284"/>
      <c r="AB76" s="302"/>
      <c r="AC76" s="265"/>
      <c r="AD76" s="303"/>
      <c r="AE76" s="266"/>
      <c r="AF76" s="266"/>
      <c r="AG76" s="266"/>
      <c r="AH76" s="266"/>
      <c r="AI76" s="266"/>
      <c r="AJ76" s="266"/>
      <c r="AK76" s="267"/>
      <c r="AL76" s="267"/>
      <c r="AM76" s="267"/>
      <c r="AN76" s="267"/>
      <c r="AO76" s="267"/>
      <c r="AP76" s="267"/>
      <c r="AQ76" s="267"/>
      <c r="AR76" s="267"/>
      <c r="AS76" s="267"/>
      <c r="AT76" s="267"/>
      <c r="AU76" s="267"/>
      <c r="AV76" s="267"/>
      <c r="AW76" s="267"/>
      <c r="AX76" s="267"/>
      <c r="AY76" s="267"/>
      <c r="AZ76" s="267"/>
      <c r="BA76" s="267"/>
      <c r="BB76" s="267"/>
      <c r="BC76" s="267"/>
      <c r="BD76" s="267"/>
      <c r="BE76" s="267"/>
      <c r="BF76" s="267"/>
      <c r="BG76" s="267"/>
      <c r="BH76" s="267"/>
      <c r="BI76" s="267"/>
      <c r="BJ76" s="267"/>
      <c r="BK76" s="267"/>
      <c r="BL76" s="267"/>
      <c r="BM76" s="267"/>
      <c r="BN76" s="267"/>
      <c r="BO76" s="267"/>
      <c r="BP76" s="267"/>
      <c r="BQ76" s="267"/>
      <c r="BR76" s="267"/>
      <c r="BS76" s="267"/>
      <c r="BT76" s="267"/>
      <c r="BU76" s="267"/>
      <c r="BV76" s="267"/>
      <c r="BW76" s="267"/>
      <c r="BX76" s="267"/>
      <c r="BY76" s="267"/>
      <c r="BZ76" s="267"/>
      <c r="CA76" s="267"/>
      <c r="CB76" s="267"/>
      <c r="CC76" s="267"/>
      <c r="CD76" s="267"/>
      <c r="CE76" s="267"/>
      <c r="CF76" s="267"/>
      <c r="CG76" s="267"/>
      <c r="CH76" s="267"/>
      <c r="CI76" s="267"/>
      <c r="CJ76" s="267"/>
      <c r="CK76" s="267"/>
      <c r="CL76" s="267"/>
      <c r="CM76" s="267"/>
      <c r="CN76" s="267"/>
      <c r="CO76" s="267"/>
      <c r="CP76" s="267"/>
      <c r="CQ76" s="267"/>
      <c r="CR76" s="267"/>
      <c r="CS76" s="267"/>
      <c r="CT76" s="267"/>
      <c r="CU76" s="267"/>
      <c r="CV76" s="267"/>
      <c r="CW76" s="267"/>
      <c r="CX76" s="267"/>
      <c r="CY76" s="267"/>
      <c r="CZ76" s="267"/>
      <c r="DA76" s="267"/>
      <c r="DB76" s="267"/>
      <c r="DC76" s="267"/>
      <c r="DD76" s="267"/>
      <c r="DE76" s="267"/>
      <c r="DF76" s="267"/>
      <c r="DG76" s="267"/>
      <c r="DH76" s="267"/>
      <c r="DI76" s="267"/>
      <c r="DJ76" s="267"/>
      <c r="DK76" s="267"/>
      <c r="DL76" s="267"/>
      <c r="DM76" s="267"/>
      <c r="DN76" s="267"/>
      <c r="DO76" s="267"/>
      <c r="DP76" s="267"/>
      <c r="DQ76" s="267"/>
      <c r="DR76" s="267"/>
      <c r="DS76" s="267"/>
      <c r="DT76" s="267"/>
      <c r="DU76" s="267"/>
      <c r="DV76" s="267"/>
      <c r="DW76" s="267"/>
      <c r="DX76" s="267"/>
      <c r="DY76" s="267"/>
      <c r="DZ76" s="267"/>
      <c r="EA76" s="267"/>
      <c r="EB76" s="267"/>
      <c r="EC76" s="267"/>
      <c r="ED76" s="267"/>
      <c r="EE76" s="267"/>
      <c r="EF76" s="267"/>
      <c r="EG76" s="267"/>
      <c r="EH76" s="267"/>
      <c r="EI76" s="267"/>
      <c r="EJ76" s="267"/>
      <c r="EK76" s="267"/>
      <c r="EL76" s="267"/>
      <c r="EM76" s="267"/>
      <c r="EN76" s="267"/>
      <c r="EO76" s="267"/>
      <c r="EP76" s="267"/>
      <c r="EQ76" s="267"/>
      <c r="ER76" s="267"/>
      <c r="ES76" s="267"/>
      <c r="ET76" s="267"/>
      <c r="EU76" s="267"/>
      <c r="EV76" s="267"/>
      <c r="EW76" s="267"/>
      <c r="EX76" s="267"/>
      <c r="EY76" s="267"/>
      <c r="EZ76" s="267"/>
      <c r="FA76" s="267"/>
      <c r="FB76" s="267"/>
      <c r="FC76" s="267"/>
      <c r="FD76" s="267"/>
      <c r="FE76" s="267"/>
      <c r="FF76" s="267"/>
      <c r="FG76" s="267"/>
      <c r="FH76" s="267"/>
      <c r="FI76" s="267"/>
      <c r="FJ76" s="267"/>
      <c r="FK76" s="267"/>
      <c r="FL76" s="267"/>
      <c r="FM76" s="267"/>
      <c r="FN76" s="267"/>
      <c r="FO76" s="267"/>
      <c r="FP76" s="267"/>
      <c r="FQ76" s="267"/>
      <c r="FR76" s="267"/>
      <c r="FS76" s="267"/>
      <c r="FT76" s="267"/>
      <c r="FU76" s="267"/>
      <c r="FV76" s="267"/>
      <c r="FW76" s="267"/>
      <c r="FX76" s="267"/>
      <c r="FY76" s="267"/>
      <c r="FZ76" s="267"/>
      <c r="GA76" s="267"/>
      <c r="GB76" s="267"/>
      <c r="GC76" s="267"/>
      <c r="GD76" s="267"/>
      <c r="GE76" s="267"/>
      <c r="GF76" s="267"/>
      <c r="GG76" s="267"/>
      <c r="GH76" s="267"/>
      <c r="GI76" s="267"/>
      <c r="GJ76" s="267"/>
      <c r="GK76" s="267"/>
      <c r="GL76" s="267"/>
      <c r="GM76" s="267"/>
      <c r="GN76" s="267"/>
      <c r="GO76" s="267"/>
      <c r="GP76" s="267"/>
      <c r="GQ76" s="267"/>
      <c r="GR76" s="267"/>
      <c r="GS76" s="267"/>
      <c r="GT76" s="267"/>
      <c r="GU76" s="267"/>
      <c r="GV76" s="267"/>
      <c r="GW76" s="267"/>
      <c r="GX76" s="267"/>
      <c r="GY76" s="267"/>
      <c r="GZ76" s="267"/>
      <c r="HA76" s="267"/>
      <c r="HB76" s="267"/>
      <c r="HC76" s="267"/>
      <c r="HD76" s="267"/>
      <c r="HE76" s="267"/>
      <c r="HF76" s="267"/>
      <c r="HG76" s="267"/>
      <c r="HH76" s="267"/>
      <c r="HI76" s="267"/>
      <c r="HJ76" s="267"/>
      <c r="HK76" s="267"/>
      <c r="HL76" s="267"/>
      <c r="HM76" s="267"/>
      <c r="HN76" s="267"/>
      <c r="HO76" s="267"/>
      <c r="HP76" s="267"/>
      <c r="HQ76" s="267"/>
      <c r="HR76" s="267"/>
      <c r="HS76" s="267"/>
      <c r="HT76" s="267"/>
      <c r="HU76" s="267"/>
      <c r="HV76" s="267"/>
      <c r="HW76" s="267"/>
      <c r="HX76" s="267"/>
      <c r="HY76" s="267"/>
      <c r="HZ76" s="267"/>
      <c r="IA76" s="267"/>
      <c r="IB76" s="267"/>
      <c r="IC76" s="267"/>
      <c r="ID76" s="267"/>
      <c r="IE76" s="267"/>
      <c r="IF76" s="267"/>
      <c r="IG76" s="267"/>
      <c r="IH76" s="267"/>
      <c r="II76" s="267"/>
      <c r="IJ76" s="267"/>
      <c r="IK76" s="267"/>
      <c r="IL76" s="267"/>
      <c r="IM76" s="267"/>
      <c r="IN76" s="267"/>
      <c r="IO76" s="267"/>
      <c r="IP76" s="267"/>
      <c r="IQ76" s="267"/>
      <c r="IR76" s="267"/>
      <c r="IS76" s="267"/>
      <c r="IT76" s="267"/>
      <c r="IU76" s="267"/>
      <c r="IV76" s="267"/>
      <c r="IW76" s="267"/>
    </row>
    <row r="77" customFormat="false" ht="12" hidden="false" customHeight="true" outlineLevel="0" collapsed="false">
      <c r="A77" s="294" t="s">
        <v>141</v>
      </c>
      <c r="B77" s="271" t="s">
        <v>142</v>
      </c>
      <c r="C77" s="302" t="s">
        <v>144</v>
      </c>
      <c r="D77" s="315" t="n">
        <f aca="false">'E. VaR &amp; Peak Pos By Trader'!E77</f>
        <v>1811922.89766781</v>
      </c>
      <c r="E77" s="316" t="n">
        <f aca="false">'E. VaR &amp; Peak Pos By Trader'!F77</f>
        <v>509663.39768042</v>
      </c>
      <c r="F77" s="274" t="n">
        <f aca="false">VLOOKUP($B77,'[3]Delta Monthly'!$A$1:$AW$55,5,1)</f>
        <v>0</v>
      </c>
      <c r="G77" s="274" t="n">
        <f aca="false">VLOOKUP($B77,'[3]Delta Monthly'!$A$1:$AW$55,7,1)</f>
        <v>0</v>
      </c>
      <c r="H77" s="274" t="n">
        <f aca="false">VLOOKUP($B77,'[3]Delta Monthly'!$A$1:$AW$55,9,1)</f>
        <v>0</v>
      </c>
      <c r="I77" s="274" t="n">
        <f aca="false">VLOOKUP($B77,'[3]Delta Monthly'!$A$1:$AW$55,11,0)</f>
        <v>0</v>
      </c>
      <c r="J77" s="274" t="n">
        <f aca="false">VLOOKUP($B77,'[3]Delta Monthly'!$A$1:$AW$55,13,0)</f>
        <v>0</v>
      </c>
      <c r="K77" s="274" t="n">
        <f aca="false">VLOOKUP($B77,'[3]Delta Monthly'!$A$1:$AW$55,15,0)</f>
        <v>0</v>
      </c>
      <c r="L77" s="274" t="n">
        <f aca="false">+VLOOKUP($B77,'[3]Delta Monthly'!$A$1:$AW$55,17,0)</f>
        <v>0</v>
      </c>
      <c r="M77" s="274" t="n">
        <f aca="false">VLOOKUP($B77,'[3]Delta Monthly'!$A$1:$AW$55,19,0)</f>
        <v>0</v>
      </c>
      <c r="N77" s="274" t="n">
        <f aca="false">VLOOKUP($B77,'[3]Delta Monthly'!$A$1:$AW$55,21,FALSE())</f>
        <v>0</v>
      </c>
      <c r="O77" s="274" t="n">
        <f aca="false">VLOOKUP($B77,'[3]Delta Monthly'!$A$1:$AW$55,23,FALSE())</f>
        <v>0</v>
      </c>
      <c r="P77" s="274" t="n">
        <f aca="false">VLOOKUP($B77,'[3]Delta Monthly'!$A$1:$AW$55,25,FALSE())</f>
        <v>0</v>
      </c>
      <c r="Q77" s="286" t="n">
        <f aca="false">SUM(F77:P77)</f>
        <v>0</v>
      </c>
      <c r="R77" s="305" t="n">
        <f aca="false">VLOOKUP($B77,'[3]Delta Monthly'!$A$1:$AW$55,27,0)+VLOOKUP($B77,'[3]Delta Monthly'!$A$1:$AW$55,29,0)</f>
        <v>0</v>
      </c>
      <c r="S77" s="274" t="n">
        <f aca="false">VLOOKUP($B77,'[3]Delta Monthly'!$A$1:$AW$55,31,0)+VLOOKUP($B77,'[3]Delta Monthly'!$A$1:$AW$55,33,0)</f>
        <v>0</v>
      </c>
      <c r="T77" s="274" t="n">
        <f aca="false">VLOOKUP($B77,'[3]Delta Monthly'!$A$1:$AW$55,35,0)</f>
        <v>0</v>
      </c>
      <c r="U77" s="274" t="n">
        <f aca="false">VLOOKUP($B77,'[3]Delta Monthly'!$A$1:$AW$55,37,0)</f>
        <v>0</v>
      </c>
      <c r="V77" s="274" t="n">
        <f aca="false">VLOOKUP($B77,'[3]Delta Monthly'!$A$1:$AW$55,39,0)+VLOOKUP($B77,'[3]Delta Monthly'!$A$1:$AW$55,41,0)</f>
        <v>0</v>
      </c>
      <c r="W77" s="274" t="n">
        <f aca="false">VLOOKUP($B77,'[3]Delta Monthly'!$A$1:$AW$55,43,0)</f>
        <v>0</v>
      </c>
      <c r="X77" s="274" t="n">
        <f aca="false">VLOOKUP($B77,'[3]Delta Monthly'!$A$1:$AW$55,45,0)+VLOOKUP($B77,'[3]Delta Monthly'!$A$1:$AW$55,47,0)+VLOOKUP($B77,'[3]Delta Monthly'!$A$1:$AW$55,49,0)</f>
        <v>0</v>
      </c>
      <c r="Y77" s="302" t="n">
        <f aca="false">SUM(R77:X77)</f>
        <v>0</v>
      </c>
      <c r="Z77" s="287" t="n">
        <f aca="false">VLOOKUP($B77,'[5]Delta Yearly'!$A$1:$AC$55,5,0)</f>
        <v>-443878.710463991</v>
      </c>
      <c r="AA77" s="284" t="n">
        <f aca="false">VLOOKUP($B77,'[5]Delta Yearly'!$A$1:$AC$55,7,FALSE())+VLOOKUP($B77,'[5]Delta Yearly'!$A$1:$AC$55,9,FALSE())+VLOOKUP($B77,'[5]Delta Yearly'!$A$1:$AC$55,11,FALSE())+VLOOKUP($B77,'[5]Delta Yearly'!$A$1:$AC$55,13,FALSE())+VLOOKUP($B77,'[5]Delta Yearly'!$A$1:$AC$55,15,FALSE())+VLOOKUP($B77,'[5]Delta Yearly'!$A$1:$AC$55,17,FALSE())+VLOOKUP($B77,'[5]Delta Yearly'!$A$1:$AC$55,19,FALSE())+VLOOKUP($B77,'[5]Delta Yearly'!$A$1:$AC$55,21,FALSE())+VLOOKUP($B77,'[5]Delta Yearly'!$A$1:$AC$55,23,FALSE())+VLOOKUP($B77,'[5]Delta Yearly'!$A$1:$AC$55,25,FALSE())+VLOOKUP($B77,'[5]Delta Yearly'!$A$1:$AC$55,27,FALSE())+VLOOKUP($B77,'[5]Delta Yearly'!$A$1:$AC$55,29,FALSE())</f>
        <v>0</v>
      </c>
      <c r="AB77" s="302" t="n">
        <f aca="false">SUM(AA77,Z77,Y77,Q77)</f>
        <v>-443878.710463991</v>
      </c>
      <c r="AC77" s="284"/>
      <c r="AD77" s="303"/>
      <c r="AE77" s="266"/>
      <c r="AF77" s="266"/>
      <c r="AG77" s="266"/>
      <c r="AH77" s="266"/>
      <c r="AI77" s="266"/>
      <c r="AJ77" s="266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/>
      <c r="AZ77" s="267"/>
      <c r="BA77" s="267"/>
      <c r="BB77" s="267"/>
      <c r="BC77" s="267"/>
      <c r="BD77" s="267"/>
      <c r="BE77" s="267"/>
      <c r="BF77" s="267"/>
      <c r="BG77" s="267"/>
      <c r="BH77" s="267"/>
      <c r="BI77" s="267"/>
      <c r="BJ77" s="267"/>
      <c r="BK77" s="267"/>
      <c r="BL77" s="267"/>
      <c r="BM77" s="267"/>
      <c r="BN77" s="267"/>
      <c r="BO77" s="267"/>
      <c r="BP77" s="267"/>
      <c r="BQ77" s="267"/>
      <c r="BR77" s="267"/>
      <c r="BS77" s="267"/>
      <c r="BT77" s="267"/>
      <c r="BU77" s="267"/>
      <c r="BV77" s="267"/>
      <c r="BW77" s="267"/>
      <c r="BX77" s="267"/>
      <c r="BY77" s="267"/>
      <c r="BZ77" s="267"/>
      <c r="CA77" s="267"/>
      <c r="CB77" s="267"/>
      <c r="CC77" s="267"/>
      <c r="CD77" s="267"/>
      <c r="CE77" s="267"/>
      <c r="CF77" s="267"/>
      <c r="CG77" s="267"/>
      <c r="CH77" s="267"/>
      <c r="CI77" s="267"/>
      <c r="CJ77" s="267"/>
      <c r="CK77" s="267"/>
      <c r="CL77" s="267"/>
      <c r="CM77" s="267"/>
      <c r="CN77" s="267"/>
      <c r="CO77" s="267"/>
      <c r="CP77" s="267"/>
      <c r="CQ77" s="267"/>
      <c r="CR77" s="267"/>
      <c r="CS77" s="267"/>
      <c r="CT77" s="267"/>
      <c r="CU77" s="267"/>
      <c r="CV77" s="267"/>
      <c r="CW77" s="267"/>
      <c r="CX77" s="267"/>
      <c r="CY77" s="267"/>
      <c r="CZ77" s="267"/>
      <c r="DA77" s="267"/>
      <c r="DB77" s="267"/>
      <c r="DC77" s="267"/>
      <c r="DD77" s="267"/>
      <c r="DE77" s="267"/>
      <c r="DF77" s="267"/>
      <c r="DG77" s="267"/>
      <c r="DH77" s="267"/>
      <c r="DI77" s="267"/>
      <c r="DJ77" s="267"/>
      <c r="DK77" s="267"/>
      <c r="DL77" s="267"/>
      <c r="DM77" s="267"/>
      <c r="DN77" s="267"/>
      <c r="DO77" s="267"/>
      <c r="DP77" s="267"/>
      <c r="DQ77" s="267"/>
      <c r="DR77" s="267"/>
      <c r="DS77" s="267"/>
      <c r="DT77" s="267"/>
      <c r="DU77" s="267"/>
      <c r="DV77" s="267"/>
      <c r="DW77" s="267"/>
      <c r="DX77" s="267"/>
      <c r="DY77" s="267"/>
      <c r="DZ77" s="267"/>
      <c r="EA77" s="267"/>
      <c r="EB77" s="267"/>
      <c r="EC77" s="267"/>
      <c r="ED77" s="267"/>
      <c r="EE77" s="267"/>
      <c r="EF77" s="267"/>
      <c r="EG77" s="267"/>
      <c r="EH77" s="267"/>
      <c r="EI77" s="267"/>
      <c r="EJ77" s="267"/>
      <c r="EK77" s="267"/>
      <c r="EL77" s="267"/>
      <c r="EM77" s="267"/>
      <c r="EN77" s="267"/>
      <c r="EO77" s="267"/>
      <c r="EP77" s="267"/>
      <c r="EQ77" s="267"/>
      <c r="ER77" s="267"/>
      <c r="ES77" s="267"/>
      <c r="ET77" s="267"/>
      <c r="EU77" s="267"/>
      <c r="EV77" s="267"/>
      <c r="EW77" s="267"/>
      <c r="EX77" s="267"/>
      <c r="EY77" s="267"/>
      <c r="EZ77" s="267"/>
      <c r="FA77" s="267"/>
      <c r="FB77" s="267"/>
      <c r="FC77" s="267"/>
      <c r="FD77" s="267"/>
      <c r="FE77" s="267"/>
      <c r="FF77" s="267"/>
      <c r="FG77" s="267"/>
      <c r="FH77" s="267"/>
      <c r="FI77" s="267"/>
      <c r="FJ77" s="267"/>
      <c r="FK77" s="267"/>
      <c r="FL77" s="267"/>
      <c r="FM77" s="267"/>
      <c r="FN77" s="267"/>
      <c r="FO77" s="267"/>
      <c r="FP77" s="267"/>
      <c r="FQ77" s="267"/>
      <c r="FR77" s="267"/>
      <c r="FS77" s="267"/>
      <c r="FT77" s="267"/>
      <c r="FU77" s="267"/>
      <c r="FV77" s="267"/>
      <c r="FW77" s="267"/>
      <c r="FX77" s="267"/>
      <c r="FY77" s="267"/>
      <c r="FZ77" s="267"/>
      <c r="GA77" s="267"/>
      <c r="GB77" s="267"/>
      <c r="GC77" s="267"/>
      <c r="GD77" s="267"/>
      <c r="GE77" s="267"/>
      <c r="GF77" s="267"/>
      <c r="GG77" s="267"/>
      <c r="GH77" s="267"/>
      <c r="GI77" s="267"/>
      <c r="GJ77" s="267"/>
      <c r="GK77" s="267"/>
      <c r="GL77" s="267"/>
      <c r="GM77" s="267"/>
      <c r="GN77" s="267"/>
      <c r="GO77" s="267"/>
      <c r="GP77" s="267"/>
      <c r="GQ77" s="267"/>
      <c r="GR77" s="267"/>
      <c r="GS77" s="267"/>
      <c r="GT77" s="267"/>
      <c r="GU77" s="267"/>
      <c r="GV77" s="267"/>
      <c r="GW77" s="267"/>
      <c r="GX77" s="267"/>
      <c r="GY77" s="267"/>
      <c r="GZ77" s="267"/>
      <c r="HA77" s="267"/>
      <c r="HB77" s="267"/>
      <c r="HC77" s="267"/>
      <c r="HD77" s="267"/>
      <c r="HE77" s="267"/>
      <c r="HF77" s="267"/>
      <c r="HG77" s="267"/>
      <c r="HH77" s="267"/>
      <c r="HI77" s="267"/>
      <c r="HJ77" s="267"/>
      <c r="HK77" s="267"/>
      <c r="HL77" s="267"/>
      <c r="HM77" s="267"/>
      <c r="HN77" s="267"/>
      <c r="HO77" s="267"/>
      <c r="HP77" s="267"/>
      <c r="HQ77" s="267"/>
      <c r="HR77" s="267"/>
      <c r="HS77" s="267"/>
      <c r="HT77" s="267"/>
      <c r="HU77" s="267"/>
      <c r="HV77" s="267"/>
      <c r="HW77" s="267"/>
      <c r="HX77" s="267"/>
      <c r="HY77" s="267"/>
      <c r="HZ77" s="267"/>
      <c r="IA77" s="267"/>
      <c r="IB77" s="267"/>
      <c r="IC77" s="267"/>
      <c r="ID77" s="267"/>
      <c r="IE77" s="267"/>
      <c r="IF77" s="267"/>
      <c r="IG77" s="267"/>
      <c r="IH77" s="267"/>
      <c r="II77" s="267"/>
      <c r="IJ77" s="267"/>
      <c r="IK77" s="267"/>
      <c r="IL77" s="267"/>
      <c r="IM77" s="267"/>
      <c r="IN77" s="267"/>
      <c r="IO77" s="267"/>
      <c r="IP77" s="267"/>
      <c r="IQ77" s="267"/>
      <c r="IR77" s="267"/>
      <c r="IS77" s="267"/>
      <c r="IT77" s="267"/>
      <c r="IU77" s="267"/>
      <c r="IV77" s="267"/>
      <c r="IW77" s="267"/>
    </row>
    <row r="78" customFormat="false" ht="12" hidden="false" customHeight="true" outlineLevel="0" collapsed="false">
      <c r="A78" s="294"/>
      <c r="B78" s="272"/>
      <c r="C78" s="302"/>
      <c r="D78" s="315"/>
      <c r="E78" s="316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86"/>
      <c r="R78" s="286"/>
      <c r="S78" s="284"/>
      <c r="T78" s="284"/>
      <c r="U78" s="284"/>
      <c r="V78" s="284"/>
      <c r="W78" s="284"/>
      <c r="X78" s="284"/>
      <c r="Y78" s="302"/>
      <c r="Z78" s="287"/>
      <c r="AA78" s="284"/>
      <c r="AB78" s="302"/>
      <c r="AC78" s="265"/>
      <c r="AD78" s="303"/>
      <c r="AE78" s="266"/>
      <c r="AF78" s="266"/>
      <c r="AG78" s="266"/>
      <c r="AH78" s="266"/>
      <c r="AI78" s="266"/>
      <c r="AJ78" s="266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267"/>
      <c r="BC78" s="267"/>
      <c r="BD78" s="267"/>
      <c r="BE78" s="267"/>
      <c r="BF78" s="267"/>
      <c r="BG78" s="267"/>
      <c r="BH78" s="267"/>
      <c r="BI78" s="267"/>
      <c r="BJ78" s="267"/>
      <c r="BK78" s="267"/>
      <c r="BL78" s="267"/>
      <c r="BM78" s="267"/>
      <c r="BN78" s="267"/>
      <c r="BO78" s="267"/>
      <c r="BP78" s="267"/>
      <c r="BQ78" s="267"/>
      <c r="BR78" s="267"/>
      <c r="BS78" s="267"/>
      <c r="BT78" s="267"/>
      <c r="BU78" s="267"/>
      <c r="BV78" s="267"/>
      <c r="BW78" s="267"/>
      <c r="BX78" s="267"/>
      <c r="BY78" s="267"/>
      <c r="BZ78" s="267"/>
      <c r="CA78" s="267"/>
      <c r="CB78" s="267"/>
      <c r="CC78" s="267"/>
      <c r="CD78" s="267"/>
      <c r="CE78" s="267"/>
      <c r="CF78" s="267"/>
      <c r="CG78" s="267"/>
      <c r="CH78" s="267"/>
      <c r="CI78" s="267"/>
      <c r="CJ78" s="267"/>
      <c r="CK78" s="267"/>
      <c r="CL78" s="267"/>
      <c r="CM78" s="267"/>
      <c r="CN78" s="267"/>
      <c r="CO78" s="267"/>
      <c r="CP78" s="267"/>
      <c r="CQ78" s="267"/>
      <c r="CR78" s="267"/>
      <c r="CS78" s="267"/>
      <c r="CT78" s="267"/>
      <c r="CU78" s="267"/>
      <c r="CV78" s="267"/>
      <c r="CW78" s="267"/>
      <c r="CX78" s="267"/>
      <c r="CY78" s="267"/>
      <c r="CZ78" s="267"/>
      <c r="DA78" s="267"/>
      <c r="DB78" s="267"/>
      <c r="DC78" s="267"/>
      <c r="DD78" s="267"/>
      <c r="DE78" s="267"/>
      <c r="DF78" s="267"/>
      <c r="DG78" s="267"/>
      <c r="DH78" s="267"/>
      <c r="DI78" s="267"/>
      <c r="DJ78" s="267"/>
      <c r="DK78" s="267"/>
      <c r="DL78" s="267"/>
      <c r="DM78" s="267"/>
      <c r="DN78" s="267"/>
      <c r="DO78" s="267"/>
      <c r="DP78" s="267"/>
      <c r="DQ78" s="267"/>
      <c r="DR78" s="267"/>
      <c r="DS78" s="267"/>
      <c r="DT78" s="267"/>
      <c r="DU78" s="267"/>
      <c r="DV78" s="267"/>
      <c r="DW78" s="267"/>
      <c r="DX78" s="267"/>
      <c r="DY78" s="267"/>
      <c r="DZ78" s="267"/>
      <c r="EA78" s="267"/>
      <c r="EB78" s="267"/>
      <c r="EC78" s="267"/>
      <c r="ED78" s="267"/>
      <c r="EE78" s="267"/>
      <c r="EF78" s="267"/>
      <c r="EG78" s="267"/>
      <c r="EH78" s="267"/>
      <c r="EI78" s="267"/>
      <c r="EJ78" s="267"/>
      <c r="EK78" s="267"/>
      <c r="EL78" s="267"/>
      <c r="EM78" s="267"/>
      <c r="EN78" s="267"/>
      <c r="EO78" s="267"/>
      <c r="EP78" s="267"/>
      <c r="EQ78" s="267"/>
      <c r="ER78" s="267"/>
      <c r="ES78" s="267"/>
      <c r="ET78" s="267"/>
      <c r="EU78" s="267"/>
      <c r="EV78" s="267"/>
      <c r="EW78" s="267"/>
      <c r="EX78" s="267"/>
      <c r="EY78" s="267"/>
      <c r="EZ78" s="267"/>
      <c r="FA78" s="267"/>
      <c r="FB78" s="267"/>
      <c r="FC78" s="267"/>
      <c r="FD78" s="267"/>
      <c r="FE78" s="267"/>
      <c r="FF78" s="267"/>
      <c r="FG78" s="267"/>
      <c r="FH78" s="267"/>
      <c r="FI78" s="267"/>
      <c r="FJ78" s="267"/>
      <c r="FK78" s="267"/>
      <c r="FL78" s="267"/>
      <c r="FM78" s="267"/>
      <c r="FN78" s="267"/>
      <c r="FO78" s="267"/>
      <c r="FP78" s="267"/>
      <c r="FQ78" s="267"/>
      <c r="FR78" s="267"/>
      <c r="FS78" s="267"/>
      <c r="FT78" s="267"/>
      <c r="FU78" s="267"/>
      <c r="FV78" s="267"/>
      <c r="FW78" s="267"/>
      <c r="FX78" s="267"/>
      <c r="FY78" s="267"/>
      <c r="FZ78" s="267"/>
      <c r="GA78" s="267"/>
      <c r="GB78" s="267"/>
      <c r="GC78" s="267"/>
      <c r="GD78" s="267"/>
      <c r="GE78" s="267"/>
      <c r="GF78" s="267"/>
      <c r="GG78" s="267"/>
      <c r="GH78" s="267"/>
      <c r="GI78" s="267"/>
      <c r="GJ78" s="267"/>
      <c r="GK78" s="267"/>
      <c r="GL78" s="267"/>
      <c r="GM78" s="267"/>
      <c r="GN78" s="267"/>
      <c r="GO78" s="267"/>
      <c r="GP78" s="267"/>
      <c r="GQ78" s="267"/>
      <c r="GR78" s="267"/>
      <c r="GS78" s="267"/>
      <c r="GT78" s="267"/>
      <c r="GU78" s="267"/>
      <c r="GV78" s="267"/>
      <c r="GW78" s="267"/>
      <c r="GX78" s="267"/>
      <c r="GY78" s="267"/>
      <c r="GZ78" s="267"/>
      <c r="HA78" s="267"/>
      <c r="HB78" s="267"/>
      <c r="HC78" s="267"/>
      <c r="HD78" s="267"/>
      <c r="HE78" s="267"/>
      <c r="HF78" s="267"/>
      <c r="HG78" s="267"/>
      <c r="HH78" s="267"/>
      <c r="HI78" s="267"/>
      <c r="HJ78" s="267"/>
      <c r="HK78" s="267"/>
      <c r="HL78" s="267"/>
      <c r="HM78" s="267"/>
      <c r="HN78" s="267"/>
      <c r="HO78" s="267"/>
      <c r="HP78" s="267"/>
      <c r="HQ78" s="267"/>
      <c r="HR78" s="267"/>
      <c r="HS78" s="267"/>
      <c r="HT78" s="267"/>
      <c r="HU78" s="267"/>
      <c r="HV78" s="267"/>
      <c r="HW78" s="267"/>
      <c r="HX78" s="267"/>
      <c r="HY78" s="267"/>
      <c r="HZ78" s="267"/>
      <c r="IA78" s="267"/>
      <c r="IB78" s="267"/>
      <c r="IC78" s="267"/>
      <c r="ID78" s="267"/>
      <c r="IE78" s="267"/>
      <c r="IF78" s="267"/>
      <c r="IG78" s="267"/>
      <c r="IH78" s="267"/>
      <c r="II78" s="267"/>
      <c r="IJ78" s="267"/>
      <c r="IK78" s="267"/>
      <c r="IL78" s="267"/>
      <c r="IM78" s="267"/>
      <c r="IN78" s="267"/>
      <c r="IO78" s="267"/>
      <c r="IP78" s="267"/>
      <c r="IQ78" s="267"/>
      <c r="IR78" s="267"/>
      <c r="IS78" s="267"/>
      <c r="IT78" s="267"/>
      <c r="IU78" s="267"/>
      <c r="IV78" s="267"/>
      <c r="IW78" s="267"/>
    </row>
    <row r="79" customFormat="false" ht="12" hidden="false" customHeight="true" outlineLevel="0" collapsed="false">
      <c r="A79" s="294" t="s">
        <v>268</v>
      </c>
      <c r="B79" s="271" t="s">
        <v>146</v>
      </c>
      <c r="C79" s="302" t="s">
        <v>148</v>
      </c>
      <c r="D79" s="315" t="n">
        <f aca="false">'E. VaR &amp; Peak Pos By Trader'!E79</f>
        <v>136714.456817407</v>
      </c>
      <c r="E79" s="316" t="n">
        <f aca="false">'E. VaR &amp; Peak Pos By Trader'!F79</f>
        <v>81392.0437003366</v>
      </c>
      <c r="F79" s="274" t="n">
        <f aca="false">VLOOKUP($B79,'[3]Delta Monthly'!$A$1:$AW$55,5,1)</f>
        <v>0</v>
      </c>
      <c r="G79" s="274" t="n">
        <f aca="false">VLOOKUP($B79,'[3]Delta Monthly'!$A$1:$AW$55,7,1)</f>
        <v>0</v>
      </c>
      <c r="H79" s="274" t="n">
        <f aca="false">VLOOKUP($B79,'[3]Delta Monthly'!$A$1:$AW$55,9,1)</f>
        <v>0</v>
      </c>
      <c r="I79" s="274" t="n">
        <f aca="false">VLOOKUP($B79,'[3]Delta Monthly'!$A$1:$AW$55,11,0)</f>
        <v>0</v>
      </c>
      <c r="J79" s="274" t="n">
        <f aca="false">VLOOKUP($B79,'[3]Delta Monthly'!$A$1:$AW$55,13,0)</f>
        <v>0</v>
      </c>
      <c r="K79" s="274" t="n">
        <f aca="false">VLOOKUP($B79,'[3]Delta Monthly'!$A$1:$AW$55,15,0)</f>
        <v>0</v>
      </c>
      <c r="L79" s="274" t="n">
        <f aca="false">+VLOOKUP($B79,'[3]Delta Monthly'!$A$1:$AW$55,17,0)</f>
        <v>0</v>
      </c>
      <c r="M79" s="274" t="n">
        <f aca="false">VLOOKUP($B79,'[3]Delta Monthly'!$A$1:$AW$55,19,0)</f>
        <v>0</v>
      </c>
      <c r="N79" s="274" t="n">
        <f aca="false">VLOOKUP($B79,'[3]Delta Monthly'!$A$1:$AW$55,21,FALSE())</f>
        <v>0</v>
      </c>
      <c r="O79" s="274" t="n">
        <f aca="false">VLOOKUP($B79,'[3]Delta Monthly'!$A$1:$AW$55,23,FALSE())</f>
        <v>0</v>
      </c>
      <c r="P79" s="274" t="n">
        <f aca="false">VLOOKUP($B79,'[3]Delta Monthly'!$A$1:$AW$55,25,FALSE())</f>
        <v>0</v>
      </c>
      <c r="Q79" s="286" t="n">
        <f aca="false">SUM(F79:P79)</f>
        <v>0</v>
      </c>
      <c r="R79" s="305" t="n">
        <f aca="false">VLOOKUP($B79,'[3]Delta Monthly'!$A$1:$AW$55,27,0)+VLOOKUP($B79,'[3]Delta Monthly'!$A$1:$AW$55,29,0)</f>
        <v>0</v>
      </c>
      <c r="S79" s="274" t="n">
        <f aca="false">VLOOKUP($B79,'[3]Delta Monthly'!$A$1:$AW$55,31,0)+VLOOKUP($B79,'[3]Delta Monthly'!$A$1:$AW$55,33,0)</f>
        <v>0</v>
      </c>
      <c r="T79" s="274" t="n">
        <f aca="false">VLOOKUP($B79,'[3]Delta Monthly'!$A$1:$AW$55,35,0)</f>
        <v>0</v>
      </c>
      <c r="U79" s="274" t="n">
        <f aca="false">VLOOKUP($B79,'[3]Delta Monthly'!$A$1:$AW$55,37,0)</f>
        <v>0</v>
      </c>
      <c r="V79" s="274" t="n">
        <f aca="false">VLOOKUP($B79,'[3]Delta Monthly'!$A$1:$AW$55,39,0)+VLOOKUP($B79,'[3]Delta Monthly'!$A$1:$AW$55,41,0)</f>
        <v>0</v>
      </c>
      <c r="W79" s="274" t="n">
        <f aca="false">VLOOKUP($B79,'[3]Delta Monthly'!$A$1:$AW$55,43,0)</f>
        <v>0</v>
      </c>
      <c r="X79" s="274" t="n">
        <f aca="false">VLOOKUP($B79,'[3]Delta Monthly'!$A$1:$AW$55,45,0)+VLOOKUP($B79,'[3]Delta Monthly'!$A$1:$AW$55,47,0)+VLOOKUP($B79,'[3]Delta Monthly'!$A$1:$AW$55,49,0)</f>
        <v>0</v>
      </c>
      <c r="Y79" s="302" t="n">
        <f aca="false">SUM(R79:X79)</f>
        <v>0</v>
      </c>
      <c r="Z79" s="287" t="n">
        <f aca="false">VLOOKUP($B79,'[5]Delta Yearly'!$A$1:$AC$55,5,0)</f>
        <v>0</v>
      </c>
      <c r="AA79" s="284" t="n">
        <f aca="false">VLOOKUP($B79,'[5]Delta Yearly'!$A$1:$AC$55,7,FALSE())+VLOOKUP($B79,'[5]Delta Yearly'!$A$1:$AC$55,9,FALSE())+VLOOKUP($B79,'[5]Delta Yearly'!$A$1:$AC$55,11,FALSE())+VLOOKUP($B79,'[5]Delta Yearly'!$A$1:$AC$55,13,FALSE())+VLOOKUP($B79,'[5]Delta Yearly'!$A$1:$AC$55,15,FALSE())+VLOOKUP($B79,'[5]Delta Yearly'!$A$1:$AC$55,17,FALSE())+VLOOKUP($B79,'[5]Delta Yearly'!$A$1:$AC$55,19,FALSE())+VLOOKUP($B79,'[5]Delta Yearly'!$A$1:$AC$55,21,FALSE())+VLOOKUP($B79,'[5]Delta Yearly'!$A$1:$AC$55,23,FALSE())+VLOOKUP($B79,'[5]Delta Yearly'!$A$1:$AC$55,25,FALSE())+VLOOKUP($B79,'[5]Delta Yearly'!$A$1:$AC$55,27,FALSE())+VLOOKUP($B79,'[5]Delta Yearly'!$A$1:$AC$55,29,FALSE())</f>
        <v>0</v>
      </c>
      <c r="AB79" s="302" t="n">
        <f aca="false">SUM(AA79,Z79,Y79,Q79)</f>
        <v>0</v>
      </c>
      <c r="AC79" s="265"/>
      <c r="AD79" s="303"/>
      <c r="AE79" s="266"/>
      <c r="AF79" s="266"/>
      <c r="AG79" s="266"/>
      <c r="AH79" s="266"/>
      <c r="AI79" s="266"/>
      <c r="AJ79" s="266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267"/>
      <c r="BC79" s="267"/>
      <c r="BD79" s="267"/>
      <c r="BE79" s="267"/>
      <c r="BF79" s="267"/>
      <c r="BG79" s="267"/>
      <c r="BH79" s="267"/>
      <c r="BI79" s="267"/>
      <c r="BJ79" s="267"/>
      <c r="BK79" s="267"/>
      <c r="BL79" s="267"/>
      <c r="BM79" s="267"/>
      <c r="BN79" s="267"/>
      <c r="BO79" s="267"/>
      <c r="BP79" s="267"/>
      <c r="BQ79" s="267"/>
      <c r="BR79" s="267"/>
      <c r="BS79" s="267"/>
      <c r="BT79" s="267"/>
      <c r="BU79" s="267"/>
      <c r="BV79" s="267"/>
      <c r="BW79" s="267"/>
      <c r="BX79" s="267"/>
      <c r="BY79" s="267"/>
      <c r="BZ79" s="267"/>
      <c r="CA79" s="267"/>
      <c r="CB79" s="267"/>
      <c r="CC79" s="267"/>
      <c r="CD79" s="267"/>
      <c r="CE79" s="267"/>
      <c r="CF79" s="267"/>
      <c r="CG79" s="267"/>
      <c r="CH79" s="267"/>
      <c r="CI79" s="267"/>
      <c r="CJ79" s="267"/>
      <c r="CK79" s="267"/>
      <c r="CL79" s="267"/>
      <c r="CM79" s="267"/>
      <c r="CN79" s="267"/>
      <c r="CO79" s="267"/>
      <c r="CP79" s="267"/>
      <c r="CQ79" s="267"/>
      <c r="CR79" s="267"/>
      <c r="CS79" s="267"/>
      <c r="CT79" s="267"/>
      <c r="CU79" s="267"/>
      <c r="CV79" s="267"/>
      <c r="CW79" s="267"/>
      <c r="CX79" s="267"/>
      <c r="CY79" s="267"/>
      <c r="CZ79" s="267"/>
      <c r="DA79" s="267"/>
      <c r="DB79" s="267"/>
      <c r="DC79" s="267"/>
      <c r="DD79" s="267"/>
      <c r="DE79" s="267"/>
      <c r="DF79" s="267"/>
      <c r="DG79" s="267"/>
      <c r="DH79" s="267"/>
      <c r="DI79" s="267"/>
      <c r="DJ79" s="267"/>
      <c r="DK79" s="267"/>
      <c r="DL79" s="267"/>
      <c r="DM79" s="267"/>
      <c r="DN79" s="267"/>
      <c r="DO79" s="267"/>
      <c r="DP79" s="267"/>
      <c r="DQ79" s="267"/>
      <c r="DR79" s="267"/>
      <c r="DS79" s="267"/>
      <c r="DT79" s="267"/>
      <c r="DU79" s="267"/>
      <c r="DV79" s="267"/>
      <c r="DW79" s="267"/>
      <c r="DX79" s="267"/>
      <c r="DY79" s="267"/>
      <c r="DZ79" s="267"/>
      <c r="EA79" s="267"/>
      <c r="EB79" s="267"/>
      <c r="EC79" s="267"/>
      <c r="ED79" s="267"/>
      <c r="EE79" s="267"/>
      <c r="EF79" s="267"/>
      <c r="EG79" s="267"/>
      <c r="EH79" s="267"/>
      <c r="EI79" s="267"/>
      <c r="EJ79" s="267"/>
      <c r="EK79" s="267"/>
      <c r="EL79" s="267"/>
      <c r="EM79" s="267"/>
      <c r="EN79" s="267"/>
      <c r="EO79" s="267"/>
      <c r="EP79" s="267"/>
      <c r="EQ79" s="267"/>
      <c r="ER79" s="267"/>
      <c r="ES79" s="267"/>
      <c r="ET79" s="267"/>
      <c r="EU79" s="267"/>
      <c r="EV79" s="267"/>
      <c r="EW79" s="267"/>
      <c r="EX79" s="267"/>
      <c r="EY79" s="267"/>
      <c r="EZ79" s="267"/>
      <c r="FA79" s="267"/>
      <c r="FB79" s="267"/>
      <c r="FC79" s="267"/>
      <c r="FD79" s="267"/>
      <c r="FE79" s="267"/>
      <c r="FF79" s="267"/>
      <c r="FG79" s="267"/>
      <c r="FH79" s="267"/>
      <c r="FI79" s="267"/>
      <c r="FJ79" s="267"/>
      <c r="FK79" s="267"/>
      <c r="FL79" s="267"/>
      <c r="FM79" s="267"/>
      <c r="FN79" s="267"/>
      <c r="FO79" s="267"/>
      <c r="FP79" s="267"/>
      <c r="FQ79" s="267"/>
      <c r="FR79" s="267"/>
      <c r="FS79" s="267"/>
      <c r="FT79" s="267"/>
      <c r="FU79" s="267"/>
      <c r="FV79" s="267"/>
      <c r="FW79" s="267"/>
      <c r="FX79" s="267"/>
      <c r="FY79" s="267"/>
      <c r="FZ79" s="267"/>
      <c r="GA79" s="267"/>
      <c r="GB79" s="267"/>
      <c r="GC79" s="267"/>
      <c r="GD79" s="267"/>
      <c r="GE79" s="267"/>
      <c r="GF79" s="267"/>
      <c r="GG79" s="267"/>
      <c r="GH79" s="267"/>
      <c r="GI79" s="267"/>
      <c r="GJ79" s="267"/>
      <c r="GK79" s="267"/>
      <c r="GL79" s="267"/>
      <c r="GM79" s="267"/>
      <c r="GN79" s="267"/>
      <c r="GO79" s="267"/>
      <c r="GP79" s="267"/>
      <c r="GQ79" s="267"/>
      <c r="GR79" s="267"/>
      <c r="GS79" s="267"/>
      <c r="GT79" s="267"/>
      <c r="GU79" s="267"/>
      <c r="GV79" s="267"/>
      <c r="GW79" s="267"/>
      <c r="GX79" s="267"/>
      <c r="GY79" s="267"/>
      <c r="GZ79" s="267"/>
      <c r="HA79" s="267"/>
      <c r="HB79" s="267"/>
      <c r="HC79" s="267"/>
      <c r="HD79" s="267"/>
      <c r="HE79" s="267"/>
      <c r="HF79" s="267"/>
      <c r="HG79" s="267"/>
      <c r="HH79" s="267"/>
      <c r="HI79" s="267"/>
      <c r="HJ79" s="267"/>
      <c r="HK79" s="267"/>
      <c r="HL79" s="267"/>
      <c r="HM79" s="267"/>
      <c r="HN79" s="267"/>
      <c r="HO79" s="267"/>
      <c r="HP79" s="267"/>
      <c r="HQ79" s="267"/>
      <c r="HR79" s="267"/>
      <c r="HS79" s="267"/>
      <c r="HT79" s="267"/>
      <c r="HU79" s="267"/>
      <c r="HV79" s="267"/>
      <c r="HW79" s="267"/>
      <c r="HX79" s="267"/>
      <c r="HY79" s="267"/>
      <c r="HZ79" s="267"/>
      <c r="IA79" s="267"/>
      <c r="IB79" s="267"/>
      <c r="IC79" s="267"/>
      <c r="ID79" s="267"/>
      <c r="IE79" s="267"/>
      <c r="IF79" s="267"/>
      <c r="IG79" s="267"/>
      <c r="IH79" s="267"/>
      <c r="II79" s="267"/>
      <c r="IJ79" s="267"/>
      <c r="IK79" s="267"/>
      <c r="IL79" s="267"/>
      <c r="IM79" s="267"/>
      <c r="IN79" s="267"/>
      <c r="IO79" s="267"/>
      <c r="IP79" s="267"/>
      <c r="IQ79" s="267"/>
      <c r="IR79" s="267"/>
      <c r="IS79" s="267"/>
      <c r="IT79" s="267"/>
      <c r="IU79" s="267"/>
      <c r="IV79" s="267"/>
      <c r="IW79" s="267"/>
    </row>
    <row r="80" customFormat="false" ht="12" hidden="false" customHeight="true" outlineLevel="0" collapsed="false">
      <c r="A80" s="294"/>
      <c r="B80" s="271"/>
      <c r="C80" s="302"/>
      <c r="D80" s="315"/>
      <c r="E80" s="316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348"/>
      <c r="R80" s="348"/>
      <c r="S80" s="349"/>
      <c r="T80" s="349"/>
      <c r="U80" s="349"/>
      <c r="V80" s="349"/>
      <c r="W80" s="349"/>
      <c r="X80" s="349"/>
      <c r="Y80" s="347"/>
      <c r="Z80" s="350"/>
      <c r="AA80" s="284"/>
      <c r="AB80" s="302"/>
      <c r="AC80" s="265"/>
      <c r="AD80" s="303"/>
      <c r="AE80" s="266"/>
      <c r="AF80" s="266"/>
      <c r="AG80" s="266"/>
      <c r="AH80" s="266"/>
      <c r="AI80" s="266"/>
      <c r="AJ80" s="266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  <c r="HI80" s="267"/>
      <c r="HJ80" s="267"/>
      <c r="HK80" s="267"/>
      <c r="HL80" s="267"/>
      <c r="HM80" s="267"/>
      <c r="HN80" s="267"/>
      <c r="HO80" s="267"/>
      <c r="HP80" s="267"/>
      <c r="HQ80" s="267"/>
      <c r="HR80" s="267"/>
      <c r="HS80" s="267"/>
      <c r="HT80" s="267"/>
      <c r="HU80" s="267"/>
      <c r="HV80" s="267"/>
      <c r="HW80" s="267"/>
      <c r="HX80" s="267"/>
      <c r="HY80" s="267"/>
      <c r="HZ80" s="267"/>
      <c r="IA80" s="267"/>
      <c r="IB80" s="267"/>
      <c r="IC80" s="267"/>
      <c r="ID80" s="267"/>
      <c r="IE80" s="267"/>
      <c r="IF80" s="267"/>
      <c r="IG80" s="267"/>
      <c r="IH80" s="267"/>
      <c r="II80" s="267"/>
      <c r="IJ80" s="267"/>
      <c r="IK80" s="267"/>
      <c r="IL80" s="267"/>
      <c r="IM80" s="267"/>
      <c r="IN80" s="267"/>
      <c r="IO80" s="267"/>
      <c r="IP80" s="267"/>
      <c r="IQ80" s="267"/>
      <c r="IR80" s="267"/>
      <c r="IS80" s="267"/>
      <c r="IT80" s="267"/>
      <c r="IU80" s="267"/>
      <c r="IV80" s="267"/>
      <c r="IW80" s="267"/>
    </row>
    <row r="81" customFormat="false" ht="12" hidden="false" customHeight="true" outlineLevel="0" collapsed="false">
      <c r="A81" s="294" t="s">
        <v>149</v>
      </c>
      <c r="B81" s="271" t="s">
        <v>150</v>
      </c>
      <c r="C81" s="302" t="s">
        <v>152</v>
      </c>
      <c r="D81" s="315" t="n">
        <f aca="false">'E. VaR &amp; Peak Pos By Trader'!E81</f>
        <v>438847.862315768</v>
      </c>
      <c r="E81" s="316" t="n">
        <f aca="false">'E. VaR &amp; Peak Pos By Trader'!F81</f>
        <v>-246061.61378267</v>
      </c>
      <c r="F81" s="274" t="n">
        <f aca="false">VLOOKUP($B81,'[3]Delta Monthly'!$A$1:$AW$55,5,1)</f>
        <v>0</v>
      </c>
      <c r="G81" s="274" t="n">
        <f aca="false">VLOOKUP($B81,'[3]Delta Monthly'!$A$1:$AW$55,7,1)</f>
        <v>0</v>
      </c>
      <c r="H81" s="274" t="n">
        <f aca="false">VLOOKUP($B81,'[3]Delta Monthly'!$A$1:$AW$55,9,1)</f>
        <v>0</v>
      </c>
      <c r="I81" s="274" t="n">
        <f aca="false">VLOOKUP($B81,'[3]Delta Monthly'!$A$1:$AW$55,11,0)</f>
        <v>0</v>
      </c>
      <c r="J81" s="274" t="n">
        <f aca="false">VLOOKUP($B81,'[3]Delta Monthly'!$A$1:$AW$55,13,0)</f>
        <v>0</v>
      </c>
      <c r="K81" s="274" t="n">
        <f aca="false">VLOOKUP($B81,'[3]Delta Monthly'!$A$1:$AW$55,15,0)</f>
        <v>0</v>
      </c>
      <c r="L81" s="274" t="n">
        <f aca="false">+VLOOKUP($B81,'[3]Delta Monthly'!$A$1:$AW$55,17,0)</f>
        <v>0</v>
      </c>
      <c r="M81" s="274" t="n">
        <f aca="false">VLOOKUP($B81,'[3]Delta Monthly'!$A$1:$AW$55,19,0)</f>
        <v>0</v>
      </c>
      <c r="N81" s="274" t="n">
        <f aca="false">VLOOKUP($B81,'[3]Delta Monthly'!$A$1:$AW$55,21,FALSE())</f>
        <v>0</v>
      </c>
      <c r="O81" s="274" t="n">
        <f aca="false">VLOOKUP($B81,'[3]Delta Monthly'!$A$1:$AW$55,23,FALSE())</f>
        <v>58297.3309630694</v>
      </c>
      <c r="P81" s="274" t="n">
        <f aca="false">VLOOKUP($B81,'[3]Delta Monthly'!$A$1:$AW$55,25,FALSE())</f>
        <v>-42244.9191656529</v>
      </c>
      <c r="Q81" s="286" t="n">
        <f aca="false">SUM(F81:P81)</f>
        <v>16052.4117974165</v>
      </c>
      <c r="R81" s="305" t="n">
        <f aca="false">VLOOKUP($B81,'[3]Delta Monthly'!$A$1:$AW$55,27,0)+VLOOKUP($B81,'[3]Delta Monthly'!$A$1:$AW$55,29,0)</f>
        <v>-110904.430458357</v>
      </c>
      <c r="S81" s="274" t="n">
        <f aca="false">VLOOKUP($B81,'[3]Delta Monthly'!$A$1:$AW$55,31,0)+VLOOKUP($B81,'[3]Delta Monthly'!$A$1:$AW$55,33,0)</f>
        <v>-230230.755055588</v>
      </c>
      <c r="T81" s="274" t="n">
        <f aca="false">VLOOKUP($B81,'[3]Delta Monthly'!$A$1:$AW$55,35,0)</f>
        <v>-154804.328206081</v>
      </c>
      <c r="U81" s="274" t="n">
        <f aca="false">VLOOKUP($B81,'[3]Delta Monthly'!$A$1:$AW$55,37,0)</f>
        <v>-118225.760860433</v>
      </c>
      <c r="V81" s="274" t="n">
        <f aca="false">VLOOKUP($B81,'[3]Delta Monthly'!$A$1:$AW$55,39,0)+VLOOKUP($B81,'[3]Delta Monthly'!$A$1:$AW$55,41,0)</f>
        <v>-461841.853818481</v>
      </c>
      <c r="W81" s="274" t="n">
        <f aca="false">VLOOKUP($B81,'[3]Delta Monthly'!$A$1:$AW$55,43,0)</f>
        <v>-117387.199850215</v>
      </c>
      <c r="X81" s="274" t="n">
        <f aca="false">VLOOKUP($B81,'[3]Delta Monthly'!$A$1:$AW$55,45,0)+VLOOKUP($B81,'[3]Delta Monthly'!$A$1:$AW$55,47,0)+VLOOKUP($B81,'[3]Delta Monthly'!$A$1:$AW$55,49,0)</f>
        <v>-461117.006300413</v>
      </c>
      <c r="Y81" s="302" t="n">
        <f aca="false">SUM(R81:X81)</f>
        <v>-1654511.33454957</v>
      </c>
      <c r="Z81" s="287" t="n">
        <f aca="false">VLOOKUP($B81,'[5]Delta Yearly'!$A$1:$AC$55,5,0)</f>
        <v>0</v>
      </c>
      <c r="AA81" s="284" t="n">
        <f aca="false">VLOOKUP($B81,'[5]Delta Yearly'!$A$1:$AC$55,7,FALSE())+VLOOKUP($B81,'[5]Delta Yearly'!$A$1:$AC$55,9,FALSE())+VLOOKUP($B81,'[5]Delta Yearly'!$A$1:$AC$55,11,FALSE())+VLOOKUP($B81,'[5]Delta Yearly'!$A$1:$AC$55,13,FALSE())+VLOOKUP($B81,'[5]Delta Yearly'!$A$1:$AC$55,15,FALSE())+VLOOKUP($B81,'[5]Delta Yearly'!$A$1:$AC$55,17,FALSE())+VLOOKUP($B81,'[5]Delta Yearly'!$A$1:$AC$55,19,FALSE())+VLOOKUP($B81,'[5]Delta Yearly'!$A$1:$AC$55,21,FALSE())+VLOOKUP($B81,'[5]Delta Yearly'!$A$1:$AC$55,23,FALSE())+VLOOKUP($B81,'[5]Delta Yearly'!$A$1:$AC$55,25,FALSE())+VLOOKUP($B81,'[5]Delta Yearly'!$A$1:$AC$55,27,FALSE())+VLOOKUP($B81,'[5]Delta Yearly'!$A$1:$AC$55,29,FALSE())</f>
        <v>0</v>
      </c>
      <c r="AB81" s="302" t="n">
        <f aca="false">SUM(AA81,Z81,Y81,Q81)</f>
        <v>-1638458.92275215</v>
      </c>
      <c r="AC81" s="265"/>
      <c r="AD81" s="303"/>
      <c r="AE81" s="266"/>
      <c r="AF81" s="266"/>
      <c r="AG81" s="266"/>
      <c r="AH81" s="266"/>
      <c r="AI81" s="266"/>
      <c r="AJ81" s="266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C81" s="267"/>
      <c r="BD81" s="267"/>
      <c r="BE81" s="267"/>
      <c r="BF81" s="267"/>
      <c r="BG81" s="267"/>
      <c r="BH81" s="267"/>
      <c r="BI81" s="267"/>
      <c r="BJ81" s="267"/>
      <c r="BK81" s="267"/>
      <c r="BL81" s="267"/>
      <c r="BM81" s="267"/>
      <c r="BN81" s="267"/>
      <c r="BO81" s="267"/>
      <c r="BP81" s="267"/>
      <c r="BQ81" s="267"/>
      <c r="BR81" s="267"/>
      <c r="BS81" s="267"/>
      <c r="BT81" s="267"/>
      <c r="BU81" s="267"/>
      <c r="BV81" s="267"/>
      <c r="BW81" s="267"/>
      <c r="BX81" s="267"/>
      <c r="BY81" s="267"/>
      <c r="BZ81" s="267"/>
      <c r="CA81" s="267"/>
      <c r="CB81" s="267"/>
      <c r="CC81" s="267"/>
      <c r="CD81" s="267"/>
      <c r="CE81" s="267"/>
      <c r="CF81" s="267"/>
      <c r="CG81" s="267"/>
      <c r="CH81" s="267"/>
      <c r="CI81" s="267"/>
      <c r="CJ81" s="267"/>
      <c r="CK81" s="267"/>
      <c r="CL81" s="267"/>
      <c r="CM81" s="267"/>
      <c r="CN81" s="267"/>
      <c r="CO81" s="267"/>
      <c r="CP81" s="267"/>
      <c r="CQ81" s="267"/>
      <c r="CR81" s="267"/>
      <c r="CS81" s="267"/>
      <c r="CT81" s="267"/>
      <c r="CU81" s="267"/>
      <c r="CV81" s="267"/>
      <c r="CW81" s="267"/>
      <c r="CX81" s="267"/>
      <c r="CY81" s="267"/>
      <c r="CZ81" s="267"/>
      <c r="DA81" s="267"/>
      <c r="DB81" s="267"/>
      <c r="DC81" s="267"/>
      <c r="DD81" s="267"/>
      <c r="DE81" s="267"/>
      <c r="DF81" s="267"/>
      <c r="DG81" s="267"/>
      <c r="DH81" s="267"/>
      <c r="DI81" s="267"/>
      <c r="DJ81" s="267"/>
      <c r="DK81" s="267"/>
      <c r="DL81" s="267"/>
      <c r="DM81" s="267"/>
      <c r="DN81" s="267"/>
      <c r="DO81" s="267"/>
      <c r="DP81" s="267"/>
      <c r="DQ81" s="267"/>
      <c r="DR81" s="267"/>
      <c r="DS81" s="267"/>
      <c r="DT81" s="267"/>
      <c r="DU81" s="267"/>
      <c r="DV81" s="267"/>
      <c r="DW81" s="267"/>
      <c r="DX81" s="267"/>
      <c r="DY81" s="267"/>
      <c r="DZ81" s="267"/>
      <c r="EA81" s="267"/>
      <c r="EB81" s="267"/>
      <c r="EC81" s="267"/>
      <c r="ED81" s="267"/>
      <c r="EE81" s="267"/>
      <c r="EF81" s="267"/>
      <c r="EG81" s="267"/>
      <c r="EH81" s="267"/>
      <c r="EI81" s="267"/>
      <c r="EJ81" s="267"/>
      <c r="EK81" s="267"/>
      <c r="EL81" s="267"/>
      <c r="EM81" s="267"/>
      <c r="EN81" s="267"/>
      <c r="EO81" s="267"/>
      <c r="EP81" s="267"/>
      <c r="EQ81" s="267"/>
      <c r="ER81" s="267"/>
      <c r="ES81" s="267"/>
      <c r="ET81" s="267"/>
      <c r="EU81" s="267"/>
      <c r="EV81" s="267"/>
      <c r="EW81" s="267"/>
      <c r="EX81" s="267"/>
      <c r="EY81" s="267"/>
      <c r="EZ81" s="267"/>
      <c r="FA81" s="267"/>
      <c r="FB81" s="267"/>
      <c r="FC81" s="267"/>
      <c r="FD81" s="267"/>
      <c r="FE81" s="267"/>
      <c r="FF81" s="267"/>
      <c r="FG81" s="267"/>
      <c r="FH81" s="267"/>
      <c r="FI81" s="267"/>
      <c r="FJ81" s="267"/>
      <c r="FK81" s="267"/>
      <c r="FL81" s="267"/>
      <c r="FM81" s="267"/>
      <c r="FN81" s="267"/>
      <c r="FO81" s="267"/>
      <c r="FP81" s="267"/>
      <c r="FQ81" s="267"/>
      <c r="FR81" s="267"/>
      <c r="FS81" s="267"/>
      <c r="FT81" s="267"/>
      <c r="FU81" s="267"/>
      <c r="FV81" s="267"/>
      <c r="FW81" s="267"/>
      <c r="FX81" s="267"/>
      <c r="FY81" s="267"/>
      <c r="FZ81" s="267"/>
      <c r="GA81" s="267"/>
      <c r="GB81" s="267"/>
      <c r="GC81" s="267"/>
      <c r="GD81" s="267"/>
      <c r="GE81" s="267"/>
      <c r="GF81" s="267"/>
      <c r="GG81" s="267"/>
      <c r="GH81" s="267"/>
      <c r="GI81" s="267"/>
      <c r="GJ81" s="267"/>
      <c r="GK81" s="267"/>
      <c r="GL81" s="267"/>
      <c r="GM81" s="267"/>
      <c r="GN81" s="267"/>
      <c r="GO81" s="267"/>
      <c r="GP81" s="267"/>
      <c r="GQ81" s="267"/>
      <c r="GR81" s="267"/>
      <c r="GS81" s="267"/>
      <c r="GT81" s="267"/>
      <c r="GU81" s="267"/>
      <c r="GV81" s="267"/>
      <c r="GW81" s="267"/>
      <c r="GX81" s="267"/>
      <c r="GY81" s="267"/>
      <c r="GZ81" s="267"/>
      <c r="HA81" s="267"/>
      <c r="HB81" s="267"/>
      <c r="HC81" s="267"/>
      <c r="HD81" s="267"/>
      <c r="HE81" s="267"/>
      <c r="HF81" s="267"/>
      <c r="HG81" s="267"/>
      <c r="HH81" s="267"/>
      <c r="HI81" s="267"/>
      <c r="HJ81" s="267"/>
      <c r="HK81" s="267"/>
      <c r="HL81" s="267"/>
      <c r="HM81" s="267"/>
      <c r="HN81" s="267"/>
      <c r="HO81" s="267"/>
      <c r="HP81" s="267"/>
      <c r="HQ81" s="267"/>
      <c r="HR81" s="267"/>
      <c r="HS81" s="267"/>
      <c r="HT81" s="267"/>
      <c r="HU81" s="267"/>
      <c r="HV81" s="267"/>
      <c r="HW81" s="267"/>
      <c r="HX81" s="267"/>
      <c r="HY81" s="267"/>
      <c r="HZ81" s="267"/>
      <c r="IA81" s="267"/>
      <c r="IB81" s="267"/>
      <c r="IC81" s="267"/>
      <c r="ID81" s="267"/>
      <c r="IE81" s="267"/>
      <c r="IF81" s="267"/>
      <c r="IG81" s="267"/>
      <c r="IH81" s="267"/>
      <c r="II81" s="267"/>
      <c r="IJ81" s="267"/>
      <c r="IK81" s="267"/>
      <c r="IL81" s="267"/>
      <c r="IM81" s="267"/>
      <c r="IN81" s="267"/>
      <c r="IO81" s="267"/>
      <c r="IP81" s="267"/>
      <c r="IQ81" s="267"/>
      <c r="IR81" s="267"/>
      <c r="IS81" s="267"/>
      <c r="IT81" s="267"/>
      <c r="IU81" s="267"/>
      <c r="IV81" s="267"/>
      <c r="IW81" s="267"/>
    </row>
    <row r="82" customFormat="false" ht="12" hidden="false" customHeight="true" outlineLevel="0" collapsed="false">
      <c r="A82" s="294"/>
      <c r="B82" s="271"/>
      <c r="C82" s="302"/>
      <c r="D82" s="315"/>
      <c r="E82" s="316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348"/>
      <c r="R82" s="348"/>
      <c r="S82" s="349"/>
      <c r="T82" s="349"/>
      <c r="U82" s="349"/>
      <c r="V82" s="349"/>
      <c r="W82" s="349"/>
      <c r="X82" s="349"/>
      <c r="Y82" s="347"/>
      <c r="Z82" s="350"/>
      <c r="AA82" s="284"/>
      <c r="AB82" s="302"/>
      <c r="AC82" s="265"/>
      <c r="AD82" s="303"/>
      <c r="AE82" s="266"/>
      <c r="AF82" s="266"/>
      <c r="AG82" s="266"/>
      <c r="AH82" s="266"/>
      <c r="AI82" s="266"/>
      <c r="AJ82" s="266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  <c r="BI82" s="267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7"/>
      <c r="BX82" s="267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7"/>
      <c r="CM82" s="267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7"/>
      <c r="DB82" s="267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7"/>
      <c r="DQ82" s="267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7"/>
      <c r="EF82" s="267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7"/>
      <c r="EU82" s="267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7"/>
      <c r="FJ82" s="267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7"/>
      <c r="FY82" s="267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7"/>
      <c r="GN82" s="267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7"/>
      <c r="HC82" s="267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7"/>
      <c r="HR82" s="267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7"/>
      <c r="IG82" s="267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7"/>
      <c r="IV82" s="267"/>
      <c r="IW82" s="267"/>
    </row>
    <row r="83" customFormat="false" ht="12" hidden="false" customHeight="true" outlineLevel="0" collapsed="false">
      <c r="A83" s="294" t="s">
        <v>269</v>
      </c>
      <c r="B83" s="271" t="s">
        <v>154</v>
      </c>
      <c r="C83" s="302" t="s">
        <v>156</v>
      </c>
      <c r="D83" s="315" t="n">
        <f aca="false">'E. VaR &amp; Peak Pos By Trader'!E83</f>
        <v>1688.64850068321</v>
      </c>
      <c r="E83" s="316" t="n">
        <f aca="false">'E. VaR &amp; Peak Pos By Trader'!F83</f>
        <v>66.8114326829302</v>
      </c>
      <c r="F83" s="274" t="n">
        <v>0</v>
      </c>
      <c r="G83" s="274" t="n">
        <f aca="false">VLOOKUP($B83,'[3]Delta Monthly'!$A$1:$AW$55,7,1)</f>
        <v>0</v>
      </c>
      <c r="H83" s="274" t="n">
        <f aca="false">VLOOKUP($B83,'[3]Delta Monthly'!$A$1:$AW$55,9,1)</f>
        <v>0</v>
      </c>
      <c r="I83" s="274" t="n">
        <f aca="false">VLOOKUP($B83,'[3]Delta Monthly'!$A$1:$AW$55,11,0)</f>
        <v>0</v>
      </c>
      <c r="J83" s="274" t="n">
        <f aca="false">VLOOKUP($B83,'[3]Delta Monthly'!$A$1:$AW$55,13,0)</f>
        <v>0</v>
      </c>
      <c r="K83" s="274" t="n">
        <f aca="false">VLOOKUP($B83,'[3]Delta Monthly'!$A$1:$AW$55,15,0)</f>
        <v>0</v>
      </c>
      <c r="L83" s="274" t="n">
        <f aca="false">+VLOOKUP($B83,'[3]Delta Monthly'!$A$1:$AW$55,17,0)</f>
        <v>0</v>
      </c>
      <c r="M83" s="274" t="n">
        <f aca="false">VLOOKUP($B83,'[3]Delta Monthly'!$A$1:$AW$55,19,0)</f>
        <v>0</v>
      </c>
      <c r="N83" s="274" t="n">
        <f aca="false">VLOOKUP($B83,'[3]Delta Monthly'!$A$1:$AW$55,21,FALSE())</f>
        <v>0</v>
      </c>
      <c r="O83" s="274" t="n">
        <f aca="false">VLOOKUP($B83,'[3]Delta Monthly'!$A$1:$AW$55,23,FALSE())</f>
        <v>-399.275877731552</v>
      </c>
      <c r="P83" s="274" t="n">
        <f aca="false">VLOOKUP($B83,'[3]Delta Monthly'!$A$1:$AW$55,25,FALSE())</f>
        <v>0</v>
      </c>
      <c r="Q83" s="286" t="n">
        <f aca="false">SUM(F83:P83)</f>
        <v>-399.275877731552</v>
      </c>
      <c r="R83" s="305" t="n">
        <f aca="false">VLOOKUP($B83,'[3]Delta Monthly'!$A$1:$AW$55,27,0)+VLOOKUP($B83,'[3]Delta Monthly'!$A$1:$AW$55,29,0)</f>
        <v>0</v>
      </c>
      <c r="S83" s="274" t="n">
        <f aca="false">VLOOKUP($B83,'[3]Delta Monthly'!$A$1:$AW$55,31,0)+VLOOKUP($B83,'[3]Delta Monthly'!$A$1:$AW$55,33,0)</f>
        <v>0</v>
      </c>
      <c r="T83" s="274" t="n">
        <f aca="false">VLOOKUP($B83,'[3]Delta Monthly'!$A$1:$AW$55,35,0)</f>
        <v>0</v>
      </c>
      <c r="U83" s="274" t="n">
        <f aca="false">VLOOKUP($B83,'[3]Delta Monthly'!$A$1:$AW$55,37,0)</f>
        <v>0</v>
      </c>
      <c r="V83" s="274" t="n">
        <f aca="false">VLOOKUP($B83,'[3]Delta Monthly'!$A$1:$AW$55,39,0)+VLOOKUP($B83,'[3]Delta Monthly'!$A$1:$AW$55,41,0)</f>
        <v>0</v>
      </c>
      <c r="W83" s="274" t="n">
        <f aca="false">VLOOKUP($B83,'[3]Delta Monthly'!$A$1:$AW$55,43,0)</f>
        <v>0</v>
      </c>
      <c r="X83" s="274" t="n">
        <f aca="false">VLOOKUP($B83,'[3]Delta Monthly'!$A$1:$AW$55,45,0)+VLOOKUP($B83,'[3]Delta Monthly'!$A$1:$AW$55,47,0)+VLOOKUP($B83,'[3]Delta Monthly'!$A$1:$AW$55,49,0)</f>
        <v>0</v>
      </c>
      <c r="Y83" s="302" t="n">
        <f aca="false">SUM(R83:X83)</f>
        <v>0</v>
      </c>
      <c r="Z83" s="287" t="n">
        <f aca="false">VLOOKUP($B83,'[5]Delta Yearly'!$A$1:$AC$55,5,0)</f>
        <v>0</v>
      </c>
      <c r="AA83" s="284" t="n">
        <f aca="false">VLOOKUP($B83,'[5]Delta Yearly'!$A$1:$AC$55,7,FALSE())+VLOOKUP($B83,'[5]Delta Yearly'!$A$1:$AC$55,9,FALSE())+VLOOKUP($B83,'[5]Delta Yearly'!$A$1:$AC$55,11,FALSE())+VLOOKUP($B83,'[5]Delta Yearly'!$A$1:$AC$55,13,FALSE())+VLOOKUP($B83,'[5]Delta Yearly'!$A$1:$AC$55,15,FALSE())+VLOOKUP($B83,'[5]Delta Yearly'!$A$1:$AC$55,17,FALSE())+VLOOKUP($B83,'[5]Delta Yearly'!$A$1:$AC$55,19,FALSE())+VLOOKUP($B83,'[5]Delta Yearly'!$A$1:$AC$55,21,FALSE())+VLOOKUP($B83,'[5]Delta Yearly'!$A$1:$AC$55,23,FALSE())+VLOOKUP($B83,'[5]Delta Yearly'!$A$1:$AC$55,25,FALSE())+VLOOKUP($B83,'[5]Delta Yearly'!$A$1:$AC$55,27,FALSE())+VLOOKUP($B83,'[5]Delta Yearly'!$A$1:$AC$55,29,FALSE())</f>
        <v>0</v>
      </c>
      <c r="AB83" s="302" t="n">
        <f aca="false">SUM(AA83,Z83,Y83,Q83)</f>
        <v>-399.275877731552</v>
      </c>
      <c r="AC83" s="265"/>
      <c r="AD83" s="303"/>
      <c r="AE83" s="266"/>
      <c r="AF83" s="266"/>
      <c r="AG83" s="266"/>
      <c r="AH83" s="266"/>
      <c r="AI83" s="266"/>
      <c r="AJ83" s="266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7"/>
      <c r="BI83" s="267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7"/>
      <c r="BX83" s="267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7"/>
      <c r="CM83" s="267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7"/>
      <c r="DB83" s="267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7"/>
      <c r="DQ83" s="267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7"/>
      <c r="EF83" s="267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7"/>
      <c r="EU83" s="267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7"/>
      <c r="FJ83" s="267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7"/>
      <c r="FY83" s="267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7"/>
      <c r="GN83" s="267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7"/>
      <c r="HC83" s="267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7"/>
      <c r="HR83" s="267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7"/>
      <c r="IG83" s="267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7"/>
      <c r="IV83" s="267"/>
      <c r="IW83" s="267"/>
    </row>
    <row r="84" customFormat="false" ht="12" hidden="false" customHeight="true" outlineLevel="0" collapsed="false">
      <c r="A84" s="294"/>
      <c r="B84" s="271"/>
      <c r="C84" s="302"/>
      <c r="D84" s="315"/>
      <c r="E84" s="316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348"/>
      <c r="R84" s="348"/>
      <c r="S84" s="349"/>
      <c r="T84" s="349"/>
      <c r="U84" s="349"/>
      <c r="V84" s="349"/>
      <c r="W84" s="349"/>
      <c r="X84" s="349"/>
      <c r="Y84" s="347"/>
      <c r="Z84" s="350"/>
      <c r="AA84" s="284"/>
      <c r="AB84" s="302"/>
      <c r="AC84" s="265"/>
      <c r="AD84" s="303"/>
      <c r="AE84" s="266"/>
      <c r="AF84" s="266"/>
      <c r="AG84" s="266"/>
      <c r="AH84" s="266"/>
      <c r="AI84" s="266"/>
      <c r="AJ84" s="266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  <c r="BI84" s="267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7"/>
      <c r="BX84" s="267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7"/>
      <c r="CM84" s="267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7"/>
      <c r="DB84" s="267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7"/>
      <c r="DQ84" s="267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7"/>
      <c r="EF84" s="267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7"/>
      <c r="EU84" s="267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7"/>
      <c r="FJ84" s="267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7"/>
      <c r="FY84" s="267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7"/>
      <c r="GN84" s="267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7"/>
      <c r="HC84" s="267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7"/>
      <c r="HR84" s="267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7"/>
      <c r="IG84" s="267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7"/>
      <c r="IV84" s="267"/>
      <c r="IW84" s="267"/>
    </row>
    <row r="85" customFormat="false" ht="12" hidden="false" customHeight="true" outlineLevel="0" collapsed="false">
      <c r="A85" s="294" t="s">
        <v>270</v>
      </c>
      <c r="B85" s="271" t="s">
        <v>159</v>
      </c>
      <c r="C85" s="302" t="s">
        <v>161</v>
      </c>
      <c r="D85" s="315" t="n">
        <f aca="false">'E. VaR &amp; Peak Pos By Trader'!E85</f>
        <v>47051.7236445571</v>
      </c>
      <c r="E85" s="316" t="n">
        <f aca="false">'E. VaR &amp; Peak Pos By Trader'!F85</f>
        <v>1117.2940252565</v>
      </c>
      <c r="F85" s="274" t="n">
        <v>0</v>
      </c>
      <c r="G85" s="274" t="n">
        <f aca="false">VLOOKUP($B85,'[3]Delta Monthly'!$A$1:$AW$55,7,FALSE())</f>
        <v>0</v>
      </c>
      <c r="H85" s="274" t="n">
        <f aca="false">VLOOKUP($B85,'[3]Delta Monthly'!$A$1:$AW$55,9,FALSE())</f>
        <v>0</v>
      </c>
      <c r="I85" s="274" t="n">
        <f aca="false">VLOOKUP($B85,'[3]Delta Monthly'!$A$1:$AW$55,11,FALSE())</f>
        <v>0</v>
      </c>
      <c r="J85" s="274" t="n">
        <f aca="false">VLOOKUP($B85,'[3]Delta Monthly'!$A$1:$AW$55,13,FALSE())</f>
        <v>0</v>
      </c>
      <c r="K85" s="274" t="n">
        <f aca="false">VLOOKUP($B85,'[3]Delta Monthly'!$A$1:$AW$55,15,FALSE())</f>
        <v>0</v>
      </c>
      <c r="L85" s="274" t="n">
        <f aca="false">+VLOOKUP($B85,'[3]Delta Monthly'!$A$1:$AW$55,17,FALSE())</f>
        <v>0</v>
      </c>
      <c r="M85" s="274" t="n">
        <f aca="false">VLOOKUP($B85,'[3]Delta Monthly'!$A$1:$AW$55,19,FALSE())</f>
        <v>0</v>
      </c>
      <c r="N85" s="274" t="n">
        <f aca="false">VLOOKUP($B85,'[3]Delta Monthly'!$A$1:$AW$55,21,FALSE())</f>
        <v>0</v>
      </c>
      <c r="O85" s="274" t="n">
        <f aca="false">VLOOKUP($B85,'[3]Delta Monthly'!$A$1:$AW$55,23,FALSE())</f>
        <v>-798.551755463104</v>
      </c>
      <c r="P85" s="274" t="n">
        <f aca="false">VLOOKUP($B85,'[3]Delta Monthly'!$A$1:$AW$55,25,FALSE())</f>
        <v>-3555.73583519134</v>
      </c>
      <c r="Q85" s="286" t="n">
        <f aca="false">SUM(F85:P85)</f>
        <v>-4354.28759065444</v>
      </c>
      <c r="R85" s="305" t="n">
        <f aca="false">VLOOKUP($B85,'[3]Delta Monthly'!$A$1:$AW$55,27,0)+VLOOKUP($B85,'[3]Delta Monthly'!$A$1:$AW$55,29,0)</f>
        <v>2934.55676573043</v>
      </c>
      <c r="S85" s="274" t="n">
        <f aca="false">VLOOKUP($B85,'[3]Delta Monthly'!$A$1:$AW$55,31,0)+VLOOKUP($B85,'[3]Delta Monthly'!$A$1:$AW$55,33,0)</f>
        <v>-510.736953995076</v>
      </c>
      <c r="T85" s="274" t="n">
        <f aca="false">VLOOKUP($B85,'[3]Delta Monthly'!$A$1:$AW$55,35,0)</f>
        <v>3085.14230877032</v>
      </c>
      <c r="U85" s="274" t="n">
        <f aca="false">VLOOKUP($B85,'[3]Delta Monthly'!$A$1:$AW$55,37,0)</f>
        <v>1994.56426516251</v>
      </c>
      <c r="V85" s="274" t="n">
        <f aca="false">VLOOKUP($B85,'[3]Delta Monthly'!$A$1:$AW$55,39,0)+VLOOKUP($B85,'[3]Delta Monthly'!$A$1:$AW$55,41,0)</f>
        <v>-338.57076508206</v>
      </c>
      <c r="W85" s="274" t="n">
        <f aca="false">VLOOKUP($B85,'[3]Delta Monthly'!$A$1:$AW$55,43,0)</f>
        <v>3309.07486236807</v>
      </c>
      <c r="X85" s="274" t="n">
        <f aca="false">VLOOKUP($B85,'[3]Delta Monthly'!$A$1:$AW$55,45,0)+VLOOKUP($B85,'[3]Delta Monthly'!$A$1:$AW$55,47,0)+VLOOKUP($B85,'[3]Delta Monthly'!$A$1:$AW$55,49,0)</f>
        <v>9712.91450247504</v>
      </c>
      <c r="Y85" s="302" t="n">
        <f aca="false">SUM(R85:X85)</f>
        <v>20186.9449854292</v>
      </c>
      <c r="Z85" s="287" t="n">
        <f aca="false">VLOOKUP($B85,'[5]Delta Yearly'!$A$1:$AC$55,5,0)</f>
        <v>-20086.9238654786</v>
      </c>
      <c r="AA85" s="284" t="n">
        <f aca="false">VLOOKUP($B85,'[5]Delta Yearly'!$A$1:$AC$55,7,FALSE())+VLOOKUP($B85,'[5]Delta Yearly'!$A$1:$AC$55,9,FALSE())+VLOOKUP($B85,'[5]Delta Yearly'!$A$1:$AC$55,11,FALSE())+VLOOKUP($B85,'[5]Delta Yearly'!$A$1:$AC$55,13,FALSE())+VLOOKUP($B85,'[5]Delta Yearly'!$A$1:$AC$55,15,FALSE())+VLOOKUP($B85,'[5]Delta Yearly'!$A$1:$AC$55,17,FALSE())+VLOOKUP($B85,'[5]Delta Yearly'!$A$1:$AC$55,19,FALSE())+VLOOKUP($B85,'[5]Delta Yearly'!$A$1:$AC$55,21,FALSE())+VLOOKUP($B85,'[5]Delta Yearly'!$A$1:$AC$55,23,FALSE())+VLOOKUP($B85,'[5]Delta Yearly'!$A$1:$AC$55,25,FALSE())+VLOOKUP($B85,'[5]Delta Yearly'!$A$1:$AC$55,27,FALSE())+VLOOKUP($B85,'[5]Delta Yearly'!$A$1:$AC$55,29,FALSE())</f>
        <v>0</v>
      </c>
      <c r="AB85" s="302" t="n">
        <f aca="false">SUM(AA85,Z85,Y85,Q85)</f>
        <v>-4254.26647070385</v>
      </c>
      <c r="AC85" s="265"/>
      <c r="AD85" s="303"/>
      <c r="AE85" s="266"/>
      <c r="AF85" s="266"/>
      <c r="AG85" s="266"/>
      <c r="AH85" s="266"/>
      <c r="AI85" s="266"/>
      <c r="AJ85" s="266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7"/>
      <c r="BI85" s="267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7"/>
      <c r="BX85" s="267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7"/>
      <c r="CM85" s="267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7"/>
      <c r="DB85" s="267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7"/>
      <c r="DQ85" s="267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7"/>
      <c r="EF85" s="267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7"/>
      <c r="EU85" s="267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7"/>
      <c r="FJ85" s="267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7"/>
      <c r="FY85" s="267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7"/>
      <c r="GN85" s="267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7"/>
      <c r="HC85" s="267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7"/>
      <c r="HR85" s="267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7"/>
      <c r="IG85" s="267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7"/>
      <c r="IV85" s="267"/>
      <c r="IW85" s="267"/>
    </row>
    <row r="86" customFormat="false" ht="12" hidden="false" customHeight="true" outlineLevel="0" collapsed="false">
      <c r="A86" s="294"/>
      <c r="B86" s="271"/>
      <c r="C86" s="302"/>
      <c r="D86" s="315"/>
      <c r="E86" s="316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86"/>
      <c r="R86" s="305"/>
      <c r="S86" s="274"/>
      <c r="T86" s="274"/>
      <c r="U86" s="274"/>
      <c r="V86" s="274"/>
      <c r="W86" s="274"/>
      <c r="X86" s="274"/>
      <c r="Y86" s="302"/>
      <c r="Z86" s="287"/>
      <c r="AA86" s="284"/>
      <c r="AB86" s="302"/>
      <c r="AC86" s="265"/>
      <c r="AD86" s="303"/>
      <c r="AE86" s="266"/>
      <c r="AF86" s="266"/>
      <c r="AG86" s="266"/>
      <c r="AH86" s="266"/>
      <c r="AI86" s="266"/>
      <c r="AJ86" s="266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7"/>
      <c r="BI86" s="267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7"/>
      <c r="BX86" s="267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7"/>
      <c r="CM86" s="267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7"/>
      <c r="DB86" s="267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7"/>
      <c r="DQ86" s="267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7"/>
      <c r="EF86" s="267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7"/>
      <c r="EU86" s="267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7"/>
      <c r="FJ86" s="267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7"/>
      <c r="FY86" s="267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7"/>
      <c r="GN86" s="267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7"/>
      <c r="HC86" s="267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7"/>
      <c r="HR86" s="267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7"/>
      <c r="IG86" s="267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7"/>
      <c r="IV86" s="267"/>
      <c r="IW86" s="267"/>
    </row>
    <row r="87" customFormat="false" ht="12" hidden="false" customHeight="true" outlineLevel="0" collapsed="false">
      <c r="A87" s="318" t="s">
        <v>162</v>
      </c>
      <c r="B87" s="319" t="s">
        <v>162</v>
      </c>
      <c r="C87" s="320"/>
      <c r="D87" s="320" t="n">
        <f aca="false">'E. VaR &amp; Peak Pos By Trader'!E87</f>
        <v>5231246.13959606</v>
      </c>
      <c r="E87" s="321" t="n">
        <f aca="false">'E. VaR &amp; Peak Pos By Trader'!F87</f>
        <v>326927.97218336</v>
      </c>
      <c r="F87" s="322" t="n">
        <f aca="false">SUM(F77,F79,F81,F83,F85,F75)</f>
        <v>0</v>
      </c>
      <c r="G87" s="322" t="n">
        <f aca="false">SUM(G77,G79,G81,G83,G85,G75)</f>
        <v>0</v>
      </c>
      <c r="H87" s="322" t="n">
        <f aca="false">SUM(H77,H79,H81,H83,H85,H75)</f>
        <v>0</v>
      </c>
      <c r="I87" s="322" t="n">
        <f aca="false">SUM(I77,I79,I81,I83,I85,I75)</f>
        <v>0</v>
      </c>
      <c r="J87" s="322" t="n">
        <f aca="false">SUM(J77,J79,J81,J83,J85,J75)</f>
        <v>0</v>
      </c>
      <c r="K87" s="322" t="n">
        <f aca="false">SUM(K77,K79,K81,K83,K85,K75)</f>
        <v>0</v>
      </c>
      <c r="L87" s="322" t="n">
        <f aca="false">SUM(L77,L79,L81,L83,L85,L75)</f>
        <v>0</v>
      </c>
      <c r="M87" s="322" t="n">
        <f aca="false">SUM(M77,M79,M81,M83,M85,M75)</f>
        <v>0</v>
      </c>
      <c r="N87" s="322" t="n">
        <f aca="false">SUM(N77,N79,N81,N83,N85,N75)</f>
        <v>0</v>
      </c>
      <c r="O87" s="322" t="n">
        <f aca="false">SUM(O77,O79,O81,O83,O85,O75)</f>
        <v>46000.5422815595</v>
      </c>
      <c r="P87" s="322" t="n">
        <f aca="false">SUM(P77,P79,P81,P83,P85,P75)</f>
        <v>-42167.9605992984</v>
      </c>
      <c r="Q87" s="320" t="n">
        <f aca="false">SUM(Q77,Q79,Q81,Q83,Q85,Q75)</f>
        <v>3832.58168226108</v>
      </c>
      <c r="R87" s="322" t="n">
        <f aca="false">SUM(R77,R79,R81,R83,R85,R75)</f>
        <v>-133689.907424652</v>
      </c>
      <c r="S87" s="322" t="n">
        <f aca="false">SUM(S77,S79,S81,S83,S85,S75)</f>
        <v>-210216.142900149</v>
      </c>
      <c r="T87" s="322" t="n">
        <f aca="false">SUM(T77,T79,T81,T83,T85,T75)</f>
        <v>-150691.392618091</v>
      </c>
      <c r="U87" s="322" t="n">
        <f aca="false">SUM(U77,U79,U81,U83,U85,U75)</f>
        <v>-122692.003171702</v>
      </c>
      <c r="V87" s="322" t="n">
        <f aca="false">SUM(V77,V79,V81,V83,V85,V75)</f>
        <v>-450077.718831096</v>
      </c>
      <c r="W87" s="322" t="n">
        <f aca="false">SUM(W77,W79,W81,W83,W85,W75)</f>
        <v>-127229.413123862</v>
      </c>
      <c r="X87" s="322" t="n">
        <f aca="false">SUM(X77,X79,X81,X83,X85,X75)</f>
        <v>-496627.794331049</v>
      </c>
      <c r="Y87" s="345" t="n">
        <f aca="false">SUM(Y77,Y79,Y81,Y83,Y85,Y75)</f>
        <v>-1691224.3724006</v>
      </c>
      <c r="Z87" s="320" t="n">
        <f aca="false">SUM(Z77,Z79,Z81,Z83,Z85,Z75)</f>
        <v>-1623704.38711905</v>
      </c>
      <c r="AA87" s="323" t="n">
        <f aca="false">SUM(AA77,AA79,AA81,AA83,AA85,AA75)</f>
        <v>418591.525511765</v>
      </c>
      <c r="AB87" s="320" t="n">
        <f aca="false">SUM(AB77,AB79,AB81,AB83,AB85,AB75)</f>
        <v>-2892504.65232562</v>
      </c>
      <c r="AC87" s="265"/>
      <c r="AD87" s="303"/>
      <c r="AE87" s="266"/>
      <c r="AF87" s="266"/>
      <c r="AG87" s="266"/>
      <c r="AH87" s="266"/>
      <c r="AI87" s="266"/>
      <c r="AJ87" s="266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7"/>
      <c r="BI87" s="267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7"/>
      <c r="BX87" s="267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7"/>
      <c r="CM87" s="267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7"/>
      <c r="DB87" s="267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7"/>
      <c r="DQ87" s="267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7"/>
      <c r="EF87" s="267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7"/>
      <c r="EU87" s="267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7"/>
      <c r="FJ87" s="267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7"/>
      <c r="FY87" s="267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7"/>
      <c r="GN87" s="267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7"/>
      <c r="HC87" s="267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7"/>
      <c r="HR87" s="267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7"/>
      <c r="IG87" s="267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7"/>
      <c r="IV87" s="267"/>
      <c r="IW87" s="267"/>
    </row>
    <row r="88" customFormat="false" ht="12" hidden="false" customHeight="true" outlineLevel="0" collapsed="false">
      <c r="A88" s="353"/>
      <c r="B88" s="353"/>
      <c r="C88" s="354"/>
      <c r="D88" s="355"/>
      <c r="E88" s="353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2"/>
      <c r="Y88" s="231"/>
      <c r="Z88" s="232"/>
      <c r="AA88" s="232"/>
      <c r="AB88" s="231"/>
      <c r="AC88" s="265"/>
      <c r="AD88" s="303"/>
      <c r="AE88" s="266"/>
      <c r="AF88" s="266"/>
      <c r="AG88" s="266"/>
      <c r="AH88" s="266"/>
      <c r="AI88" s="266"/>
      <c r="AJ88" s="266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7"/>
      <c r="BX88" s="267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7"/>
      <c r="CM88" s="267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7"/>
      <c r="DB88" s="267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7"/>
      <c r="DQ88" s="267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7"/>
      <c r="EF88" s="267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7"/>
      <c r="EU88" s="267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7"/>
      <c r="FJ88" s="267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7"/>
      <c r="FY88" s="267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7"/>
      <c r="GN88" s="267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7"/>
      <c r="HC88" s="267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7"/>
      <c r="HR88" s="267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7"/>
      <c r="IG88" s="267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7"/>
      <c r="IV88" s="267"/>
      <c r="IW88" s="267"/>
    </row>
    <row r="89" customFormat="false" ht="12" hidden="false" customHeight="true" outlineLevel="0" collapsed="false">
      <c r="A89" s="353"/>
      <c r="B89" s="353"/>
      <c r="C89" s="354"/>
      <c r="D89" s="356"/>
      <c r="E89" s="353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2"/>
      <c r="Y89" s="231"/>
      <c r="Z89" s="232"/>
      <c r="AA89" s="232"/>
      <c r="AB89" s="231"/>
      <c r="AC89" s="357"/>
      <c r="AD89" s="358"/>
      <c r="AE89" s="229"/>
      <c r="AF89" s="229"/>
      <c r="AG89" s="229"/>
      <c r="AH89" s="229"/>
      <c r="AI89" s="229"/>
      <c r="AJ89" s="229"/>
    </row>
    <row r="90" customFormat="false" ht="12" hidden="false" customHeight="true" outlineLevel="0" collapsed="false">
      <c r="A90" s="353"/>
      <c r="B90" s="353"/>
      <c r="C90" s="354"/>
      <c r="D90" s="353"/>
      <c r="E90" s="353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2"/>
      <c r="U90" s="232"/>
      <c r="V90" s="232"/>
      <c r="W90" s="232"/>
      <c r="X90" s="232"/>
      <c r="Y90" s="232"/>
      <c r="Z90" s="232"/>
      <c r="AA90" s="232"/>
      <c r="AB90" s="231"/>
      <c r="AC90" s="357"/>
      <c r="AD90" s="358"/>
      <c r="AE90" s="229"/>
      <c r="AF90" s="229"/>
      <c r="AG90" s="229"/>
      <c r="AH90" s="229"/>
      <c r="AI90" s="229"/>
      <c r="AJ90" s="229"/>
    </row>
  </sheetData>
  <printOptions headings="false" gridLines="false" gridLinesSet="true" horizontalCentered="true" verticalCentered="true"/>
  <pageMargins left="0" right="0" top="0.25" bottom="0.25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&amp;C&amp;"Arial,Bold"&amp;16East Power Positions- Off Peak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29</xdr:col>
                    <xdr:colOff>433080</xdr:colOff>
                    <xdr:row>1</xdr:row>
                    <xdr:rowOff>9720</xdr:rowOff>
                  </from>
                  <to>
                    <xdr:col>35</xdr:col>
                    <xdr:colOff>90720</xdr:colOff>
                    <xdr:row>3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2001-11-19T19:58:49Z</dcterms:created>
  <dc:creator>adahlke</dc:creator>
  <dc:description/>
  <dc:language>en-US</dc:language>
  <cp:lastModifiedBy>adahlke</cp:lastModifiedBy>
  <dcterms:modified xsi:type="dcterms:W3CDTF">2001-11-19T19:59:30Z</dcterms:modified>
  <cp:revision>0</cp:revision>
  <dc:subject/>
  <dc:title/>
</cp:coreProperties>
</file>