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2002" sheetId="1" state="visible" r:id="rId3"/>
    <sheet name="Mexico" sheetId="2" state="hidden" r:id="rId4"/>
    <sheet name="SAP" sheetId="3" state="hidden" r:id="rId5"/>
    <sheet name="East - Struct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3" name="_xlnm.Print_Area" vbProcedure="false">'East - Struct'!$B$1:$H$29</definedName>
    <definedName function="false" hidden="false" localSheetId="1" name="_xlnm.Print_Area" vbProcedure="false">Mexico!$B$1:$F$29</definedName>
    <definedName function="false" hidden="false" localSheetId="2" name="_xlnm.Print_Area" vbProcedure="false">SAP!$B$1:$M$40</definedName>
    <definedName function="false" hidden="false" localSheetId="0" name="_xlnm.Print_Area" vbProcedure="false">'Summary 2002'!$A$1:$K$64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49</xdr:colOff>
                <xdr:row>11</xdr:row>
                <xdr:rowOff>7</xdr:rowOff>
              </xdr:from>
              <xdr:to>
                <xdr:col>23</xdr:col>
                <xdr:colOff>49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<sst xmlns="http://schemas.openxmlformats.org/spreadsheetml/2006/main" count="299" uniqueCount="145">
  <si>
    <t xml:space="preserve">Enron North America</t>
  </si>
  <si>
    <t xml:space="preserve">2002 Expenses</t>
  </si>
  <si>
    <t xml:space="preserve">2002 Plan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</si>
  <si>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</si>
  <si>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</si>
  <si>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</si>
  <si>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</si>
  <si>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 </t>
  </si>
  <si>
    <t xml:space="preserve">U.S. Gas Trading (Houston)</t>
  </si>
  <si>
    <t xml:space="preserve">U.S. Gas Origination (Houston)</t>
  </si>
  <si>
    <t xml:space="preserve">U.S. East Power Trading (Houston)</t>
  </si>
  <si>
    <t xml:space="preserve">U.S. East Power Origination (Houston)</t>
  </si>
  <si>
    <t xml:space="preserve">U.S. West Power Trading (Portland)</t>
  </si>
  <si>
    <t xml:space="preserve">U.S. West Power Origination (Portland)</t>
  </si>
  <si>
    <t xml:space="preserve">Canada Gas/Power Trading (Calgary)</t>
  </si>
  <si>
    <t xml:space="preserve">Canada Gas/Power Origination (Calgary/Toronto)</t>
  </si>
  <si>
    <t xml:space="preserve">Leadership</t>
  </si>
  <si>
    <t xml:space="preserve">Subtotal - Commercial</t>
  </si>
  <si>
    <t xml:space="preserve">Analyst and Associates directly supporting commercial</t>
  </si>
  <si>
    <t xml:space="preserve">Admins for Commercial Teams</t>
  </si>
  <si>
    <t xml:space="preserve">Accounting, Transaction Support</t>
  </si>
  <si>
    <t xml:space="preserve">Cash Operations and Tax</t>
  </si>
  <si>
    <t xml:space="preserve">Regulatory Affairs</t>
  </si>
  <si>
    <t xml:space="preserve">Credit</t>
  </si>
  <si>
    <t xml:space="preserve">Research</t>
  </si>
  <si>
    <t xml:space="preserve">Market Risk</t>
  </si>
  <si>
    <t xml:space="preserve">Energy Ops - Houston and Portland</t>
  </si>
  <si>
    <t xml:space="preserve">Gas Logistics</t>
  </si>
  <si>
    <t xml:space="preserve">Gas Book Running</t>
  </si>
  <si>
    <t xml:space="preserve">Gas Settlements</t>
  </si>
  <si>
    <t xml:space="preserve">Gas Volume Mgmt</t>
  </si>
  <si>
    <t xml:space="preserve">Power Logistics</t>
  </si>
  <si>
    <t xml:space="preserve">Power Book Running</t>
  </si>
  <si>
    <t xml:space="preserve">Power Settlements</t>
  </si>
  <si>
    <t xml:space="preserve">Power Volume Mgmt</t>
  </si>
  <si>
    <t xml:space="preserve">All Canada Support including Energy Ops</t>
  </si>
  <si>
    <t xml:space="preserve">HR</t>
  </si>
  <si>
    <t xml:space="preserve">IT- Development *</t>
  </si>
  <si>
    <t xml:space="preserve">IT- Infrastructure**</t>
  </si>
  <si>
    <t xml:space="preserve">IT- EOL</t>
  </si>
  <si>
    <t xml:space="preserve">EOL Support</t>
  </si>
  <si>
    <t xml:space="preserve">Legal</t>
  </si>
  <si>
    <t xml:space="preserve">Houston Fundamentals/Structuring, and Weather</t>
  </si>
  <si>
    <t xml:space="preserve">ENE Service Level Agreements (this is a moving target)</t>
  </si>
  <si>
    <t xml:space="preserve">Moved $2.4 of SAP costs here, and decreased HC by 12</t>
  </si>
  <si>
    <t xml:space="preserve">Rent </t>
  </si>
  <si>
    <t xml:space="preserve">Houston &amp; Other</t>
  </si>
  <si>
    <t xml:space="preserve">Portland</t>
  </si>
  <si>
    <t xml:space="preserve">Canada</t>
  </si>
  <si>
    <t xml:space="preserve">Mexico</t>
  </si>
  <si>
    <t xml:space="preserve">Subtotal - Non Commercial</t>
  </si>
  <si>
    <t xml:space="preserve">Other Corporate Charges</t>
  </si>
  <si>
    <t xml:space="preserve">Other</t>
  </si>
  <si>
    <t xml:space="preserve">Total Expenses/People</t>
  </si>
  <si>
    <t xml:space="preserve">EBIT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</si>
  <si>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</si>
  <si>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</si>
  <si>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</si>
  <si>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</si>
  <si>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Per HC</t>
  </si>
  <si>
    <t xml:space="preserve">New HC</t>
  </si>
  <si>
    <t xml:space="preserve">Adjust Comp</t>
  </si>
  <si>
    <t xml:space="preserve">2002</t>
  </si>
  <si>
    <t xml:space="preserve">YTD Actual</t>
  </si>
  <si>
    <t xml:space="preserve">Annualized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</si>
  <si>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</si>
  <si>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</si>
  <si>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</si>
  <si>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</si>
  <si>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Assoicate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</si>
  <si>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</si>
  <si>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</si>
  <si>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</si>
  <si>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</si>
  <si>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</si>
  <si>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</si>
  <si>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</si>
  <si>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</si>
  <si>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</si>
  <si>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</si>
  <si>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</si>
  <si>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</si>
  <si>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</si>
  <si>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Clerk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</si>
  <si>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</si>
  <si>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</si>
  <si>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</si>
  <si>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</si>
  <si>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</si>
  <si>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</si>
  <si>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</si>
  <si>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</si>
  <si>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</si>
  <si>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</si>
  <si>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</si>
  <si>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</si>
  <si>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</si>
  <si>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</si>
  <si>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</si>
  <si>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</si>
  <si>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</si>
  <si>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</si>
  <si>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</si>
  <si>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</si>
  <si>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</si>
  <si>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</si>
  <si>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</si>
  <si>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</si>
  <si>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</si>
  <si>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</si>
  <si>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</si>
  <si>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ENAOUTLG</t>
  </si>
  <si>
    <t xml:space="preserve">Outside Legal</t>
  </si>
  <si>
    <t xml:space="preserve">Other Expense Calculation</t>
  </si>
  <si>
    <t xml:space="preserve">ENAOUTTX</t>
  </si>
  <si>
    <t xml:space="preserve">Outside Tax</t>
  </si>
  <si>
    <t xml:space="preserve">ENAINSUR</t>
  </si>
  <si>
    <t xml:space="preserve">Insurance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</si>
  <si>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</si>
  <si>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</si>
  <si>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</si>
  <si>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</si>
  <si>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ENASYSDV</t>
  </si>
  <si>
    <t xml:space="preserve">System Development</t>
  </si>
  <si>
    <t xml:space="preserve">ENACORIT</t>
  </si>
  <si>
    <t xml:space="preserve">Controllable Infrastructure</t>
  </si>
  <si>
    <t xml:space="preserve">ENACORRN</t>
  </si>
  <si>
    <t xml:space="preserve">Corporate Rent</t>
  </si>
  <si>
    <t xml:space="preserve">ENAOTHAL</t>
  </si>
  <si>
    <t xml:space="preserve">Other Allocated Direct  Expenses</t>
  </si>
  <si>
    <t xml:space="preserve">ENADEPR</t>
  </si>
  <si>
    <t xml:space="preserve">Depreciation &amp; Amortization</t>
  </si>
  <si>
    <t xml:space="preserve">SAP</t>
  </si>
  <si>
    <t xml:space="preserve">Adj Comp</t>
  </si>
  <si>
    <t xml:space="preserve">Forecast</t>
  </si>
  <si>
    <t xml:space="preserve">Analysts &amp; Associates</t>
  </si>
  <si>
    <t xml:space="preserve">Analysts &amp; Associate Headcount</t>
  </si>
  <si>
    <t xml:space="preserve">Benefits &amp; Taxes</t>
  </si>
  <si>
    <t xml:space="preserve">Consultants</t>
  </si>
  <si>
    <t xml:space="preserve">Based on information from ENW accounting.</t>
  </si>
  <si>
    <t xml:space="preserve">East Power Structuring</t>
  </si>
  <si>
    <t xml:space="preserve">2001</t>
  </si>
  <si>
    <t xml:space="preserve">%</t>
  </si>
  <si>
    <t xml:space="preserve">of Total</t>
  </si>
  <si>
    <t xml:space="preserve">Analyst &amp; Associate Headcount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</si>
</sst>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_);_(@_)"/>
    <numFmt numFmtId="168" formatCode="_(* #,##0_);_(* \(#,##0\);_(* \-??_);_(@_)"/>
    <numFmt numFmtId="169" formatCode="_(\$* #,##0.00_);_(\$* \(#,##0.00\);_(\$* \-??_);_(@_)"/>
    <numFmt numFmtId="170" formatCode="mmmm\-yy"/>
    <numFmt numFmtId="171" formatCode="[$-409]mmm\-yy"/>
    <numFmt numFmtId="172" formatCode="@"/>
    <numFmt numFmtId="173" formatCode="_(\$* #,##0_);_(\$* \(#,##0\);_(\$* \-??_);_(@_)"/>
    <numFmt numFmtId="174" formatCode="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jlavora/Local%20Settings/Temporary%20Internet%20Files/OLKB2/Documents%20and%20Settings/sbrown6/Local%20Settings/Temporary%20Internet%20Files/OLK8D/TEAMRPT/Expense%20Project/Mexico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jlavora/Local%20Settings/Temporary%20Internet%20Files/OLKB2/Documents%20and%20Settings/sbrown6/Local%20Settings/Temporary%20Internet%20Files/OLK8D/TEAMRPT/Expense%20Project/IT_SAP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jlavora/Local%20Settings/Temporary%20Internet%20Files/OLKB2/Documents%20and%20Settings/sbrown6/Local%20Settings/Temporary%20Internet%20Files/OLK8D/TEAMRPT/Expense%20Project/WPR%20Trading%20Repor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jlavora/Local%20Settings/Temporary%20Internet%20Files/OLKB2/Documents%20and%20Settings/sbrown6/Local%20Settings/Temporary%20Internet%20Files/OLK8D/TEAMRPT/Expense%20Project/East%20Power%20Consolida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875383.82</v>
          </cell>
        </row>
        <row r="26">
          <cell r="BA26">
            <v>1391356.79</v>
          </cell>
        </row>
        <row r="27">
          <cell r="BA27">
            <v>346014.38</v>
          </cell>
        </row>
        <row r="28">
          <cell r="BA28">
            <v>254648.69</v>
          </cell>
        </row>
        <row r="29">
          <cell r="BA29">
            <v>219222.49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338677.74</v>
          </cell>
        </row>
        <row r="33">
          <cell r="BA33">
            <v>18696.41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101842.32</v>
          </cell>
        </row>
        <row r="37">
          <cell r="BA37">
            <v>8504.17</v>
          </cell>
        </row>
        <row r="38">
          <cell r="BA38">
            <v>299.52</v>
          </cell>
        </row>
        <row r="39">
          <cell r="BA39">
            <v>0</v>
          </cell>
        </row>
        <row r="40">
          <cell r="BA40">
            <v>70087.9</v>
          </cell>
        </row>
        <row r="41">
          <cell r="BA41">
            <v>13379</v>
          </cell>
        </row>
        <row r="42">
          <cell r="BA42">
            <v>434790.6</v>
          </cell>
        </row>
        <row r="43">
          <cell r="BA43">
            <v>0</v>
          </cell>
        </row>
        <row r="44">
          <cell r="BA44">
            <v>162014.1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17469588.96</v>
          </cell>
        </row>
        <row r="26">
          <cell r="BA26">
            <v>1272399.64</v>
          </cell>
        </row>
        <row r="27">
          <cell r="BA27">
            <v>141777.57</v>
          </cell>
        </row>
        <row r="28">
          <cell r="BA28">
            <v>100051.51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13823042.72</v>
          </cell>
        </row>
        <row r="33">
          <cell r="BA33">
            <v>7559.43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91694.45</v>
          </cell>
        </row>
        <row r="37">
          <cell r="BA37">
            <v>-7331217.46</v>
          </cell>
        </row>
        <row r="38">
          <cell r="BA38">
            <v>0</v>
          </cell>
        </row>
        <row r="39">
          <cell r="BA39">
            <v>-7489842.25</v>
          </cell>
        </row>
        <row r="40">
          <cell r="BA40">
            <v>2999489.79</v>
          </cell>
        </row>
        <row r="41">
          <cell r="BA41">
            <v>205055.59</v>
          </cell>
        </row>
        <row r="42">
          <cell r="BA42">
            <v>24774212.69</v>
          </cell>
        </row>
        <row r="43">
          <cell r="BA43">
            <v>42687168.7</v>
          </cell>
        </row>
        <row r="44">
          <cell r="BA44">
            <v>16.6</v>
          </cell>
        </row>
        <row r="45">
          <cell r="BA45">
            <v>8186094.07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Fund-Struct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/>
      <sheetData sheetId="2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63424.47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3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300</v>
          </cell>
        </row>
        <row r="17">
          <cell r="K17">
            <v>0</v>
          </cell>
        </row>
        <row r="18">
          <cell r="C18">
            <v>129.24</v>
          </cell>
        </row>
        <row r="18">
          <cell r="K18">
            <v>0</v>
          </cell>
        </row>
        <row r="19">
          <cell r="C19">
            <v>1267.8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4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14417.72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4</v>
          </cell>
        </row>
        <row r="27">
          <cell r="K27">
            <v>0</v>
          </cell>
        </row>
      </sheetData>
      <sheetData sheetId="5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54297.13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6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5658.16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2</v>
          </cell>
        </row>
        <row r="27">
          <cell r="K27">
            <v>0</v>
          </cell>
        </row>
      </sheetData>
      <sheetData sheetId="7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158.21</v>
          </cell>
        </row>
        <row r="18">
          <cell r="K18">
            <v>0</v>
          </cell>
        </row>
        <row r="19">
          <cell r="C19">
            <v>9885.14</v>
          </cell>
        </row>
        <row r="19">
          <cell r="K19">
            <v>0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3</v>
          </cell>
        </row>
        <row r="27">
          <cell r="K27">
            <v>0</v>
          </cell>
        </row>
      </sheetData>
      <sheetData sheetId="8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14862.38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8</v>
          </cell>
        </row>
        <row r="27">
          <cell r="K27">
            <v>0</v>
          </cell>
        </row>
      </sheetData>
      <sheetData sheetId="9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1975.28</v>
          </cell>
        </row>
        <row r="19">
          <cell r="K19">
            <v>0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10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5000</v>
          </cell>
        </row>
        <row r="17">
          <cell r="K17">
            <v>0</v>
          </cell>
        </row>
        <row r="18">
          <cell r="C18">
            <v>-0.160000000003492</v>
          </cell>
        </row>
        <row r="18">
          <cell r="K18">
            <v>0</v>
          </cell>
        </row>
        <row r="19">
          <cell r="C19">
            <v>139857</v>
          </cell>
        </row>
        <row r="19">
          <cell r="K19">
            <v>0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1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180017.87</v>
          </cell>
        </row>
        <row r="19">
          <cell r="K19">
            <v>0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14</v>
          </cell>
        </row>
        <row r="27">
          <cell r="K27">
            <v>0</v>
          </cell>
        </row>
      </sheetData>
      <sheetData sheetId="12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1247.28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3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238.97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1.28"/>
    <col collapsed="false" customWidth="true" hidden="tru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false" outlineLevel="0" max="8" min="8" style="0" width="15.56"/>
    <col collapsed="false" customWidth="true" hidden="false" outlineLevel="0" max="10" min="9" style="0" width="2.7"/>
    <col collapsed="false" customWidth="true" hidden="false" outlineLevel="0" max="11" min="11" style="0" width="10.71"/>
    <col collapsed="false" customWidth="true" hidden="false" outlineLevel="0" max="12" min="12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false" outlineLevel="0" collapsed="false">
      <c r="A4" s="3"/>
      <c r="G4" s="4" t="s">
        <v>2</v>
      </c>
      <c r="H4" s="4"/>
      <c r="K4" s="5" t="s">
        <v>2</v>
      </c>
    </row>
    <row r="5" customFormat="false" ht="13.5" hidden="false" customHeight="false" outlineLevel="0" collapsed="false">
      <c r="E5" s="5" t="s">
        <v>3</v>
      </c>
      <c r="G5" s="6" t="s">
        <v>4</v>
      </c>
      <c r="H5" s="7" t="s">
        <v>5</v>
      </c>
      <c r="K5" s="8" t="s">
        <v>6</v>
      </c>
    </row>
    <row r="6" customFormat="false" ht="12.75" hidden="false" customHeight="false" outlineLevel="0" collapsed="false">
      <c r="E6" s="9"/>
      <c r="G6" s="10"/>
      <c r="H6" s="10"/>
      <c r="K6" s="10"/>
    </row>
    <row r="7" customFormat="false" ht="12.75" hidden="false" customHeight="false" outlineLevel="0" collapsed="false">
      <c r="B7" s="0" t="s">
        <v>7</v>
      </c>
      <c r="E7" s="10"/>
      <c r="G7" s="10"/>
      <c r="H7" s="10"/>
      <c r="K7" s="10"/>
    </row>
    <row r="8" customFormat="false" ht="12.75" hidden="false" customHeight="false" outlineLevel="0" collapsed="false">
      <c r="B8" s="0" t="s">
        <v>8</v>
      </c>
      <c r="E8" s="11" t="n">
        <v>0</v>
      </c>
      <c r="F8" s="12"/>
      <c r="G8" s="11" t="n">
        <v>275</v>
      </c>
      <c r="H8" s="11" t="n">
        <f aca="false">(20.6/90)*K8</f>
        <v>6.40888888888889</v>
      </c>
      <c r="I8" s="12"/>
      <c r="K8" s="13" t="n">
        <v>28</v>
      </c>
    </row>
    <row r="9" customFormat="false" ht="12.75" hidden="false" customHeight="false" outlineLevel="0" collapsed="false">
      <c r="B9" s="0" t="s">
        <v>9</v>
      </c>
      <c r="E9" s="11"/>
      <c r="F9" s="12"/>
      <c r="G9" s="11" t="n">
        <v>40</v>
      </c>
      <c r="H9" s="11" t="n">
        <f aca="false">(20.6/90)*K9</f>
        <v>2.06</v>
      </c>
      <c r="I9" s="12"/>
      <c r="K9" s="13" t="n">
        <v>9</v>
      </c>
    </row>
    <row r="10" customFormat="false" ht="12.75" hidden="false" customHeight="false" outlineLevel="0" collapsed="false">
      <c r="B10" s="0" t="s">
        <v>10</v>
      </c>
      <c r="E10" s="11"/>
      <c r="F10" s="12"/>
      <c r="G10" s="11" t="n">
        <v>150</v>
      </c>
      <c r="H10" s="11" t="n">
        <f aca="false">(10.8/65)*K10</f>
        <v>4.32</v>
      </c>
      <c r="I10" s="12"/>
      <c r="K10" s="13" t="n">
        <v>26</v>
      </c>
    </row>
    <row r="11" customFormat="false" ht="12.75" hidden="false" customHeight="false" outlineLevel="0" collapsed="false">
      <c r="B11" s="0" t="s">
        <v>11</v>
      </c>
      <c r="E11" s="11"/>
      <c r="F11" s="12"/>
      <c r="G11" s="11" t="n">
        <v>25</v>
      </c>
      <c r="H11" s="11" t="n">
        <f aca="false">(10.8/65)*K11</f>
        <v>1.16307692307692</v>
      </c>
      <c r="I11" s="12"/>
      <c r="K11" s="13" t="n">
        <v>7</v>
      </c>
    </row>
    <row r="12" customFormat="false" ht="12.75" hidden="false" customHeight="false" outlineLevel="0" collapsed="false">
      <c r="B12" s="0" t="s">
        <v>12</v>
      </c>
      <c r="E12" s="11" t="n">
        <v>0</v>
      </c>
      <c r="F12" s="12"/>
      <c r="G12" s="11" t="n">
        <v>100</v>
      </c>
      <c r="H12" s="11" t="n">
        <f aca="false">(7.9/40)*K12</f>
        <v>3.3575</v>
      </c>
      <c r="I12" s="12"/>
      <c r="K12" s="13" t="n">
        <v>17</v>
      </c>
    </row>
    <row r="13" customFormat="false" ht="12.75" hidden="false" customHeight="false" outlineLevel="0" collapsed="false">
      <c r="B13" s="0" t="s">
        <v>13</v>
      </c>
      <c r="E13" s="11"/>
      <c r="F13" s="12"/>
      <c r="G13" s="11" t="n">
        <v>20</v>
      </c>
      <c r="H13" s="11" t="n">
        <f aca="false">(7.9/40)*K13</f>
        <v>0.9875</v>
      </c>
      <c r="I13" s="12"/>
      <c r="K13" s="13" t="n">
        <v>5</v>
      </c>
    </row>
    <row r="14" customFormat="false" ht="12.75" hidden="false" customHeight="false" outlineLevel="0" collapsed="false">
      <c r="B14" s="0" t="s">
        <v>14</v>
      </c>
      <c r="E14" s="11"/>
      <c r="F14" s="12"/>
      <c r="G14" s="11" t="n">
        <v>30</v>
      </c>
      <c r="H14" s="11" t="n">
        <f aca="false">(4.5/26)*K14</f>
        <v>1.03846153846154</v>
      </c>
      <c r="I14" s="12"/>
      <c r="K14" s="13" t="n">
        <v>6</v>
      </c>
    </row>
    <row r="15" customFormat="false" ht="12.75" hidden="false" customHeight="false" outlineLevel="0" collapsed="false">
      <c r="B15" s="0" t="s">
        <v>15</v>
      </c>
      <c r="E15" s="11"/>
      <c r="F15" s="12"/>
      <c r="G15" s="11" t="n">
        <v>10</v>
      </c>
      <c r="H15" s="11" t="n">
        <f aca="false">(4.5/26)*K15</f>
        <v>0.865384615384615</v>
      </c>
      <c r="I15" s="12"/>
      <c r="K15" s="13" t="n">
        <v>5</v>
      </c>
    </row>
    <row r="16" customFormat="false" ht="12.75" hidden="false" customHeight="false" outlineLevel="0" collapsed="false">
      <c r="B16" s="0" t="s">
        <v>16</v>
      </c>
      <c r="E16" s="11" t="n">
        <v>0</v>
      </c>
      <c r="F16" s="12"/>
      <c r="G16" s="14"/>
      <c r="H16" s="14" t="n">
        <v>1.4</v>
      </c>
      <c r="I16" s="15"/>
      <c r="J16" s="16"/>
      <c r="K16" s="17" t="n">
        <v>2</v>
      </c>
    </row>
    <row r="17" customFormat="false" ht="12.75" hidden="false" customHeight="false" outlineLevel="0" collapsed="false">
      <c r="B17" s="18" t="s">
        <v>17</v>
      </c>
      <c r="E17" s="11"/>
      <c r="F17" s="12"/>
      <c r="G17" s="12" t="n">
        <f aca="false">SUM(G8:G15)</f>
        <v>650</v>
      </c>
      <c r="H17" s="11" t="n">
        <f aca="false">SUM(H8:H16)</f>
        <v>21.600811965812</v>
      </c>
      <c r="I17" s="12"/>
      <c r="K17" s="13" t="n">
        <f aca="false">SUM(K8:K16)</f>
        <v>105</v>
      </c>
    </row>
    <row r="18" customFormat="false" ht="12.75" hidden="false" customHeight="false" outlineLevel="0" collapsed="false">
      <c r="H18" s="11"/>
      <c r="K18" s="13"/>
    </row>
    <row r="19" customFormat="false" ht="12.75" hidden="false" customHeight="false" outlineLevel="0" collapsed="false">
      <c r="B19" s="0" t="s">
        <v>18</v>
      </c>
      <c r="H19" s="11" t="n">
        <v>4</v>
      </c>
      <c r="K19" s="13" t="n">
        <v>35</v>
      </c>
    </row>
    <row r="20" customFormat="false" ht="12.75" hidden="false" customHeight="false" outlineLevel="0" collapsed="false">
      <c r="B20" s="0" t="s">
        <v>19</v>
      </c>
      <c r="H20" s="11" t="n">
        <v>0.6</v>
      </c>
      <c r="K20" s="13" t="n">
        <v>10</v>
      </c>
    </row>
    <row r="21" customFormat="false" ht="12.75" hidden="false" customHeight="false" outlineLevel="0" collapsed="false">
      <c r="B21" s="0" t="s">
        <v>20</v>
      </c>
      <c r="H21" s="11" t="n">
        <f aca="false">(6.5/45)*K21</f>
        <v>5.77777777777778</v>
      </c>
      <c r="K21" s="13" t="n">
        <v>40</v>
      </c>
      <c r="L21" s="0" t="s">
        <v>7</v>
      </c>
      <c r="M21" s="0" t="s">
        <v>7</v>
      </c>
      <c r="N21" s="0" t="s">
        <v>7</v>
      </c>
      <c r="O21" s="0" t="s">
        <v>7</v>
      </c>
    </row>
    <row r="22" customFormat="false" ht="12.75" hidden="false" customHeight="false" outlineLevel="0" collapsed="false">
      <c r="B22" s="0" t="s">
        <v>21</v>
      </c>
      <c r="E22" s="0" t="s">
        <v>7</v>
      </c>
      <c r="H22" s="11" t="n">
        <f aca="false">(2/10)*K22</f>
        <v>1.4</v>
      </c>
      <c r="K22" s="13" t="n">
        <v>7</v>
      </c>
    </row>
    <row r="23" customFormat="false" ht="12.75" hidden="false" customHeight="false" outlineLevel="0" collapsed="false">
      <c r="B23" s="0" t="s">
        <v>22</v>
      </c>
      <c r="H23" s="11" t="n">
        <f aca="false">(1.9/9)*K23</f>
        <v>1.05555555555556</v>
      </c>
      <c r="K23" s="13" t="n">
        <v>5</v>
      </c>
    </row>
    <row r="24" customFormat="false" ht="12.75" hidden="false" customHeight="false" outlineLevel="0" collapsed="false">
      <c r="B24" s="0" t="s">
        <v>23</v>
      </c>
      <c r="H24" s="11" t="n">
        <f aca="false">(2.2/15)*K24</f>
        <v>1.46666666666667</v>
      </c>
      <c r="K24" s="13" t="n">
        <v>10</v>
      </c>
    </row>
    <row r="25" customFormat="false" ht="12.75" hidden="false" customHeight="false" outlineLevel="0" collapsed="false">
      <c r="B25" s="0" t="s">
        <v>24</v>
      </c>
      <c r="H25" s="11" t="n">
        <v>0.5</v>
      </c>
      <c r="K25" s="13" t="n">
        <v>2</v>
      </c>
    </row>
    <row r="26" customFormat="false" ht="12.75" hidden="false" customHeight="false" outlineLevel="0" collapsed="false">
      <c r="B26" s="0" t="s">
        <v>25</v>
      </c>
      <c r="H26" s="11" t="n">
        <v>0.8</v>
      </c>
      <c r="K26" s="13" t="n">
        <v>4</v>
      </c>
    </row>
    <row r="27" customFormat="false" ht="12.75" hidden="false" customHeight="false" outlineLevel="0" collapsed="false">
      <c r="B27" s="0" t="s">
        <v>26</v>
      </c>
      <c r="H27" s="11"/>
      <c r="K27" s="13"/>
    </row>
    <row r="28" customFormat="false" ht="12.75" hidden="false" customHeight="false" outlineLevel="0" collapsed="false">
      <c r="C28" s="0" t="s">
        <v>27</v>
      </c>
      <c r="H28" s="11" t="n">
        <f aca="false">(6.2/37)*K28</f>
        <v>5.02702702702703</v>
      </c>
      <c r="K28" s="13" t="n">
        <v>30</v>
      </c>
      <c r="L28" s="0" t="n">
        <v>5</v>
      </c>
      <c r="M28" s="0" t="n">
        <v>0.5</v>
      </c>
    </row>
    <row r="29" customFormat="false" ht="12.75" hidden="false" customHeight="false" outlineLevel="0" collapsed="false">
      <c r="C29" s="0" t="s">
        <v>28</v>
      </c>
      <c r="H29" s="11" t="n">
        <f aca="false">(7.7/46)*K29</f>
        <v>6.19347826086957</v>
      </c>
      <c r="K29" s="13" t="n">
        <v>37</v>
      </c>
      <c r="L29" s="0" t="n">
        <v>4</v>
      </c>
      <c r="M29" s="0" t="n">
        <v>0.5</v>
      </c>
    </row>
    <row r="30" customFormat="false" ht="12.75" hidden="false" customHeight="false" outlineLevel="0" collapsed="false">
      <c r="C30" s="0" t="s">
        <v>29</v>
      </c>
      <c r="H30" s="11" t="n">
        <f aca="false">(4.4/26)*K30</f>
        <v>3.55384615384615</v>
      </c>
      <c r="K30" s="13" t="n">
        <v>21</v>
      </c>
      <c r="L30" s="0" t="n">
        <v>4</v>
      </c>
      <c r="M30" s="0" t="n">
        <v>0.5</v>
      </c>
    </row>
    <row r="31" customFormat="false" ht="12.75" hidden="false" customHeight="false" outlineLevel="0" collapsed="false">
      <c r="C31" s="0" t="s">
        <v>30</v>
      </c>
      <c r="H31" s="11" t="n">
        <f aca="false">(1.8/12)*K31</f>
        <v>1.5</v>
      </c>
      <c r="K31" s="13" t="n">
        <v>10</v>
      </c>
      <c r="L31" s="0" t="n">
        <v>4</v>
      </c>
      <c r="M31" s="0" t="n">
        <v>0.5</v>
      </c>
    </row>
    <row r="32" customFormat="false" ht="12.75" hidden="false" customHeight="false" outlineLevel="0" collapsed="false">
      <c r="C32" s="0" t="s">
        <v>31</v>
      </c>
      <c r="H32" s="19" t="n">
        <f aca="false">(2.1/13)*K32</f>
        <v>1.61538461538462</v>
      </c>
      <c r="K32" s="13" t="n">
        <v>10</v>
      </c>
      <c r="L32" s="0" t="n">
        <v>4</v>
      </c>
      <c r="M32" s="0" t="n">
        <v>0.5</v>
      </c>
    </row>
    <row r="33" customFormat="false" ht="12.75" hidden="false" customHeight="false" outlineLevel="0" collapsed="false">
      <c r="C33" s="0" t="s">
        <v>32</v>
      </c>
      <c r="H33" s="11" t="n">
        <f aca="false">(2.7/16)*K33</f>
        <v>2.19375</v>
      </c>
      <c r="K33" s="13" t="n">
        <v>13</v>
      </c>
      <c r="L33" s="0" t="n">
        <v>4</v>
      </c>
      <c r="M33" s="0" t="n">
        <v>0.5</v>
      </c>
    </row>
    <row r="34" customFormat="false" ht="12.75" hidden="false" customHeight="false" outlineLevel="0" collapsed="false">
      <c r="C34" s="0" t="s">
        <v>33</v>
      </c>
      <c r="H34" s="11" t="n">
        <f aca="false">(2.3/14)*K34</f>
        <v>1.80714285714286</v>
      </c>
      <c r="K34" s="13" t="n">
        <v>11</v>
      </c>
      <c r="L34" s="0" t="n">
        <v>5</v>
      </c>
      <c r="M34" s="0" t="n">
        <v>0.5</v>
      </c>
    </row>
    <row r="35" customFormat="false" ht="12.75" hidden="false" customHeight="false" outlineLevel="0" collapsed="false">
      <c r="C35" s="0" t="s">
        <v>34</v>
      </c>
      <c r="H35" s="11" t="n">
        <f aca="false">(2.3/14)*K35</f>
        <v>1.80714285714286</v>
      </c>
      <c r="I35" s="20"/>
      <c r="J35" s="20"/>
      <c r="K35" s="13" t="n">
        <v>11</v>
      </c>
      <c r="L35" s="16" t="n">
        <v>6</v>
      </c>
      <c r="M35" s="0" t="n">
        <v>0.05</v>
      </c>
    </row>
    <row r="36" customFormat="false" ht="12.75" hidden="false" customHeight="false" outlineLevel="0" collapsed="false">
      <c r="B36" s="0" t="s">
        <v>35</v>
      </c>
      <c r="H36" s="11" t="n">
        <f aca="false">(4.6/33)*K36</f>
        <v>3.48484848484848</v>
      </c>
      <c r="I36" s="20"/>
      <c r="J36" s="20"/>
      <c r="K36" s="21" t="n">
        <v>25</v>
      </c>
    </row>
    <row r="37" customFormat="false" ht="12.75" hidden="false" customHeight="false" outlineLevel="0" collapsed="false">
      <c r="B37" s="0" t="s">
        <v>36</v>
      </c>
      <c r="H37" s="11" t="n">
        <f aca="false">(1.4/12)*K37</f>
        <v>0.816666666666667</v>
      </c>
      <c r="K37" s="21" t="n">
        <v>7</v>
      </c>
    </row>
    <row r="38" customFormat="false" ht="12.75" hidden="false" customHeight="false" outlineLevel="0" collapsed="false">
      <c r="B38" s="0" t="s">
        <v>37</v>
      </c>
      <c r="H38" s="11" t="n">
        <f aca="false">(30/115)*K38</f>
        <v>15.6521739130435</v>
      </c>
      <c r="K38" s="21" t="n">
        <v>60</v>
      </c>
      <c r="L38" s="0" t="s">
        <v>7</v>
      </c>
      <c r="M38" s="0" t="s">
        <v>7</v>
      </c>
    </row>
    <row r="39" customFormat="false" ht="12.75" hidden="false" customHeight="false" outlineLevel="0" collapsed="false">
      <c r="B39" s="0" t="s">
        <v>38</v>
      </c>
      <c r="H39" s="11" t="n">
        <f aca="false">((50.8/61)*K39)+5</f>
        <v>54.9672131147541</v>
      </c>
      <c r="K39" s="21" t="n">
        <v>60</v>
      </c>
    </row>
    <row r="40" customFormat="false" ht="12.75" hidden="false" customHeight="false" outlineLevel="0" collapsed="false">
      <c r="B40" s="0" t="s">
        <v>39</v>
      </c>
      <c r="H40" s="11" t="n">
        <f aca="false">(6.7/25)*K40</f>
        <v>5.36</v>
      </c>
      <c r="K40" s="21" t="n">
        <v>20</v>
      </c>
    </row>
    <row r="41" customFormat="false" ht="12.75" hidden="false" customHeight="false" outlineLevel="0" collapsed="false">
      <c r="B41" s="0" t="s">
        <v>40</v>
      </c>
      <c r="H41" s="11" t="n">
        <f aca="false">(6.3/44)*K41</f>
        <v>2.86363636363636</v>
      </c>
      <c r="K41" s="21" t="n">
        <v>20</v>
      </c>
    </row>
    <row r="42" customFormat="false" ht="12.75" hidden="false" customHeight="false" outlineLevel="0" collapsed="false">
      <c r="B42" s="0" t="s">
        <v>41</v>
      </c>
      <c r="H42" s="11" t="n">
        <v>10.5</v>
      </c>
      <c r="K42" s="21" t="n">
        <v>20</v>
      </c>
      <c r="L42" s="0" t="s">
        <v>7</v>
      </c>
      <c r="M42" s="0" t="s">
        <v>7</v>
      </c>
    </row>
    <row r="43" customFormat="false" ht="12.75" hidden="false" customHeight="false" outlineLevel="0" collapsed="false">
      <c r="B43" s="0" t="s">
        <v>42</v>
      </c>
      <c r="H43" s="11" t="n">
        <f aca="false">((4.3+1+1)/39)*K43</f>
        <v>5.65384615384615</v>
      </c>
      <c r="K43" s="21" t="n">
        <v>35</v>
      </c>
    </row>
    <row r="44" customFormat="false" ht="12.75" hidden="false" customHeight="false" outlineLevel="0" collapsed="false">
      <c r="B44" s="0" t="s">
        <v>43</v>
      </c>
      <c r="H44" s="11" t="n">
        <f aca="false">9+2.4+2</f>
        <v>13.4</v>
      </c>
      <c r="K44" s="21"/>
      <c r="L44" s="0" t="s">
        <v>44</v>
      </c>
    </row>
    <row r="45" customFormat="false" ht="12.75" hidden="false" customHeight="false" outlineLevel="0" collapsed="false">
      <c r="B45" s="0" t="s">
        <v>45</v>
      </c>
      <c r="H45" s="11"/>
      <c r="K45" s="21"/>
    </row>
    <row r="46" customFormat="false" ht="12.75" hidden="false" customHeight="false" outlineLevel="0" collapsed="false">
      <c r="C46" s="0" t="s">
        <v>46</v>
      </c>
      <c r="H46" s="11" t="n">
        <v>5</v>
      </c>
      <c r="K46" s="21"/>
    </row>
    <row r="47" customFormat="false" ht="12.75" hidden="false" customHeight="false" outlineLevel="0" collapsed="false">
      <c r="C47" s="0" t="s">
        <v>47</v>
      </c>
      <c r="H47" s="11" t="n">
        <v>1</v>
      </c>
      <c r="K47" s="21"/>
    </row>
    <row r="48" customFormat="false" ht="12.75" hidden="false" customHeight="false" outlineLevel="0" collapsed="false">
      <c r="C48" s="0" t="s">
        <v>48</v>
      </c>
      <c r="H48" s="11" t="n">
        <v>1</v>
      </c>
      <c r="K48" s="21"/>
    </row>
    <row r="49" customFormat="false" ht="12.75" hidden="false" customHeight="false" outlineLevel="0" collapsed="false">
      <c r="C49" s="0" t="s">
        <v>49</v>
      </c>
      <c r="H49" s="14" t="n">
        <v>0.6</v>
      </c>
      <c r="I49" s="20"/>
      <c r="J49" s="20"/>
      <c r="K49" s="22"/>
    </row>
    <row r="50" customFormat="false" ht="12.75" hidden="false" customHeight="false" outlineLevel="0" collapsed="false">
      <c r="B50" s="18" t="s">
        <v>50</v>
      </c>
      <c r="H50" s="23" t="n">
        <f aca="false">SUM(H18:H49)</f>
        <v>159.596156468208</v>
      </c>
      <c r="I50" s="20"/>
      <c r="J50" s="20"/>
      <c r="K50" s="23" t="n">
        <f aca="false">SUM(K18:K49)</f>
        <v>503</v>
      </c>
      <c r="L50" s="20"/>
    </row>
    <row r="51" customFormat="false" ht="12.75" hidden="true" customHeight="false" outlineLevel="0" collapsed="false">
      <c r="B51" s="0" t="s">
        <v>51</v>
      </c>
      <c r="H51" s="12" t="n">
        <v>0</v>
      </c>
      <c r="I51" s="20"/>
      <c r="J51" s="20"/>
      <c r="K51" s="24"/>
      <c r="L51" s="20"/>
    </row>
    <row r="52" customFormat="false" ht="12.75" hidden="true" customHeight="false" outlineLevel="0" collapsed="false">
      <c r="H52" s="12"/>
      <c r="I52" s="20"/>
      <c r="J52" s="20"/>
      <c r="K52" s="24"/>
      <c r="L52" s="20"/>
    </row>
    <row r="53" customFormat="false" ht="12.75" hidden="true" customHeight="false" outlineLevel="0" collapsed="false">
      <c r="B53" s="0" t="s">
        <v>52</v>
      </c>
      <c r="H53" s="12"/>
      <c r="I53" s="20"/>
      <c r="J53" s="20"/>
      <c r="K53" s="24"/>
      <c r="L53" s="20"/>
    </row>
    <row r="54" customFormat="false" ht="12.75" hidden="true" customHeight="false" outlineLevel="0" collapsed="false">
      <c r="H54" s="12"/>
      <c r="I54" s="20"/>
      <c r="J54" s="20"/>
      <c r="K54" s="24"/>
      <c r="L54" s="20"/>
    </row>
    <row r="55" customFormat="false" ht="12.75" hidden="false" customHeight="false" outlineLevel="0" collapsed="false">
      <c r="H55" s="20"/>
      <c r="I55" s="20"/>
      <c r="J55" s="20"/>
      <c r="K55" s="20"/>
      <c r="L55" s="20"/>
    </row>
    <row r="56" customFormat="false" ht="12.75" hidden="false" customHeight="false" outlineLevel="0" collapsed="false">
      <c r="B56" s="18" t="s">
        <v>53</v>
      </c>
      <c r="H56" s="23" t="n">
        <f aca="false">H50+H17</f>
        <v>181.19696843402</v>
      </c>
      <c r="I56" s="20"/>
      <c r="J56" s="20"/>
      <c r="K56" s="25" t="n">
        <f aca="false">K50+K17</f>
        <v>608</v>
      </c>
      <c r="L56" s="20"/>
    </row>
    <row r="57" customFormat="false" ht="12.75" hidden="false" customHeight="false" outlineLevel="0" collapsed="false">
      <c r="H57" s="20"/>
      <c r="I57" s="20"/>
      <c r="J57" s="20"/>
      <c r="K57" s="20"/>
      <c r="L57" s="20"/>
    </row>
    <row r="58" customFormat="false" ht="12.75" hidden="false" customHeight="false" outlineLevel="0" collapsed="false">
      <c r="B58" s="18" t="s">
        <v>54</v>
      </c>
      <c r="D58" s="18" t="s">
        <v>7</v>
      </c>
      <c r="H58" s="23" t="n">
        <f aca="false">G17-H56</f>
        <v>468.80303156598</v>
      </c>
      <c r="I58" s="12"/>
      <c r="J58" s="20"/>
      <c r="K58" s="26"/>
      <c r="L58" s="20"/>
    </row>
    <row r="59" customFormat="false" ht="12.75" hidden="false" customHeight="false" outlineLevel="0" collapsed="false">
      <c r="F59" s="20"/>
      <c r="G59" s="12"/>
      <c r="H59" s="12"/>
      <c r="K59" s="12"/>
    </row>
    <row r="60" customFormat="false" ht="12.75" hidden="false" customHeight="false" outlineLevel="0" collapsed="false">
      <c r="B60" s="0" t="s">
        <v>55</v>
      </c>
      <c r="G60" s="20"/>
      <c r="H60" s="20"/>
      <c r="I60" s="20"/>
      <c r="J60" s="20"/>
      <c r="K60" s="20"/>
    </row>
    <row r="61" customFormat="false" ht="12.75" hidden="false" customHeight="false" outlineLevel="0" collapsed="false">
      <c r="B61" s="0" t="s">
        <v>56</v>
      </c>
      <c r="G61" s="20"/>
    </row>
    <row r="62" customFormat="false" ht="12.75" hidden="false" customHeight="false" outlineLevel="0" collapsed="false">
      <c r="B62" s="0" t="s">
        <v>57</v>
      </c>
      <c r="G62" s="20"/>
    </row>
    <row r="63" customFormat="false" ht="12.75" hidden="false" customHeight="false" outlineLevel="0" collapsed="false">
      <c r="B63" s="0" t="s">
        <v>58</v>
      </c>
      <c r="G63" s="20"/>
    </row>
  </sheetData>
  <mergeCells count="3">
    <mergeCell ref="A1:K1"/>
    <mergeCell ref="A2:K2"/>
    <mergeCell ref="G4:H4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3" activeCellId="0" sqref="O23: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3.14"/>
    <col collapsed="false" customWidth="true" hidden="true" outlineLevel="0" max="9" min="9" style="0" width="13.85"/>
    <col collapsed="false" customWidth="true" hidden="true" outlineLevel="0" max="10" min="10" style="0" width="12.99"/>
    <col collapsed="false" customWidth="true" hidden="true" outlineLevel="0" max="11" min="11" style="26" width="10.41"/>
    <col collapsed="false" customWidth="true" hidden="true" outlineLevel="0" max="12" min="12" style="26" width="10.85"/>
    <col collapsed="false" customWidth="true" hidden="true" outlineLevel="0" max="13" min="13" style="26" width="11.42"/>
    <col collapsed="false" customWidth="false" hidden="true" outlineLevel="0" max="14" min="14" style="0" width="9.06"/>
  </cols>
  <sheetData>
    <row r="1" customFormat="false" ht="18" hidden="false" customHeight="false" outlineLevel="0" collapsed="false">
      <c r="B1" s="27" t="str">
        <f aca="false">'[1]Team Report'!B1</f>
        <v>Enron North America</v>
      </c>
      <c r="C1" s="27"/>
      <c r="D1" s="27"/>
      <c r="E1" s="27"/>
      <c r="F1" s="27"/>
      <c r="G1" s="28"/>
      <c r="H1" s="28"/>
      <c r="I1" s="28"/>
      <c r="J1" s="28"/>
      <c r="K1" s="29"/>
      <c r="L1" s="29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</row>
    <row r="2" customFormat="false" ht="18" hidden="false" customHeight="false" outlineLevel="0" collapsed="false">
      <c r="B2" s="27" t="s">
        <v>49</v>
      </c>
      <c r="C2" s="27"/>
      <c r="D2" s="27"/>
      <c r="E2" s="27"/>
      <c r="F2" s="27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customFormat="false" ht="18.75" hidden="false" customHeight="false" outlineLevel="0" collapsed="false">
      <c r="B3" s="30" t="s">
        <v>2</v>
      </c>
      <c r="C3" s="30"/>
      <c r="D3" s="30"/>
      <c r="E3" s="30"/>
      <c r="F3" s="30"/>
      <c r="G3" s="31"/>
      <c r="H3" s="31"/>
      <c r="I3" s="31"/>
      <c r="J3" s="31"/>
      <c r="K3" s="29"/>
      <c r="L3" s="29"/>
      <c r="M3" s="29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</row>
    <row r="4" customFormat="false" ht="12.75" hidden="false" customHeight="false" outlineLevel="0" collapsed="false">
      <c r="J4" s="32"/>
      <c r="K4" s="33"/>
      <c r="L4" s="33"/>
      <c r="M4" s="34"/>
    </row>
    <row r="5" customFormat="false" ht="12.75" hidden="false" customHeight="false" outlineLevel="0" collapsed="false">
      <c r="J5" s="35"/>
      <c r="K5" s="20" t="s">
        <v>59</v>
      </c>
      <c r="L5" s="20" t="s">
        <v>60</v>
      </c>
      <c r="M5" s="36" t="s">
        <v>61</v>
      </c>
    </row>
    <row r="6" customFormat="false" ht="12.75" hidden="false" customHeight="false" outlineLevel="0" collapsed="false">
      <c r="C6" s="37" t="n">
        <v>37135</v>
      </c>
      <c r="E6" s="37" t="n">
        <v>37135</v>
      </c>
      <c r="F6" s="37" t="s">
        <v>62</v>
      </c>
      <c r="J6" s="35"/>
      <c r="K6" s="20"/>
      <c r="L6" s="20"/>
      <c r="M6" s="36"/>
      <c r="O6" s="37" t="s">
        <v>62</v>
      </c>
    </row>
    <row r="7" customFormat="false" ht="12.75" hidden="false" customHeight="false" outlineLevel="0" collapsed="false">
      <c r="C7" s="38" t="s">
        <v>63</v>
      </c>
      <c r="E7" s="38" t="s">
        <v>64</v>
      </c>
      <c r="F7" s="38" t="s">
        <v>65</v>
      </c>
      <c r="J7" s="35"/>
      <c r="K7" s="20"/>
      <c r="L7" s="20"/>
      <c r="M7" s="36"/>
      <c r="O7" s="38" t="s">
        <v>65</v>
      </c>
    </row>
    <row r="8" customFormat="false" ht="12.75" hidden="false" customHeight="false" outlineLevel="0" collapsed="false">
      <c r="A8" s="39" t="s">
        <v>66</v>
      </c>
      <c r="B8" s="40" t="s">
        <v>67</v>
      </c>
      <c r="C8" s="41" t="n">
        <f aca="false">'[1]Team Report'!BA25</f>
        <v>875383.82</v>
      </c>
      <c r="E8" s="42" t="n">
        <f aca="false">(C8/9)*12</f>
        <v>1167178.42666667</v>
      </c>
      <c r="F8" s="42" t="n">
        <f aca="false">M17+M23+M24</f>
        <v>328800</v>
      </c>
      <c r="J8" s="35" t="s">
        <v>67</v>
      </c>
      <c r="K8" s="26" t="n">
        <v>0</v>
      </c>
      <c r="L8" s="20"/>
      <c r="M8" s="43" t="n">
        <f aca="false">M28</f>
        <v>394560</v>
      </c>
      <c r="O8" s="42" t="n">
        <f aca="false">+F8/$F$29*$O$29</f>
        <v>109600</v>
      </c>
    </row>
    <row r="9" customFormat="false" ht="12.75" hidden="false" customHeight="false" outlineLevel="0" collapsed="false">
      <c r="A9" s="39"/>
      <c r="B9" s="40" t="s">
        <v>68</v>
      </c>
      <c r="C9" s="42" t="n">
        <v>0</v>
      </c>
      <c r="E9" s="42" t="n">
        <f aca="false">(C9/9)*12</f>
        <v>0</v>
      </c>
      <c r="F9" s="42"/>
      <c r="J9" s="35"/>
      <c r="K9" s="20"/>
      <c r="L9" s="20"/>
      <c r="M9" s="36"/>
      <c r="O9" s="42" t="n">
        <f aca="false">+F9/$F$29*$O$29</f>
        <v>0</v>
      </c>
    </row>
    <row r="10" customFormat="false" ht="12.75" hidden="false" customHeight="false" outlineLevel="0" collapsed="false">
      <c r="A10" s="39"/>
      <c r="B10" s="40" t="s">
        <v>69</v>
      </c>
      <c r="C10" s="42" t="n">
        <v>0</v>
      </c>
      <c r="E10" s="42" t="n">
        <f aca="false">(C10/9)*12</f>
        <v>0</v>
      </c>
      <c r="F10" s="42"/>
      <c r="J10" s="35"/>
      <c r="K10" s="20"/>
      <c r="L10" s="20"/>
      <c r="M10" s="36"/>
      <c r="O10" s="42" t="n">
        <f aca="false">+F10/$F$29*$O$29</f>
        <v>0</v>
      </c>
    </row>
    <row r="11" customFormat="false" ht="12.75" hidden="false" customHeight="false" outlineLevel="0" collapsed="false">
      <c r="A11" s="39" t="s">
        <v>70</v>
      </c>
      <c r="B11" s="40" t="s">
        <v>71</v>
      </c>
      <c r="C11" s="42" t="n">
        <f aca="false">'[1]Team Report'!BA26</f>
        <v>1391356.79</v>
      </c>
      <c r="E11" s="42" t="n">
        <f aca="false">(C11/9)*12</f>
        <v>1855142.38666667</v>
      </c>
      <c r="F11" s="42" t="n">
        <f aca="false">F8*0.2</f>
        <v>65760</v>
      </c>
      <c r="J11" s="35" t="s">
        <v>52</v>
      </c>
      <c r="K11" s="44" t="n">
        <f aca="false">(E12+E13+E14+E15+E16+E17+E18+E19+E20+E21+E22)/E29</f>
        <v>89201.893</v>
      </c>
      <c r="L11" s="20" t="n">
        <f aca="false">L28</f>
        <v>3</v>
      </c>
      <c r="M11" s="43" t="n">
        <f aca="false">K11*L11</f>
        <v>267605.679</v>
      </c>
      <c r="O11" s="42" t="n">
        <f aca="false">+F11/$F$29*$O$29</f>
        <v>21920</v>
      </c>
    </row>
    <row r="12" customFormat="false" ht="12.75" hidden="false" customHeight="false" outlineLevel="0" collapsed="false">
      <c r="A12" s="39" t="s">
        <v>72</v>
      </c>
      <c r="B12" s="40" t="s">
        <v>73</v>
      </c>
      <c r="C12" s="42" t="n">
        <f aca="false">'[1]Team Report'!BA27</f>
        <v>346014.38</v>
      </c>
      <c r="E12" s="45" t="n">
        <f aca="false">(C12/9)*12*1.2</f>
        <v>553623.008</v>
      </c>
      <c r="F12" s="42" t="n">
        <f aca="false">E12/$E$25*$L$11</f>
        <v>103804.314</v>
      </c>
      <c r="J12" s="35"/>
      <c r="K12" s="20"/>
      <c r="L12" s="20"/>
      <c r="M12" s="36"/>
      <c r="O12" s="42" t="n">
        <f aca="false">+F12/$F$29*$O$29</f>
        <v>34601.438</v>
      </c>
    </row>
    <row r="13" customFormat="false" ht="13.5" hidden="false" customHeight="false" outlineLevel="0" collapsed="false">
      <c r="A13" s="39" t="s">
        <v>74</v>
      </c>
      <c r="B13" s="40" t="s">
        <v>75</v>
      </c>
      <c r="C13" s="42" t="n">
        <f aca="false">'[1]Team Report'!BA28</f>
        <v>254648.69</v>
      </c>
      <c r="E13" s="45" t="n">
        <f aca="false">(C13/9)*12*1.2</f>
        <v>407437.904</v>
      </c>
      <c r="F13" s="42" t="n">
        <f aca="false">E13/$E$25*$L$11</f>
        <v>76394.607</v>
      </c>
      <c r="J13" s="46" t="s">
        <v>76</v>
      </c>
      <c r="K13" s="47"/>
      <c r="L13" s="47"/>
      <c r="M13" s="48" t="n">
        <f aca="false">M8+M11</f>
        <v>662165.679</v>
      </c>
      <c r="N13" s="0" t="n">
        <f aca="false">551805*1.2</f>
        <v>662166</v>
      </c>
      <c r="O13" s="42" t="n">
        <f aca="false">+F13/$F$29*$O$29</f>
        <v>25464.869</v>
      </c>
    </row>
    <row r="14" customFormat="false" ht="12.75" hidden="false" customHeight="false" outlineLevel="0" collapsed="false">
      <c r="A14" s="39" t="s">
        <v>77</v>
      </c>
      <c r="B14" s="40" t="s">
        <v>78</v>
      </c>
      <c r="C14" s="42" t="n">
        <f aca="false">'[1]Team Report'!BA32-C39</f>
        <v>-0.260000000009313</v>
      </c>
      <c r="E14" s="45" t="n">
        <f aca="false">(C14/9)*12*1.2</f>
        <v>-0.416000000014901</v>
      </c>
      <c r="F14" s="42" t="n">
        <f aca="false">E14/$E$25*$L$11</f>
        <v>-0.078000000002794</v>
      </c>
      <c r="I14" s="49" t="n">
        <f aca="false">N13-F23</f>
        <v>0.320999999996275</v>
      </c>
      <c r="K14" s="0"/>
      <c r="L14" s="0"/>
      <c r="M14" s="0"/>
      <c r="O14" s="42" t="n">
        <f aca="false">+F14/$F$29*$O$29</f>
        <v>-0.0260000000009313</v>
      </c>
    </row>
    <row r="15" customFormat="false" ht="12.75" hidden="false" customHeight="false" outlineLevel="0" collapsed="false">
      <c r="A15" s="39" t="s">
        <v>79</v>
      </c>
      <c r="B15" s="40" t="s">
        <v>80</v>
      </c>
      <c r="C15" s="42" t="n">
        <f aca="false">'[1]Team Report'!BA33</f>
        <v>18696.41</v>
      </c>
      <c r="E15" s="45" t="n">
        <f aca="false">(C15/9)*12*1.2</f>
        <v>29914.256</v>
      </c>
      <c r="F15" s="42" t="n">
        <f aca="false">E15/$E$25*$L$11</f>
        <v>5608.923</v>
      </c>
      <c r="K15" s="26" t="n">
        <v>1.2</v>
      </c>
      <c r="L15" s="0"/>
      <c r="M15" s="0"/>
      <c r="O15" s="42" t="n">
        <f aca="false">+F15/$F$29*$O$29</f>
        <v>1869.641</v>
      </c>
    </row>
    <row r="16" customFormat="false" ht="12.75" hidden="false" customHeight="false" outlineLevel="0" collapsed="false">
      <c r="A16" s="39" t="s">
        <v>81</v>
      </c>
      <c r="B16" s="40" t="s">
        <v>82</v>
      </c>
      <c r="C16" s="42" t="n">
        <f aca="false">'[1]Team Report'!BA34</f>
        <v>0</v>
      </c>
      <c r="E16" s="45" t="n">
        <f aca="false">(C16/9)*12*1.2</f>
        <v>0</v>
      </c>
      <c r="F16" s="42" t="n">
        <f aca="false">E16/$E$25*$L$11</f>
        <v>0</v>
      </c>
      <c r="J16" s="0" t="s">
        <v>83</v>
      </c>
      <c r="K16" s="26" t="n">
        <v>33600</v>
      </c>
      <c r="L16" s="0" t="n">
        <v>0</v>
      </c>
      <c r="M16" s="26" t="n">
        <f aca="false">K16*L16</f>
        <v>0</v>
      </c>
      <c r="O16" s="42" t="n">
        <f aca="false">+F16/$F$29*$O$29</f>
        <v>0</v>
      </c>
    </row>
    <row r="17" customFormat="false" ht="12.75" hidden="false" customHeight="false" outlineLevel="0" collapsed="false">
      <c r="A17" s="39" t="s">
        <v>84</v>
      </c>
      <c r="B17" s="40" t="s">
        <v>85</v>
      </c>
      <c r="C17" s="42" t="n">
        <f aca="false">'[1]Team Report'!BA35</f>
        <v>0</v>
      </c>
      <c r="E17" s="45" t="n">
        <f aca="false">(C17/9)*12*1.2</f>
        <v>0</v>
      </c>
      <c r="F17" s="42" t="n">
        <f aca="false">E17/$E$25*$L$11</f>
        <v>0</v>
      </c>
      <c r="J17" s="0" t="s">
        <v>86</v>
      </c>
      <c r="K17" s="26" t="n">
        <v>52800</v>
      </c>
      <c r="L17" s="0" t="n">
        <v>1</v>
      </c>
      <c r="M17" s="26" t="n">
        <f aca="false">K17*L17</f>
        <v>52800</v>
      </c>
      <c r="O17" s="42" t="n">
        <f aca="false">+F17/$F$29*$O$29</f>
        <v>0</v>
      </c>
    </row>
    <row r="18" customFormat="false" ht="12.75" hidden="false" customHeight="false" outlineLevel="0" collapsed="false">
      <c r="A18" s="39" t="s">
        <v>87</v>
      </c>
      <c r="B18" s="40" t="s">
        <v>88</v>
      </c>
      <c r="C18" s="42" t="n">
        <f aca="false">'[1]Team Report'!BA36</f>
        <v>101842.32</v>
      </c>
      <c r="E18" s="45" t="n">
        <f aca="false">(C18/9)*12*1.2</f>
        <v>162947.712</v>
      </c>
      <c r="F18" s="42" t="n">
        <f aca="false">E18/$E$25*$L$11</f>
        <v>30552.696</v>
      </c>
      <c r="J18" s="0" t="s">
        <v>89</v>
      </c>
      <c r="K18" s="26" t="n">
        <v>54000</v>
      </c>
      <c r="L18" s="0" t="n">
        <v>0</v>
      </c>
      <c r="M18" s="26" t="n">
        <f aca="false">K18*L18</f>
        <v>0</v>
      </c>
      <c r="O18" s="42" t="n">
        <f aca="false">+F18/$F$29*$O$29</f>
        <v>10184.232</v>
      </c>
    </row>
    <row r="19" customFormat="false" ht="12.75" hidden="false" customHeight="false" outlineLevel="0" collapsed="false">
      <c r="A19" s="39" t="s">
        <v>90</v>
      </c>
      <c r="B19" s="40" t="s">
        <v>91</v>
      </c>
      <c r="C19" s="42" t="n">
        <f aca="false">'[1]Team Report'!BA37</f>
        <v>8504.17</v>
      </c>
      <c r="E19" s="45" t="n">
        <f aca="false">(C19/9)*12*1.2</f>
        <v>13606.672</v>
      </c>
      <c r="F19" s="42" t="n">
        <f aca="false">E19/$E$25*$L$11</f>
        <v>2551.251</v>
      </c>
      <c r="J19" s="0" t="s">
        <v>92</v>
      </c>
      <c r="K19" s="26" t="n">
        <v>63000</v>
      </c>
      <c r="L19" s="0" t="n">
        <v>0</v>
      </c>
      <c r="M19" s="26" t="n">
        <f aca="false">K19*L19</f>
        <v>0</v>
      </c>
      <c r="O19" s="42" t="n">
        <f aca="false">+F19/$F$29*$O$29</f>
        <v>850.417</v>
      </c>
    </row>
    <row r="20" customFormat="false" ht="12.75" hidden="false" customHeight="false" outlineLevel="0" collapsed="false">
      <c r="A20" s="39" t="s">
        <v>93</v>
      </c>
      <c r="B20" s="40" t="s">
        <v>94</v>
      </c>
      <c r="C20" s="42" t="n">
        <f aca="false">'[1]Team Report'!BA38</f>
        <v>299.52</v>
      </c>
      <c r="E20" s="45" t="n">
        <f aca="false">(C20/9)*12*1.2</f>
        <v>479.232</v>
      </c>
      <c r="F20" s="42" t="n">
        <f aca="false">E20/$E$25*$L$11</f>
        <v>89.856</v>
      </c>
      <c r="J20" s="0" t="s">
        <v>95</v>
      </c>
      <c r="K20" s="26" t="n">
        <v>78000</v>
      </c>
      <c r="L20" s="0" t="n">
        <v>0</v>
      </c>
      <c r="M20" s="26" t="n">
        <f aca="false">K20*L20</f>
        <v>0</v>
      </c>
      <c r="O20" s="42" t="n">
        <f aca="false">+F20/$F$29*$O$29</f>
        <v>29.952</v>
      </c>
    </row>
    <row r="21" customFormat="false" ht="12.75" hidden="false" customHeight="false" outlineLevel="0" collapsed="false">
      <c r="A21" s="39" t="s">
        <v>96</v>
      </c>
      <c r="B21" s="40" t="s">
        <v>97</v>
      </c>
      <c r="C21" s="42" t="n">
        <f aca="false">'[1]Team Report'!BA42-C40</f>
        <v>-0.400000000023283</v>
      </c>
      <c r="E21" s="45" t="n">
        <f aca="false">(C21/9)*12*1.2</f>
        <v>-0.640000000037253</v>
      </c>
      <c r="F21" s="42" t="n">
        <f aca="false">E21/$E$25*$L$11</f>
        <v>-0.120000000006985</v>
      </c>
      <c r="J21" s="0" t="s">
        <v>98</v>
      </c>
      <c r="K21" s="26" t="n">
        <v>66000</v>
      </c>
      <c r="L21" s="0" t="n">
        <v>0</v>
      </c>
      <c r="M21" s="26" t="n">
        <f aca="false">K21*L21</f>
        <v>0</v>
      </c>
      <c r="O21" s="42" t="n">
        <f aca="false">+F21/$F$29*$O$29</f>
        <v>-0.0400000000023283</v>
      </c>
    </row>
    <row r="22" customFormat="false" ht="12.75" hidden="false" customHeight="false" outlineLevel="0" collapsed="false">
      <c r="A22" s="39" t="s">
        <v>99</v>
      </c>
      <c r="B22" s="40" t="s">
        <v>100</v>
      </c>
      <c r="C22" s="42" t="n">
        <f aca="false">'[1]Team Report'!BA44</f>
        <v>162014.1</v>
      </c>
      <c r="E22" s="45" t="n">
        <f aca="false">(C22/9)*12*1.2</f>
        <v>259222.56</v>
      </c>
      <c r="F22" s="42" t="n">
        <f aca="false">E22/$E$25*$L$11</f>
        <v>48604.23</v>
      </c>
      <c r="J22" s="0" t="s">
        <v>101</v>
      </c>
      <c r="K22" s="26" t="n">
        <v>97200</v>
      </c>
      <c r="L22" s="0" t="n">
        <v>0</v>
      </c>
      <c r="M22" s="26" t="n">
        <f aca="false">K22*L22</f>
        <v>0</v>
      </c>
      <c r="O22" s="42" t="n">
        <f aca="false">+F22/$F$29*$O$29</f>
        <v>16201.41</v>
      </c>
    </row>
    <row r="23" customFormat="false" ht="13.5" hidden="false" customHeight="false" outlineLevel="0" collapsed="false">
      <c r="A23" s="50" t="s">
        <v>102</v>
      </c>
      <c r="B23" s="51" t="s">
        <v>103</v>
      </c>
      <c r="C23" s="52" t="n">
        <f aca="false">SUM(C8:C22)</f>
        <v>3158759.54</v>
      </c>
      <c r="E23" s="52" t="n">
        <f aca="false">SUM(E8:E22)</f>
        <v>4449551.10133333</v>
      </c>
      <c r="F23" s="52" t="n">
        <f aca="false">SUM(F8:F22)</f>
        <v>662165.679</v>
      </c>
      <c r="J23" s="0" t="s">
        <v>104</v>
      </c>
      <c r="K23" s="26" t="n">
        <v>120000</v>
      </c>
      <c r="L23" s="0" t="n">
        <v>1</v>
      </c>
      <c r="M23" s="26" t="n">
        <f aca="false">K23*L23</f>
        <v>120000</v>
      </c>
      <c r="O23" s="53" t="n">
        <f aca="false">SUM(O8:O22)</f>
        <v>220721.893</v>
      </c>
    </row>
    <row r="24" customFormat="false" ht="12.75" hidden="false" customHeight="false" outlineLevel="0" collapsed="false">
      <c r="J24" s="0" t="s">
        <v>105</v>
      </c>
      <c r="K24" s="26" t="n">
        <v>156000</v>
      </c>
      <c r="L24" s="0" t="n">
        <v>1</v>
      </c>
      <c r="M24" s="26" t="n">
        <f aca="false">K24*L24</f>
        <v>156000</v>
      </c>
    </row>
    <row r="25" customFormat="false" ht="12.75" hidden="false" customHeight="false" outlineLevel="0" collapsed="false">
      <c r="B25" s="51" t="s">
        <v>6</v>
      </c>
      <c r="C25" s="54"/>
      <c r="E25" s="54" t="n">
        <v>16</v>
      </c>
      <c r="F25" s="54" t="n">
        <v>3</v>
      </c>
      <c r="J25" s="0" t="s">
        <v>106</v>
      </c>
      <c r="K25" s="26" t="n">
        <v>180000</v>
      </c>
      <c r="L25" s="0" t="n">
        <v>0</v>
      </c>
      <c r="M25" s="26" t="n">
        <f aca="false">K25*L25</f>
        <v>0</v>
      </c>
      <c r="O25" s="55" t="n">
        <f aca="false">SUM(U16:U20,U23:U27)</f>
        <v>0</v>
      </c>
    </row>
    <row r="26" customFormat="false" ht="12.75" hidden="false" customHeight="false" outlineLevel="0" collapsed="false">
      <c r="J26" s="0" t="s">
        <v>107</v>
      </c>
      <c r="K26" s="26" t="n">
        <v>216000</v>
      </c>
      <c r="L26" s="0" t="n">
        <v>0</v>
      </c>
      <c r="M26" s="26" t="n">
        <f aca="false">K26*L26</f>
        <v>0</v>
      </c>
      <c r="O26" s="42"/>
    </row>
    <row r="27" customFormat="false" ht="12.75" hidden="false" customHeight="false" outlineLevel="0" collapsed="false">
      <c r="B27" s="51" t="s">
        <v>108</v>
      </c>
      <c r="C27" s="54"/>
      <c r="E27" s="54"/>
      <c r="F27" s="54"/>
      <c r="J27" s="0" t="s">
        <v>109</v>
      </c>
      <c r="K27" s="26" t="n">
        <v>240000</v>
      </c>
      <c r="L27" s="0" t="n">
        <v>0</v>
      </c>
      <c r="M27" s="26" t="n">
        <f aca="false">K27*L27</f>
        <v>0</v>
      </c>
      <c r="O27" s="55" t="n">
        <f aca="false">SUM(U21:U22)</f>
        <v>0</v>
      </c>
    </row>
    <row r="28" customFormat="false" ht="12.75" hidden="false" customHeight="false" outlineLevel="0" collapsed="false">
      <c r="K28" s="0"/>
      <c r="L28" s="0" t="n">
        <f aca="false">SUM(L16:L27)</f>
        <v>3</v>
      </c>
      <c r="M28" s="26" t="n">
        <f aca="false">SUM(M16:M27)*1.2</f>
        <v>394560</v>
      </c>
    </row>
    <row r="29" customFormat="false" ht="12.75" hidden="false" customHeight="false" outlineLevel="0" collapsed="false">
      <c r="B29" s="51" t="s">
        <v>110</v>
      </c>
      <c r="C29" s="54"/>
      <c r="E29" s="54" t="n">
        <f aca="false">SUM(E25:E28)</f>
        <v>16</v>
      </c>
      <c r="F29" s="54" t="n">
        <f aca="false">SUM(F25:F28)</f>
        <v>3</v>
      </c>
      <c r="O29" s="55" t="n">
        <v>1</v>
      </c>
    </row>
    <row r="30" customFormat="false" ht="12.75" hidden="false" customHeight="false" outlineLevel="0" collapsed="false">
      <c r="B30" s="51"/>
    </row>
    <row r="31" customFormat="false" ht="12.75" hidden="true" customHeight="false" outlineLevel="0" collapsed="false">
      <c r="A31" s="39" t="s">
        <v>111</v>
      </c>
      <c r="B31" s="40" t="s">
        <v>112</v>
      </c>
      <c r="C31" s="42" t="n">
        <f aca="false">'[1]Team Report'!BA29</f>
        <v>219222.49</v>
      </c>
      <c r="E31" s="42" t="n">
        <f aca="false">(C31/9)*12</f>
        <v>292296.653333333</v>
      </c>
      <c r="F31" s="42"/>
      <c r="I31" s="18" t="s">
        <v>113</v>
      </c>
      <c r="J31" s="26"/>
      <c r="M31" s="0"/>
    </row>
    <row r="32" customFormat="false" ht="12.75" hidden="true" customHeight="false" outlineLevel="0" collapsed="false">
      <c r="A32" s="39" t="s">
        <v>114</v>
      </c>
      <c r="B32" s="40" t="s">
        <v>115</v>
      </c>
      <c r="C32" s="42" t="n">
        <f aca="false">'[1]Team Report'!BA30</f>
        <v>0</v>
      </c>
      <c r="E32" s="42" t="n">
        <f aca="false">(C32/9)*12</f>
        <v>0</v>
      </c>
      <c r="F32" s="42"/>
      <c r="J32" s="26"/>
      <c r="M32" s="0"/>
    </row>
    <row r="33" customFormat="false" ht="12.75" hidden="true" customHeight="false" outlineLevel="0" collapsed="false">
      <c r="A33" s="39" t="s">
        <v>116</v>
      </c>
      <c r="B33" s="40" t="s">
        <v>117</v>
      </c>
      <c r="C33" s="42" t="n">
        <f aca="false">'[1]Team Report'!BA31</f>
        <v>0</v>
      </c>
      <c r="E33" s="42" t="n">
        <f aca="false">(C33/9)*12</f>
        <v>0</v>
      </c>
      <c r="F33" s="42"/>
      <c r="I33" s="56" t="s">
        <v>118</v>
      </c>
      <c r="J33" s="44" t="s">
        <v>119</v>
      </c>
      <c r="K33" s="44" t="s">
        <v>120</v>
      </c>
      <c r="L33" s="44" t="s">
        <v>60</v>
      </c>
      <c r="M33" s="44" t="s">
        <v>121</v>
      </c>
    </row>
    <row r="34" customFormat="false" ht="12.75" hidden="true" customHeight="false" outlineLevel="0" collapsed="false">
      <c r="A34" s="39" t="s">
        <v>122</v>
      </c>
      <c r="B34" s="40" t="s">
        <v>123</v>
      </c>
      <c r="C34" s="42" t="n">
        <f aca="false">'[1]Team Report'!BA39</f>
        <v>0</v>
      </c>
      <c r="E34" s="42" t="n">
        <f aca="false">(C34/9)*12</f>
        <v>0</v>
      </c>
      <c r="F34" s="42"/>
      <c r="I34" s="57" t="n">
        <f aca="false">SUM(E12:E22)</f>
        <v>1427230.288</v>
      </c>
      <c r="J34" s="58" t="n">
        <f aca="false">+E29</f>
        <v>16</v>
      </c>
      <c r="K34" s="44" t="n">
        <f aca="false">+I34/J34</f>
        <v>89201.893</v>
      </c>
      <c r="L34" s="44" t="n">
        <v>3</v>
      </c>
      <c r="M34" s="44" t="n">
        <f aca="false">+K34*L34</f>
        <v>267605.679</v>
      </c>
    </row>
    <row r="35" customFormat="false" ht="12.75" hidden="true" customHeight="false" outlineLevel="0" collapsed="false">
      <c r="A35" s="39" t="s">
        <v>124</v>
      </c>
      <c r="B35" s="40" t="s">
        <v>125</v>
      </c>
      <c r="C35" s="42" t="n">
        <f aca="false">'[1]Team Report'!BA40</f>
        <v>70087.9</v>
      </c>
      <c r="E35" s="42" t="n">
        <f aca="false">(C35/9)*12</f>
        <v>93450.5333333333</v>
      </c>
      <c r="F35" s="42"/>
    </row>
    <row r="36" customFormat="false" ht="12.75" hidden="true" customHeight="false" outlineLevel="0" collapsed="false">
      <c r="A36" s="39" t="s">
        <v>126</v>
      </c>
      <c r="B36" s="40" t="s">
        <v>127</v>
      </c>
      <c r="C36" s="42" t="n">
        <f aca="false">'[1]Team Report'!BA41</f>
        <v>13379</v>
      </c>
      <c r="E36" s="42" t="n">
        <f aca="false">(C36/9)*12</f>
        <v>17838.6666666667</v>
      </c>
      <c r="F36" s="42"/>
    </row>
    <row r="37" customFormat="false" ht="12.75" hidden="true" customHeight="false" outlineLevel="0" collapsed="false">
      <c r="A37" s="39" t="s">
        <v>128</v>
      </c>
      <c r="B37" s="40" t="s">
        <v>129</v>
      </c>
      <c r="C37" s="42" t="n">
        <f aca="false">'[1]Team Report'!BA43</f>
        <v>0</v>
      </c>
      <c r="E37" s="42" t="n">
        <f aca="false">(C37/9)*12</f>
        <v>0</v>
      </c>
      <c r="F37" s="42"/>
    </row>
    <row r="38" customFormat="false" ht="12.75" hidden="true" customHeight="false" outlineLevel="0" collapsed="false">
      <c r="A38" s="39" t="s">
        <v>130</v>
      </c>
      <c r="B38" s="40" t="s">
        <v>131</v>
      </c>
      <c r="C38" s="42" t="n">
        <f aca="false">'[1]Team Report'!BA45</f>
        <v>0</v>
      </c>
      <c r="E38" s="42" t="n">
        <f aca="false">(C38/9)*12</f>
        <v>0</v>
      </c>
      <c r="F38" s="42"/>
    </row>
    <row r="39" customFormat="false" ht="12.75" hidden="true" customHeight="false" outlineLevel="0" collapsed="false">
      <c r="B39" s="40" t="s">
        <v>78</v>
      </c>
      <c r="C39" s="42" t="n">
        <v>338678</v>
      </c>
      <c r="E39" s="42" t="n">
        <f aca="false">(C39/9)*12</f>
        <v>451570.666666667</v>
      </c>
      <c r="F39" s="42"/>
    </row>
    <row r="40" customFormat="false" ht="12.75" hidden="true" customHeight="false" outlineLevel="0" collapsed="false">
      <c r="B40" s="40" t="s">
        <v>97</v>
      </c>
      <c r="C40" s="42" t="n">
        <v>434791</v>
      </c>
      <c r="E40" s="42"/>
      <c r="F40" s="42"/>
    </row>
    <row r="41" customFormat="false" ht="12.75" hidden="true" customHeight="false" outlineLevel="0" collapsed="false"/>
    <row r="42" customFormat="false" ht="12.75" hidden="true" customHeight="false" outlineLevel="0" collapsed="false"/>
    <row r="44" customFormat="false" ht="12.75" hidden="false" customHeight="false" outlineLevel="0" collapsed="false">
      <c r="C44" s="49" t="n">
        <f aca="false">C23+C31+C32+C33+C34+C35+C36+C37+C38</f>
        <v>3461448.93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6" activeCellId="0" sqref="O6:O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3.85"/>
    <col collapsed="false" customWidth="true" hidden="false" outlineLevel="0" max="7" min="7" style="0" width="11.99"/>
    <col collapsed="false" customWidth="true" hidden="true" outlineLevel="0" max="8" min="8" style="0" width="12.7"/>
    <col collapsed="false" customWidth="true" hidden="true" outlineLevel="0" max="9" min="9" style="0" width="1.7"/>
    <col collapsed="false" customWidth="true" hidden="true" outlineLevel="0" max="10" min="10" style="0" width="15.28"/>
    <col collapsed="false" customWidth="true" hidden="true" outlineLevel="0" max="11" min="11" style="0" width="10.41"/>
    <col collapsed="false" customWidth="true" hidden="true" outlineLevel="0" max="12" min="12" style="0" width="8.99"/>
    <col collapsed="false" customWidth="true" hidden="true" outlineLevel="0" max="13" min="13" style="0" width="11.85"/>
  </cols>
  <sheetData>
    <row r="1" customFormat="false" ht="18" hidden="false" customHeight="false" outlineLevel="0" collapsed="false">
      <c r="B1" s="27" t="str">
        <f aca="false">'[2]Team Report'!B1</f>
        <v>Enron North America</v>
      </c>
      <c r="C1" s="27"/>
      <c r="D1" s="27"/>
      <c r="E1" s="27"/>
      <c r="F1" s="27"/>
      <c r="G1" s="27"/>
      <c r="H1" s="28"/>
      <c r="I1" s="28"/>
      <c r="J1" s="28"/>
      <c r="K1" s="28"/>
      <c r="L1" s="28"/>
      <c r="M1" s="28"/>
    </row>
    <row r="2" customFormat="false" ht="18" hidden="false" customHeight="false" outlineLevel="0" collapsed="false">
      <c r="B2" s="27" t="s">
        <v>132</v>
      </c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</row>
    <row r="3" customFormat="false" ht="18" hidden="false" customHeight="false" outlineLevel="0" collapsed="false">
      <c r="B3" s="27" t="s">
        <v>2</v>
      </c>
      <c r="C3" s="27"/>
      <c r="D3" s="27"/>
      <c r="E3" s="27"/>
      <c r="F3" s="27"/>
      <c r="G3" s="27"/>
      <c r="H3" s="31"/>
      <c r="I3" s="31"/>
      <c r="J3" s="31"/>
      <c r="K3" s="31"/>
      <c r="L3" s="31"/>
      <c r="M3" s="31"/>
    </row>
    <row r="4" customFormat="false" ht="13.5" hidden="false" customHeight="false" outlineLevel="0" collapsed="false"/>
    <row r="5" customFormat="false" ht="12.75" hidden="false" customHeight="false" outlineLevel="0" collapsed="false">
      <c r="J5" s="32"/>
      <c r="K5" s="59"/>
      <c r="L5" s="59"/>
      <c r="M5" s="60"/>
    </row>
    <row r="6" customFormat="false" ht="12.75" hidden="false" customHeight="false" outlineLevel="0" collapsed="false">
      <c r="C6" s="37" t="n">
        <v>37135</v>
      </c>
      <c r="E6" s="61" t="n">
        <v>2001</v>
      </c>
      <c r="F6" s="61"/>
      <c r="G6" s="61" t="n">
        <v>2002</v>
      </c>
      <c r="J6" s="35"/>
      <c r="K6" s="44" t="s">
        <v>59</v>
      </c>
      <c r="L6" s="44" t="s">
        <v>60</v>
      </c>
      <c r="M6" s="62" t="s">
        <v>133</v>
      </c>
      <c r="O6" s="61" t="n">
        <v>2002</v>
      </c>
    </row>
    <row r="7" customFormat="false" ht="12.75" hidden="false" customHeight="false" outlineLevel="0" collapsed="false">
      <c r="C7" s="38" t="s">
        <v>63</v>
      </c>
      <c r="E7" s="38" t="s">
        <v>134</v>
      </c>
      <c r="F7" s="38"/>
      <c r="G7" s="38" t="s">
        <v>65</v>
      </c>
      <c r="H7" s="18"/>
      <c r="J7" s="35"/>
      <c r="K7" s="26"/>
      <c r="L7" s="26"/>
      <c r="M7" s="63"/>
      <c r="O7" s="38" t="s">
        <v>65</v>
      </c>
    </row>
    <row r="8" customFormat="false" ht="12.75" hidden="false" customHeight="false" outlineLevel="0" collapsed="false">
      <c r="A8" s="39" t="s">
        <v>66</v>
      </c>
      <c r="B8" s="40" t="s">
        <v>67</v>
      </c>
      <c r="C8" s="42" t="n">
        <f aca="false">'[2]Team Report'!BA25</f>
        <v>17469588.96</v>
      </c>
      <c r="E8" s="42" t="n">
        <f aca="false">+C8/9*12</f>
        <v>23292785.28</v>
      </c>
      <c r="F8" s="42"/>
      <c r="G8" s="42" t="n">
        <f aca="false">SUM(M17:M28)</f>
        <v>1776000</v>
      </c>
      <c r="J8" s="35"/>
      <c r="K8" s="26"/>
      <c r="L8" s="26"/>
      <c r="M8" s="63"/>
      <c r="O8" s="42" t="n">
        <f aca="false">+G8/$G$29*$O$29</f>
        <v>148000</v>
      </c>
    </row>
    <row r="9" customFormat="false" ht="12.75" hidden="true" customHeight="false" outlineLevel="0" collapsed="false">
      <c r="A9" s="39"/>
      <c r="B9" s="40" t="s">
        <v>68</v>
      </c>
      <c r="C9" s="42" t="n">
        <v>0</v>
      </c>
      <c r="E9" s="42" t="n">
        <f aca="false">+C9/9*12</f>
        <v>0</v>
      </c>
      <c r="F9" s="42"/>
      <c r="G9" s="42" t="n">
        <f aca="false">+E9/9*12</f>
        <v>0</v>
      </c>
      <c r="J9" s="35" t="s">
        <v>67</v>
      </c>
      <c r="K9" s="26" t="n">
        <v>0</v>
      </c>
      <c r="L9" s="26" t="n">
        <f aca="false">+L29</f>
        <v>12</v>
      </c>
      <c r="M9" s="63" t="n">
        <f aca="false">M35</f>
        <v>2131200</v>
      </c>
      <c r="O9" s="42" t="n">
        <f aca="false">+G9/$G$29*$O$29</f>
        <v>0</v>
      </c>
    </row>
    <row r="10" customFormat="false" ht="12.75" hidden="false" customHeight="false" outlineLevel="0" collapsed="false">
      <c r="B10" s="40" t="s">
        <v>135</v>
      </c>
      <c r="C10" s="42" t="n">
        <v>0</v>
      </c>
      <c r="E10" s="42" t="n">
        <f aca="false">+C10/9*12</f>
        <v>0</v>
      </c>
      <c r="F10" s="42"/>
      <c r="G10" s="42" t="n">
        <f aca="false">+E10/9*12</f>
        <v>0</v>
      </c>
      <c r="J10" s="35"/>
      <c r="K10" s="26"/>
      <c r="L10" s="26"/>
      <c r="M10" s="63"/>
      <c r="O10" s="42" t="n">
        <f aca="false">+G10/$G$29*$O$29</f>
        <v>0</v>
      </c>
    </row>
    <row r="11" customFormat="false" ht="12.75" hidden="false" customHeight="false" outlineLevel="0" collapsed="false">
      <c r="A11" s="39" t="s">
        <v>70</v>
      </c>
      <c r="B11" s="40" t="s">
        <v>71</v>
      </c>
      <c r="C11" s="42" t="n">
        <f aca="false">'[2]Team Report'!BA26</f>
        <v>1272399.64</v>
      </c>
      <c r="E11" s="42" t="n">
        <f aca="false">+C11/9*12</f>
        <v>1696532.85333333</v>
      </c>
      <c r="F11" s="42"/>
      <c r="G11" s="42" t="n">
        <f aca="false">+G8*0.2</f>
        <v>355200</v>
      </c>
      <c r="J11" s="35"/>
      <c r="K11" s="26"/>
      <c r="L11" s="26"/>
      <c r="M11" s="63"/>
      <c r="O11" s="42" t="n">
        <f aca="false">+G11/$G$29*$O$29</f>
        <v>29600</v>
      </c>
    </row>
    <row r="12" customFormat="false" ht="12.75" hidden="false" customHeight="false" outlineLevel="0" collapsed="false">
      <c r="A12" s="39" t="s">
        <v>72</v>
      </c>
      <c r="B12" s="40" t="s">
        <v>73</v>
      </c>
      <c r="C12" s="42" t="n">
        <f aca="false">'[2]Team Report'!BA27</f>
        <v>141777.57</v>
      </c>
      <c r="E12" s="42" t="n">
        <f aca="false">+C12/9*12</f>
        <v>189036.76</v>
      </c>
      <c r="F12" s="42"/>
      <c r="G12" s="42" t="n">
        <f aca="false">+$M$12*0.25</f>
        <v>66582</v>
      </c>
      <c r="J12" s="35" t="s">
        <v>52</v>
      </c>
      <c r="K12" s="26" t="n">
        <f aca="false">18495*1.2</f>
        <v>22194</v>
      </c>
      <c r="L12" s="26" t="n">
        <v>12</v>
      </c>
      <c r="M12" s="63" t="n">
        <f aca="false">K12*L12</f>
        <v>266328</v>
      </c>
      <c r="O12" s="42" t="n">
        <f aca="false">+G12/$G$29*$O$29</f>
        <v>5548.5</v>
      </c>
    </row>
    <row r="13" customFormat="false" ht="12.75" hidden="false" customHeight="false" outlineLevel="0" collapsed="false">
      <c r="A13" s="39" t="s">
        <v>74</v>
      </c>
      <c r="B13" s="40" t="s">
        <v>75</v>
      </c>
      <c r="C13" s="42" t="n">
        <f aca="false">'[2]Team Report'!BA28</f>
        <v>100051.51</v>
      </c>
      <c r="E13" s="42" t="n">
        <f aca="false">+C13/9*12</f>
        <v>133402.013333333</v>
      </c>
      <c r="F13" s="42"/>
      <c r="G13" s="42" t="n">
        <f aca="false">+$M$12*0.13</f>
        <v>34622.64</v>
      </c>
      <c r="J13" s="35"/>
      <c r="K13" s="26"/>
      <c r="L13" s="26"/>
      <c r="M13" s="63"/>
      <c r="O13" s="42" t="n">
        <f aca="false">+G13/$G$29*$O$29</f>
        <v>2885.22</v>
      </c>
    </row>
    <row r="14" customFormat="false" ht="13.5" hidden="false" customHeight="false" outlineLevel="0" collapsed="false">
      <c r="A14" s="39" t="s">
        <v>77</v>
      </c>
      <c r="B14" s="40" t="s">
        <v>78</v>
      </c>
      <c r="C14" s="42" t="n">
        <f aca="false">'[2]Team Report'!BA32</f>
        <v>13823042.72</v>
      </c>
      <c r="E14" s="42" t="n">
        <f aca="false">+C14/9*12</f>
        <v>18430723.6266667</v>
      </c>
      <c r="F14" s="42"/>
      <c r="G14" s="42" t="n">
        <f aca="false">+$M$12*0.2</f>
        <v>53265.6</v>
      </c>
      <c r="J14" s="46" t="s">
        <v>76</v>
      </c>
      <c r="K14" s="64"/>
      <c r="L14" s="64"/>
      <c r="M14" s="65" t="n">
        <f aca="false">SUM(M9:M12)</f>
        <v>2397528</v>
      </c>
      <c r="O14" s="42" t="n">
        <f aca="false">+G14/$G$29*$O$29</f>
        <v>4438.8</v>
      </c>
    </row>
    <row r="15" customFormat="false" ht="12.75" hidden="false" customHeight="false" outlineLevel="0" collapsed="false">
      <c r="A15" s="39" t="s">
        <v>79</v>
      </c>
      <c r="B15" s="40" t="s">
        <v>80</v>
      </c>
      <c r="C15" s="42" t="n">
        <f aca="false">'[2]Team Report'!BA33</f>
        <v>7559.43</v>
      </c>
      <c r="E15" s="42" t="n">
        <f aca="false">+C15/9*12</f>
        <v>10079.24</v>
      </c>
      <c r="F15" s="42"/>
      <c r="G15" s="42" t="n">
        <f aca="false">+$M$12*0.08</f>
        <v>21306.24</v>
      </c>
      <c r="J15" s="20"/>
      <c r="K15" s="26"/>
      <c r="L15" s="26"/>
      <c r="M15" s="26"/>
      <c r="O15" s="42" t="n">
        <f aca="false">+G15/$G$29*$O$29</f>
        <v>1775.52</v>
      </c>
    </row>
    <row r="16" customFormat="false" ht="12.75" hidden="false" customHeight="false" outlineLevel="0" collapsed="false">
      <c r="A16" s="39" t="s">
        <v>81</v>
      </c>
      <c r="B16" s="40" t="s">
        <v>82</v>
      </c>
      <c r="C16" s="42" t="n">
        <f aca="false">'[2]Team Report'!BA34</f>
        <v>0</v>
      </c>
      <c r="E16" s="42" t="n">
        <f aca="false">+C16/9*12</f>
        <v>0</v>
      </c>
      <c r="F16" s="42"/>
      <c r="G16" s="42" t="n">
        <v>0</v>
      </c>
      <c r="J16" s="20"/>
      <c r="K16" s="26"/>
      <c r="L16" s="66"/>
      <c r="M16" s="26"/>
      <c r="O16" s="42" t="n">
        <f aca="false">+G16/$G$29*$O$29</f>
        <v>0</v>
      </c>
    </row>
    <row r="17" customFormat="false" ht="12.75" hidden="false" customHeight="false" outlineLevel="0" collapsed="false">
      <c r="A17" s="39" t="s">
        <v>84</v>
      </c>
      <c r="B17" s="40" t="s">
        <v>85</v>
      </c>
      <c r="C17" s="42" t="n">
        <f aca="false">'[2]Team Report'!BA35</f>
        <v>0</v>
      </c>
      <c r="E17" s="42" t="n">
        <f aca="false">+C17/9*12</f>
        <v>0</v>
      </c>
      <c r="F17" s="42"/>
      <c r="G17" s="42" t="n">
        <v>0</v>
      </c>
      <c r="J17" s="0" t="s">
        <v>83</v>
      </c>
      <c r="K17" s="26" t="n">
        <v>49200</v>
      </c>
      <c r="L17" s="26" t="n">
        <v>0</v>
      </c>
      <c r="M17" s="26" t="n">
        <f aca="false">K17*L17</f>
        <v>0</v>
      </c>
      <c r="O17" s="42" t="n">
        <f aca="false">+G17/$G$29*$O$29</f>
        <v>0</v>
      </c>
    </row>
    <row r="18" customFormat="false" ht="12.75" hidden="false" customHeight="false" outlineLevel="0" collapsed="false">
      <c r="A18" s="39" t="s">
        <v>87</v>
      </c>
      <c r="B18" s="40" t="s">
        <v>88</v>
      </c>
      <c r="C18" s="42" t="n">
        <f aca="false">'[2]Team Report'!BA36</f>
        <v>91694.45</v>
      </c>
      <c r="E18" s="42" t="n">
        <f aca="false">+C18/9*12</f>
        <v>122259.266666667</v>
      </c>
      <c r="F18" s="42"/>
      <c r="G18" s="42" t="n">
        <v>0</v>
      </c>
      <c r="J18" s="0" t="s">
        <v>86</v>
      </c>
      <c r="K18" s="26" t="n">
        <v>57600</v>
      </c>
      <c r="L18" s="26" t="n">
        <v>0</v>
      </c>
      <c r="M18" s="26" t="n">
        <f aca="false">K18*L18</f>
        <v>0</v>
      </c>
      <c r="O18" s="42" t="n">
        <f aca="false">+G18/$G$29*$O$29</f>
        <v>0</v>
      </c>
    </row>
    <row r="19" customFormat="false" ht="12.75" hidden="false" customHeight="false" outlineLevel="0" collapsed="false">
      <c r="A19" s="39" t="s">
        <v>90</v>
      </c>
      <c r="B19" s="40" t="s">
        <v>91</v>
      </c>
      <c r="C19" s="42" t="n">
        <f aca="false">'[2]Team Report'!BA37</f>
        <v>-7331217.46</v>
      </c>
      <c r="E19" s="42" t="n">
        <f aca="false">+C19/9*12</f>
        <v>-9774956.61333334</v>
      </c>
      <c r="F19" s="42"/>
      <c r="G19" s="42" t="n">
        <f aca="false">+$M$12*0.19</f>
        <v>50602.32</v>
      </c>
      <c r="J19" s="0" t="s">
        <v>89</v>
      </c>
      <c r="K19" s="26" t="n">
        <v>60000</v>
      </c>
      <c r="L19" s="26" t="n">
        <v>0</v>
      </c>
      <c r="M19" s="26" t="n">
        <f aca="false">K19*L19</f>
        <v>0</v>
      </c>
      <c r="O19" s="42" t="n">
        <f aca="false">+G19/$G$29*$O$29</f>
        <v>4216.86</v>
      </c>
    </row>
    <row r="20" customFormat="false" ht="12.75" hidden="false" customHeight="false" outlineLevel="0" collapsed="false">
      <c r="A20" s="39" t="s">
        <v>93</v>
      </c>
      <c r="B20" s="40" t="s">
        <v>94</v>
      </c>
      <c r="C20" s="42" t="n">
        <f aca="false">'[2]Team Report'!BA38</f>
        <v>0</v>
      </c>
      <c r="E20" s="42" t="n">
        <f aca="false">+C20/9*12</f>
        <v>0</v>
      </c>
      <c r="F20" s="42"/>
      <c r="G20" s="42" t="n">
        <v>0</v>
      </c>
      <c r="J20" s="0" t="s">
        <v>92</v>
      </c>
      <c r="K20" s="26" t="n">
        <v>78000</v>
      </c>
      <c r="L20" s="26" t="n">
        <v>2</v>
      </c>
      <c r="M20" s="26" t="n">
        <f aca="false">K20*L20</f>
        <v>156000</v>
      </c>
      <c r="O20" s="42" t="n">
        <f aca="false">+G20/$G$29*$O$29</f>
        <v>0</v>
      </c>
    </row>
    <row r="21" customFormat="false" ht="12.75" hidden="false" customHeight="false" outlineLevel="0" collapsed="false">
      <c r="A21" s="39" t="s">
        <v>96</v>
      </c>
      <c r="B21" s="40" t="s">
        <v>97</v>
      </c>
      <c r="C21" s="42" t="n">
        <f aca="false">'[2]Team Report'!BA42</f>
        <v>24774212.69</v>
      </c>
      <c r="E21" s="42" t="n">
        <f aca="false">+C21/9*12</f>
        <v>33032283.5866667</v>
      </c>
      <c r="F21" s="42"/>
      <c r="G21" s="42" t="n">
        <f aca="false">+$M$12*0.15</f>
        <v>39949.2</v>
      </c>
      <c r="J21" s="0" t="s">
        <v>95</v>
      </c>
      <c r="K21" s="26" t="n">
        <v>102000</v>
      </c>
      <c r="L21" s="26" t="n">
        <v>2</v>
      </c>
      <c r="M21" s="26" t="n">
        <f aca="false">K21*L21</f>
        <v>204000</v>
      </c>
      <c r="O21" s="42" t="n">
        <f aca="false">+G21/$G$29*$O$29</f>
        <v>3329.1</v>
      </c>
    </row>
    <row r="22" customFormat="false" ht="12.75" hidden="false" customHeight="false" outlineLevel="0" collapsed="false">
      <c r="A22" s="39" t="s">
        <v>99</v>
      </c>
      <c r="B22" s="40" t="s">
        <v>100</v>
      </c>
      <c r="C22" s="42" t="n">
        <f aca="false">'[2]Team Report'!BA44</f>
        <v>16.6</v>
      </c>
      <c r="E22" s="42" t="n">
        <f aca="false">+C22/9*12</f>
        <v>22.1333333333333</v>
      </c>
      <c r="F22" s="42"/>
      <c r="G22" s="42" t="n">
        <v>0</v>
      </c>
      <c r="J22" s="0" t="s">
        <v>98</v>
      </c>
      <c r="K22" s="26" t="n">
        <v>0</v>
      </c>
      <c r="L22" s="26" t="n">
        <v>0</v>
      </c>
      <c r="M22" s="26" t="n">
        <f aca="false">K22*L22</f>
        <v>0</v>
      </c>
      <c r="O22" s="42" t="n">
        <f aca="false">+G22/$G$29*$O$29</f>
        <v>0</v>
      </c>
    </row>
    <row r="23" customFormat="false" ht="12.75" hidden="false" customHeight="false" outlineLevel="0" collapsed="false">
      <c r="A23" s="50" t="s">
        <v>102</v>
      </c>
      <c r="B23" s="51" t="s">
        <v>103</v>
      </c>
      <c r="C23" s="52" t="n">
        <f aca="false">SUM(C8:C22)</f>
        <v>50349126.11</v>
      </c>
      <c r="E23" s="52" t="n">
        <f aca="false">SUM(E8:E22)</f>
        <v>67132168.1466667</v>
      </c>
      <c r="F23" s="67"/>
      <c r="G23" s="52" t="n">
        <f aca="false">SUM(G8:G22)</f>
        <v>2397528</v>
      </c>
      <c r="J23" s="0" t="s">
        <v>101</v>
      </c>
      <c r="K23" s="26" t="n">
        <v>0</v>
      </c>
      <c r="L23" s="26" t="n">
        <v>0</v>
      </c>
      <c r="M23" s="26" t="n">
        <f aca="false">K23*L23</f>
        <v>0</v>
      </c>
      <c r="O23" s="52" t="n">
        <f aca="false">SUM(O8:O22)</f>
        <v>199794</v>
      </c>
    </row>
    <row r="24" customFormat="false" ht="12.75" hidden="false" customHeight="false" outlineLevel="0" collapsed="false">
      <c r="J24" s="0" t="s">
        <v>104</v>
      </c>
      <c r="K24" s="26" t="n">
        <v>144000</v>
      </c>
      <c r="L24" s="26" t="n">
        <v>3</v>
      </c>
      <c r="M24" s="26" t="n">
        <f aca="false">K24*L24</f>
        <v>432000</v>
      </c>
    </row>
    <row r="25" customFormat="false" ht="12.75" hidden="false" customHeight="false" outlineLevel="0" collapsed="false">
      <c r="B25" s="51" t="s">
        <v>6</v>
      </c>
      <c r="C25" s="42"/>
      <c r="E25" s="55" t="n">
        <v>111</v>
      </c>
      <c r="F25" s="42"/>
      <c r="G25" s="55" t="n">
        <v>12</v>
      </c>
      <c r="J25" s="0" t="s">
        <v>105</v>
      </c>
      <c r="K25" s="26" t="n">
        <v>168000</v>
      </c>
      <c r="L25" s="26" t="n">
        <v>2</v>
      </c>
      <c r="M25" s="26" t="n">
        <f aca="false">K25*L25</f>
        <v>336000</v>
      </c>
      <c r="O25" s="55" t="n">
        <f aca="false">SUM(U16:U20,U23:U27)</f>
        <v>0</v>
      </c>
    </row>
    <row r="26" customFormat="false" ht="12.75" hidden="false" customHeight="false" outlineLevel="0" collapsed="false">
      <c r="C26" s="42"/>
      <c r="E26" s="42"/>
      <c r="F26" s="42"/>
      <c r="G26" s="42"/>
      <c r="J26" s="0" t="s">
        <v>106</v>
      </c>
      <c r="K26" s="26" t="n">
        <v>216000</v>
      </c>
      <c r="L26" s="26" t="n">
        <v>3</v>
      </c>
      <c r="M26" s="26" t="n">
        <f aca="false">K26*L26</f>
        <v>648000</v>
      </c>
      <c r="O26" s="42"/>
    </row>
    <row r="27" customFormat="false" ht="12.75" hidden="false" customHeight="false" outlineLevel="0" collapsed="false">
      <c r="B27" s="51" t="s">
        <v>136</v>
      </c>
      <c r="C27" s="42"/>
      <c r="E27" s="55" t="n">
        <v>0</v>
      </c>
      <c r="F27" s="42"/>
      <c r="G27" s="55" t="n">
        <v>0</v>
      </c>
      <c r="J27" s="0" t="s">
        <v>107</v>
      </c>
      <c r="K27" s="26" t="n">
        <v>222000</v>
      </c>
      <c r="L27" s="26" t="n">
        <v>0</v>
      </c>
      <c r="M27" s="26" t="n">
        <f aca="false">K27*L27</f>
        <v>0</v>
      </c>
      <c r="O27" s="55" t="n">
        <f aca="false">+U21+U22</f>
        <v>0</v>
      </c>
    </row>
    <row r="28" customFormat="false" ht="12.75" hidden="false" customHeight="false" outlineLevel="0" collapsed="false">
      <c r="J28" s="0" t="s">
        <v>109</v>
      </c>
      <c r="K28" s="26" t="n">
        <v>300000</v>
      </c>
      <c r="L28" s="26" t="n">
        <v>0</v>
      </c>
      <c r="M28" s="26" t="n">
        <f aca="false">K28*L28</f>
        <v>0</v>
      </c>
    </row>
    <row r="29" customFormat="false" ht="12.75" hidden="false" customHeight="false" outlineLevel="0" collapsed="false">
      <c r="B29" s="51" t="s">
        <v>110</v>
      </c>
      <c r="C29" s="42"/>
      <c r="E29" s="55" t="n">
        <f aca="false">+E27+E25</f>
        <v>111</v>
      </c>
      <c r="F29" s="42"/>
      <c r="G29" s="55" t="n">
        <f aca="false">+G27+G25</f>
        <v>12</v>
      </c>
      <c r="H29" s="26"/>
      <c r="K29" s="26"/>
      <c r="L29" s="26" t="n">
        <f aca="false">SUM(L17:L28)</f>
        <v>12</v>
      </c>
      <c r="M29" s="26" t="n">
        <f aca="false">SUM(M17:M28)</f>
        <v>1776000</v>
      </c>
      <c r="O29" s="55" t="n">
        <v>1</v>
      </c>
    </row>
    <row r="30" customFormat="false" ht="12.75" hidden="false" customHeight="false" outlineLevel="0" collapsed="false">
      <c r="K30" s="26"/>
      <c r="L30" s="26"/>
      <c r="M30" s="26"/>
    </row>
    <row r="31" customFormat="false" ht="12.75" hidden="true" customHeight="false" outlineLevel="0" collapsed="false">
      <c r="A31" s="39" t="s">
        <v>111</v>
      </c>
      <c r="B31" s="40" t="s">
        <v>112</v>
      </c>
      <c r="C31" s="42" t="n">
        <f aca="false">'[2]Team Report'!BA29</f>
        <v>0</v>
      </c>
      <c r="E31" s="42" t="n">
        <f aca="false">(C31/9)*12</f>
        <v>0</v>
      </c>
      <c r="F31" s="42"/>
      <c r="J31" s="0" t="s">
        <v>137</v>
      </c>
      <c r="K31" s="26"/>
      <c r="L31" s="68"/>
      <c r="M31" s="68" t="n">
        <v>0.2</v>
      </c>
    </row>
    <row r="32" customFormat="false" ht="12.75" hidden="true" customHeight="false" outlineLevel="0" collapsed="false">
      <c r="A32" s="39" t="s">
        <v>114</v>
      </c>
      <c r="B32" s="40" t="s">
        <v>115</v>
      </c>
      <c r="C32" s="42" t="n">
        <f aca="false">'[2]Team Report'!BA30</f>
        <v>0</v>
      </c>
      <c r="E32" s="42" t="n">
        <f aca="false">(C32/9)*12</f>
        <v>0</v>
      </c>
      <c r="F32" s="42"/>
      <c r="K32" s="26"/>
      <c r="L32" s="26"/>
      <c r="M32" s="26"/>
    </row>
    <row r="33" customFormat="false" ht="12.75" hidden="true" customHeight="false" outlineLevel="0" collapsed="false">
      <c r="A33" s="39" t="s">
        <v>116</v>
      </c>
      <c r="B33" s="40" t="s">
        <v>117</v>
      </c>
      <c r="C33" s="42" t="n">
        <f aca="false">'[2]Team Report'!BA31</f>
        <v>0</v>
      </c>
      <c r="E33" s="42" t="n">
        <f aca="false">(C33/9)*12</f>
        <v>0</v>
      </c>
      <c r="F33" s="42"/>
      <c r="J33" s="0" t="s">
        <v>138</v>
      </c>
      <c r="K33" s="26" t="n">
        <v>160000</v>
      </c>
      <c r="L33" s="26" t="n">
        <v>0</v>
      </c>
      <c r="M33" s="26" t="n">
        <f aca="false">K33*L33</f>
        <v>0</v>
      </c>
    </row>
    <row r="34" customFormat="false" ht="12.75" hidden="true" customHeight="false" outlineLevel="0" collapsed="false">
      <c r="A34" s="39" t="s">
        <v>122</v>
      </c>
      <c r="B34" s="40" t="s">
        <v>123</v>
      </c>
      <c r="C34" s="42" t="n">
        <f aca="false">'[2]Team Report'!BA39</f>
        <v>-7489842.25</v>
      </c>
      <c r="E34" s="42" t="n">
        <v>0</v>
      </c>
      <c r="F34" s="42"/>
      <c r="K34" s="26"/>
      <c r="L34" s="26"/>
      <c r="M34" s="26"/>
    </row>
    <row r="35" customFormat="false" ht="12.75" hidden="true" customHeight="false" outlineLevel="0" collapsed="false">
      <c r="A35" s="39" t="s">
        <v>124</v>
      </c>
      <c r="B35" s="40" t="s">
        <v>125</v>
      </c>
      <c r="C35" s="42" t="n">
        <f aca="false">'[2]Team Report'!BA40</f>
        <v>2999489.79</v>
      </c>
      <c r="E35" s="42" t="n">
        <v>0</v>
      </c>
      <c r="F35" s="42"/>
      <c r="K35" s="26"/>
      <c r="L35" s="26" t="n">
        <f aca="false">+L29+L33</f>
        <v>12</v>
      </c>
      <c r="M35" s="26" t="n">
        <f aca="false">M29*1.2+M33</f>
        <v>2131200</v>
      </c>
    </row>
    <row r="36" customFormat="false" ht="12.75" hidden="true" customHeight="false" outlineLevel="0" collapsed="false">
      <c r="A36" s="39" t="s">
        <v>126</v>
      </c>
      <c r="B36" s="40" t="s">
        <v>127</v>
      </c>
      <c r="C36" s="42" t="n">
        <f aca="false">'[2]Team Report'!BA41</f>
        <v>205055.59</v>
      </c>
      <c r="E36" s="42" t="n">
        <v>0</v>
      </c>
      <c r="F36" s="42"/>
      <c r="K36" s="26"/>
      <c r="L36" s="26"/>
      <c r="M36" s="26"/>
    </row>
    <row r="37" customFormat="false" ht="12.75" hidden="true" customHeight="false" outlineLevel="0" collapsed="false">
      <c r="A37" s="39" t="s">
        <v>128</v>
      </c>
      <c r="B37" s="40" t="s">
        <v>129</v>
      </c>
      <c r="C37" s="42" t="n">
        <f aca="false">'[2]Team Report'!BA43</f>
        <v>42687168.7</v>
      </c>
      <c r="E37" s="42" t="n">
        <v>0</v>
      </c>
      <c r="F37" s="42"/>
      <c r="I37" s="18" t="s">
        <v>113</v>
      </c>
    </row>
    <row r="38" customFormat="false" ht="12.75" hidden="true" customHeight="false" outlineLevel="0" collapsed="false">
      <c r="A38" s="39" t="s">
        <v>130</v>
      </c>
      <c r="B38" s="40" t="s">
        <v>131</v>
      </c>
      <c r="C38" s="42" t="n">
        <f aca="false">'[2]Team Report'!BA45</f>
        <v>8186094.07</v>
      </c>
      <c r="E38" s="42" t="n">
        <v>0</v>
      </c>
      <c r="F38" s="42"/>
    </row>
    <row r="39" customFormat="false" ht="12.75" hidden="false" customHeight="false" outlineLevel="0" collapsed="false">
      <c r="I39" s="0" t="s">
        <v>139</v>
      </c>
    </row>
    <row r="40" customFormat="false" ht="12.75" hidden="false" customHeight="false" outlineLevel="0" collapsed="false">
      <c r="C40" s="49" t="n">
        <f aca="false">C23+C31+C32+C33+C34+C35+C36+C37+C38</f>
        <v>96937092.01</v>
      </c>
    </row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70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false" hidden="true" outlineLevel="0" max="12" min="12" style="0" width="9.06"/>
    <col collapsed="false" customWidth="true" hidden="true" outlineLevel="0" max="13" min="13" style="0" width="13.99"/>
    <col collapsed="false" customWidth="true" hidden="false" outlineLevel="0" max="14" min="14" style="0" width="10.85"/>
  </cols>
  <sheetData>
    <row r="1" customFormat="false" ht="18" hidden="false" customHeight="false" outlineLevel="0" collapsed="false">
      <c r="B1" s="27" t="str">
        <f aca="false">'[3]Team Report'!B1</f>
        <v>Enron North America</v>
      </c>
      <c r="C1" s="27"/>
      <c r="D1" s="27"/>
      <c r="E1" s="27"/>
      <c r="F1" s="27"/>
      <c r="G1" s="27"/>
      <c r="H1" s="27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</row>
    <row r="2" customFormat="false" ht="18" hidden="false" customHeight="false" outlineLevel="0" collapsed="false">
      <c r="B2" s="27" t="s">
        <v>140</v>
      </c>
      <c r="C2" s="27"/>
      <c r="D2" s="27"/>
      <c r="E2" s="27"/>
      <c r="F2" s="27"/>
      <c r="G2" s="27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customFormat="false" ht="18.75" hidden="false" customHeight="false" outlineLevel="0" collapsed="false">
      <c r="B3" s="69" t="s">
        <v>2</v>
      </c>
      <c r="C3" s="69"/>
      <c r="D3" s="69"/>
      <c r="E3" s="69"/>
      <c r="F3" s="69"/>
      <c r="G3" s="69"/>
      <c r="H3" s="69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</row>
    <row r="4" customFormat="false" ht="12.75" hidden="false" customHeight="false" outlineLevel="0" collapsed="false">
      <c r="J4" s="32"/>
      <c r="K4" s="33"/>
      <c r="L4" s="33"/>
      <c r="M4" s="34"/>
    </row>
    <row r="5" customFormat="false" ht="12.75" hidden="false" customHeight="false" outlineLevel="0" collapsed="false">
      <c r="J5" s="35"/>
      <c r="K5" s="20" t="s">
        <v>59</v>
      </c>
      <c r="L5" s="20" t="s">
        <v>60</v>
      </c>
      <c r="M5" s="36" t="s">
        <v>61</v>
      </c>
    </row>
    <row r="6" customFormat="false" ht="12.75" hidden="false" customHeight="false" outlineLevel="0" collapsed="false">
      <c r="C6" s="37" t="n">
        <v>37135</v>
      </c>
      <c r="E6" s="37" t="s">
        <v>141</v>
      </c>
      <c r="F6" s="37" t="s">
        <v>62</v>
      </c>
      <c r="H6" s="70" t="s">
        <v>142</v>
      </c>
      <c r="J6" s="35"/>
      <c r="K6" s="20"/>
      <c r="L6" s="20"/>
      <c r="M6" s="36"/>
      <c r="N6" s="37" t="s">
        <v>62</v>
      </c>
    </row>
    <row r="7" customFormat="false" ht="12.75" hidden="false" customHeight="false" outlineLevel="0" collapsed="false">
      <c r="C7" s="38" t="s">
        <v>63</v>
      </c>
      <c r="E7" s="38" t="s">
        <v>134</v>
      </c>
      <c r="F7" s="38" t="s">
        <v>65</v>
      </c>
      <c r="H7" s="70" t="s">
        <v>143</v>
      </c>
      <c r="J7" s="35"/>
      <c r="K7" s="20"/>
      <c r="L7" s="20"/>
      <c r="M7" s="36"/>
      <c r="N7" s="38" t="s">
        <v>65</v>
      </c>
    </row>
    <row r="8" customFormat="false" ht="12.75" hidden="false" customHeight="false" outlineLevel="0" collapsed="false">
      <c r="A8" s="39" t="s">
        <v>66</v>
      </c>
      <c r="B8" s="40" t="s">
        <v>67</v>
      </c>
      <c r="C8" s="42" t="n">
        <f aca="false">'[4]Ercot Trading'!C8+'[4]Ercot Origination'!C8+'[4]Southeast Trading'!C8+'[4]Southeast Origination'!C8+'[4]Midwest Trading'!C8+'[4]Midwest Origination'!C8+'[4]Northeast Trading'!C8+'[4]Northeast Origination'!C8+'[4]Management Book'!C8+[4]Structuring_Fund!C8+[4]Services!C8+[4]Options!C8</f>
        <v>6640774.8</v>
      </c>
      <c r="E8" s="42" t="n">
        <f aca="false">(C8/9)*12</f>
        <v>8854366.4</v>
      </c>
      <c r="F8" s="42" t="n">
        <f aca="false">M16+M17+M18+M19+M20+M23+M24+M26</f>
        <v>432000</v>
      </c>
      <c r="H8" s="71" t="n">
        <f aca="false">E8/$E$23</f>
        <v>0.43476545989392</v>
      </c>
      <c r="J8" s="35" t="s">
        <v>67</v>
      </c>
      <c r="K8" s="26" t="n">
        <v>0</v>
      </c>
      <c r="L8" s="20"/>
      <c r="M8" s="43" t="n">
        <f aca="false">M28*1.2</f>
        <v>676800</v>
      </c>
      <c r="N8" s="42" t="n">
        <f aca="false">+F8/$F$29*$N$29</f>
        <v>72000</v>
      </c>
    </row>
    <row r="9" customFormat="false" ht="12.75" hidden="false" customHeight="false" outlineLevel="0" collapsed="false">
      <c r="A9" s="39"/>
      <c r="B9" s="40" t="s">
        <v>68</v>
      </c>
      <c r="C9" s="42" t="n">
        <f aca="false">'[4]Ercot Trading'!C9+'[4]Ercot Origination'!C9+'[4]Southeast Trading'!C9+'[4]Southeast Origination'!C9+'[4]Midwest Trading'!C9+'[4]Midwest Origination'!C9+'[4]Northeast Trading'!C9+'[4]Northeast Origination'!C9+'[4]Management Book'!C9+[4]Structuring_Fund!C9+[4]Services!C9+[4]Options!C9</f>
        <v>1460000</v>
      </c>
      <c r="E9" s="42" t="n">
        <f aca="false">C9</f>
        <v>1460000</v>
      </c>
      <c r="F9" s="42"/>
      <c r="H9" s="71" t="n">
        <f aca="false">E9/$E$23</f>
        <v>0.0716886497316311</v>
      </c>
      <c r="J9" s="35"/>
      <c r="K9" s="20"/>
      <c r="L9" s="20"/>
      <c r="M9" s="36"/>
      <c r="N9" s="42" t="n">
        <f aca="false">+F9/$F$29*$N$29</f>
        <v>0</v>
      </c>
    </row>
    <row r="10" customFormat="false" ht="12.75" hidden="false" customHeight="false" outlineLevel="0" collapsed="false">
      <c r="A10" s="39"/>
      <c r="B10" s="40" t="s">
        <v>135</v>
      </c>
      <c r="C10" s="42" t="n">
        <f aca="false">'[4]Ercot Trading'!C10+'[4]Ercot Origination'!C10+'[4]Southeast Trading'!C10+'[4]Southeast Origination'!C10+'[4]Midwest Trading'!C10+'[4]Midwest Origination'!C10+'[4]Northeast Trading'!C10+'[4]Northeast Origination'!C10+'[4]Management Book'!C10+[4]Structuring_Fund!C10+[4]Services!C10+[4]Options!C10</f>
        <v>2652510</v>
      </c>
      <c r="E10" s="42" t="n">
        <f aca="false">(C10/9)*12</f>
        <v>3536680</v>
      </c>
      <c r="F10" s="42" t="n">
        <f aca="false">M21+M22</f>
        <v>132000</v>
      </c>
      <c r="H10" s="71" t="n">
        <f aca="false">E10/$E$23</f>
        <v>0.173657406666346</v>
      </c>
      <c r="J10" s="35"/>
      <c r="K10" s="20"/>
      <c r="L10" s="20"/>
      <c r="M10" s="36"/>
      <c r="N10" s="42" t="n">
        <f aca="false">+F10/$F$29*$N$29</f>
        <v>22000</v>
      </c>
    </row>
    <row r="11" customFormat="false" ht="12.75" hidden="false" customHeight="false" outlineLevel="0" collapsed="false">
      <c r="A11" s="39" t="s">
        <v>70</v>
      </c>
      <c r="B11" s="40" t="s">
        <v>71</v>
      </c>
      <c r="C11" s="42" t="n">
        <f aca="false">'[4]Ercot Trading'!C11+'[4]Ercot Origination'!C11+'[4]Southeast Trading'!C11+'[4]Southeast Origination'!C11+'[4]Midwest Trading'!C11+'[4]Midwest Origination'!C11+'[4]Northeast Trading'!C11+'[4]Northeast Origination'!C11+'[4]Management Book'!C11+[4]Structuring_Fund!C11+[4]Services!C11+[4]Options!C11</f>
        <v>1536343.46</v>
      </c>
      <c r="E11" s="42" t="n">
        <f aca="false">(C11/9)*12</f>
        <v>2048457.94666667</v>
      </c>
      <c r="F11" s="42" t="n">
        <f aca="false">M28*0.2</f>
        <v>112800</v>
      </c>
      <c r="H11" s="71" t="n">
        <f aca="false">E11/$E$23</f>
        <v>0.100583002896276</v>
      </c>
      <c r="J11" s="35" t="s">
        <v>52</v>
      </c>
      <c r="K11" s="26" t="n">
        <f aca="false">(E12+E13+E14+E15+E16+E17+E18+E19+E20+E21+E22)/E29</f>
        <v>31676.1819007092</v>
      </c>
      <c r="L11" s="20" t="n">
        <f aca="false">L28</f>
        <v>6</v>
      </c>
      <c r="M11" s="43" t="n">
        <f aca="false">K11*L11</f>
        <v>190057.091404255</v>
      </c>
      <c r="N11" s="42" t="n">
        <f aca="false">+F11/$F$29*$N$29</f>
        <v>18800</v>
      </c>
    </row>
    <row r="12" customFormat="false" ht="12.75" hidden="false" customHeight="false" outlineLevel="0" collapsed="false">
      <c r="A12" s="39" t="s">
        <v>72</v>
      </c>
      <c r="B12" s="40" t="s">
        <v>73</v>
      </c>
      <c r="C12" s="42" t="n">
        <f aca="false">'[4]Ercot Trading'!C12+'[4]Ercot Origination'!C12+'[4]Southeast Trading'!C12+'[4]Southeast Origination'!C12+'[4]Midwest Trading'!C12+'[4]Midwest Origination'!C12+'[4]Northeast Trading'!C12+'[4]Northeast Origination'!C12+'[4]Management Book'!C12+[4]Structuring_Fund!C12+[4]Services!C12+[4]Options!C12</f>
        <v>556457.2</v>
      </c>
      <c r="E12" s="45" t="n">
        <f aca="false">(C12/9)*12*1.2</f>
        <v>890331.52</v>
      </c>
      <c r="F12" s="42" t="n">
        <f aca="false">E12/$E$29*$L$11</f>
        <v>37886.4476595745</v>
      </c>
      <c r="H12" s="71" t="n">
        <f aca="false">E12/$E$23</f>
        <v>0.0437168934810347</v>
      </c>
      <c r="J12" s="35"/>
      <c r="K12" s="20"/>
      <c r="L12" s="20"/>
      <c r="M12" s="36"/>
      <c r="N12" s="42" t="n">
        <f aca="false">+F12/$F$29*$N$29</f>
        <v>6314.40794326241</v>
      </c>
    </row>
    <row r="13" customFormat="false" ht="13.5" hidden="false" customHeight="false" outlineLevel="0" collapsed="false">
      <c r="A13" s="39" t="s">
        <v>74</v>
      </c>
      <c r="B13" s="40" t="s">
        <v>75</v>
      </c>
      <c r="C13" s="42" t="n">
        <f aca="false">'[4]Ercot Trading'!C13+'[4]Ercot Origination'!C13+'[4]Southeast Trading'!C13+'[4]Southeast Origination'!C13+'[4]Midwest Trading'!C13+'[4]Midwest Origination'!C13+'[4]Northeast Trading'!C13+'[4]Northeast Origination'!C13+'[4]Management Book'!C13+[4]Structuring_Fund!C13+[4]Services!C13+[4]Options!C13</f>
        <v>1014365.41</v>
      </c>
      <c r="E13" s="45" t="n">
        <f aca="false">(C13/9)*12*1.2</f>
        <v>1622984.656</v>
      </c>
      <c r="F13" s="42" t="n">
        <f aca="false">E13/$E$29*$L$11</f>
        <v>69063.1768510638</v>
      </c>
      <c r="H13" s="71" t="n">
        <f aca="false">E13/$E$23</f>
        <v>0.0796914921395861</v>
      </c>
      <c r="J13" s="46" t="s">
        <v>76</v>
      </c>
      <c r="K13" s="47"/>
      <c r="L13" s="47"/>
      <c r="M13" s="48" t="n">
        <f aca="false">M8+M11</f>
        <v>866857.091404255</v>
      </c>
      <c r="N13" s="42" t="n">
        <f aca="false">+F13/$F$29*$N$29</f>
        <v>11510.5294751773</v>
      </c>
    </row>
    <row r="14" customFormat="false" ht="12.75" hidden="false" customHeight="false" outlineLevel="0" collapsed="false">
      <c r="A14" s="39" t="s">
        <v>77</v>
      </c>
      <c r="B14" s="40" t="s">
        <v>78</v>
      </c>
      <c r="C14" s="42" t="n">
        <f aca="false">'[4]Ercot Trading'!C14+'[4]Ercot Origination'!C14+'[4]Southeast Trading'!C14+'[4]Southeast Origination'!C14+'[4]Midwest Trading'!C14+'[4]Midwest Origination'!C14+'[4]Northeast Trading'!C14+'[4]Northeast Origination'!C14+'[4]Management Book'!C14+[4]Structuring_Fund!C14+[4]Services!C14+[4]Options!C14-C32</f>
        <v>0.380000000121072</v>
      </c>
      <c r="E14" s="45" t="n">
        <f aca="false">(C14/9)*12*1.2</f>
        <v>0.608000000193715</v>
      </c>
      <c r="F14" s="42" t="n">
        <f aca="false">E14/$E$29*$L$11</f>
        <v>0.0258723404337751</v>
      </c>
      <c r="H14" s="71" t="n">
        <f aca="false">E14/$E$23</f>
        <v>2.98539034593965E-008</v>
      </c>
      <c r="N14" s="42" t="n">
        <f aca="false">+F14/$F$29*$N$29</f>
        <v>0.00431205673896252</v>
      </c>
    </row>
    <row r="15" customFormat="false" ht="12.75" hidden="false" customHeight="false" outlineLevel="0" collapsed="false">
      <c r="A15" s="39" t="s">
        <v>79</v>
      </c>
      <c r="B15" s="40" t="s">
        <v>80</v>
      </c>
      <c r="C15" s="42" t="n">
        <f aca="false">'[4]Ercot Trading'!C15+'[4]Ercot Origination'!C15+'[4]Southeast Trading'!C15+'[4]Southeast Origination'!C15+'[4]Midwest Trading'!C15+'[4]Midwest Origination'!C15+'[4]Northeast Trading'!C15+'[4]Northeast Origination'!C15+'[4]Management Book'!C15+[4]Structuring_Fund!C15+[4]Services!C15+[4]Options!C15</f>
        <v>93227.13</v>
      </c>
      <c r="E15" s="45" t="n">
        <f aca="false">(C15/9)*12*1.2</f>
        <v>149163.408</v>
      </c>
      <c r="F15" s="42" t="n">
        <f aca="false">E15/$E$29*$L$11</f>
        <v>6347.37906382979</v>
      </c>
      <c r="H15" s="71" t="n">
        <f aca="false">E15/$E$23</f>
        <v>0.00732419404718382</v>
      </c>
      <c r="K15" s="26"/>
      <c r="N15" s="42" t="n">
        <f aca="false">+F15/$F$29*$N$29</f>
        <v>1057.8965106383</v>
      </c>
    </row>
    <row r="16" customFormat="false" ht="12.75" hidden="false" customHeight="false" outlineLevel="0" collapsed="false">
      <c r="A16" s="39" t="s">
        <v>81</v>
      </c>
      <c r="B16" s="40" t="s">
        <v>82</v>
      </c>
      <c r="C16" s="42" t="n">
        <f aca="false">'[4]Ercot Trading'!C16+'[4]Ercot Origination'!C16+'[4]Southeast Trading'!C16+'[4]Southeast Origination'!C16+'[4]Midwest Trading'!C16+'[4]Midwest Origination'!C16+'[4]Northeast Trading'!C16+'[4]Northeast Origination'!C16+'[4]Management Book'!C16+[4]Structuring_Fund!C16+[4]Services!C16+[4]Options!C16</f>
        <v>0</v>
      </c>
      <c r="E16" s="45" t="n">
        <f aca="false">(C16/9)*12*1.2</f>
        <v>0</v>
      </c>
      <c r="F16" s="42" t="n">
        <f aca="false">E16/$E$29*$L$11</f>
        <v>0</v>
      </c>
      <c r="H16" s="71" t="n">
        <f aca="false">E16/$E$23</f>
        <v>0</v>
      </c>
      <c r="J16" s="0" t="s">
        <v>83</v>
      </c>
      <c r="K16" s="26" t="n">
        <v>33600</v>
      </c>
      <c r="L16" s="0" t="n">
        <f aca="false">'[4]Ercot Trading'!K16+'[4]Ercot Origination'!K16+'[4]Southeast Trading'!K16+'[4]Southeast Origination'!K16+'[4]Midwest Trading'!K16+'[4]Midwest Origination'!K16+'[4]Northeast Trading'!K16+'[4]Northeast Origination'!K16+'[4]Management Book'!K16+[4]Structuring_Fund!K16+[4]Services!K16+[4]Options!K16</f>
        <v>0</v>
      </c>
      <c r="M16" s="26" t="n">
        <f aca="false">K16*L16</f>
        <v>0</v>
      </c>
      <c r="N16" s="42" t="n">
        <f aca="false">+F16/$F$29*$N$29</f>
        <v>0</v>
      </c>
    </row>
    <row r="17" customFormat="false" ht="12.75" hidden="false" customHeight="false" outlineLevel="0" collapsed="false">
      <c r="A17" s="39" t="s">
        <v>84</v>
      </c>
      <c r="B17" s="40" t="s">
        <v>85</v>
      </c>
      <c r="C17" s="42" t="n">
        <f aca="false">'[4]Ercot Trading'!C17+'[4]Ercot Origination'!C17+'[4]Southeast Trading'!C17+'[4]Southeast Origination'!C17+'[4]Midwest Trading'!C17+'[4]Midwest Origination'!C17+'[4]Northeast Trading'!C17+'[4]Northeast Origination'!C17+'[4]Management Book'!C17+[4]Structuring_Fund!C17+[4]Services!C17+[4]Options!C17</f>
        <v>5300</v>
      </c>
      <c r="E17" s="45" t="n">
        <f aca="false">(C17/9)*12*1.2</f>
        <v>8480</v>
      </c>
      <c r="F17" s="42" t="n">
        <f aca="false">E17/$E$29*$L$11</f>
        <v>360.851063829787</v>
      </c>
      <c r="H17" s="71" t="n">
        <f aca="false">E17/$E$23</f>
        <v>0.000416383390222076</v>
      </c>
      <c r="J17" s="0" t="s">
        <v>86</v>
      </c>
      <c r="K17" s="26" t="n">
        <v>52800</v>
      </c>
      <c r="L17" s="0" t="n">
        <f aca="false">'[4]Ercot Trading'!K17+'[4]Ercot Origination'!K17+'[4]Southeast Trading'!K17+'[4]Southeast Origination'!K17+'[4]Midwest Trading'!K17+'[4]Midwest Origination'!K17+'[4]Northeast Trading'!K17+'[4]Northeast Origination'!K17+'[4]Management Book'!K17+[4]Structuring_Fund!K17+[4]Services!K17+[4]Options!K17</f>
        <v>0</v>
      </c>
      <c r="M17" s="26" t="n">
        <f aca="false">K17*L17</f>
        <v>0</v>
      </c>
      <c r="N17" s="42" t="n">
        <f aca="false">+F17/$F$29*$N$29</f>
        <v>60.1418439716312</v>
      </c>
    </row>
    <row r="18" customFormat="false" ht="12.75" hidden="false" customHeight="false" outlineLevel="0" collapsed="false">
      <c r="A18" s="39" t="s">
        <v>87</v>
      </c>
      <c r="B18" s="40" t="s">
        <v>88</v>
      </c>
      <c r="C18" s="42" t="n">
        <f aca="false">'[4]Ercot Trading'!C18+'[4]Ercot Origination'!C18+'[4]Southeast Trading'!C18+'[4]Southeast Origination'!C18+'[4]Midwest Trading'!C18+'[4]Midwest Origination'!C18+'[4]Northeast Trading'!C18+'[4]Northeast Origination'!C18+'[4]Management Book'!C18+[4]Structuring_Fund!C18+[4]Services!C18+[4]Options!C18</f>
        <v>287.289999999997</v>
      </c>
      <c r="E18" s="45" t="n">
        <f aca="false">(C18/9)*12*1.2</f>
        <v>459.663999999995</v>
      </c>
      <c r="F18" s="42" t="n">
        <f aca="false">E18/$E$29*$L$11</f>
        <v>19.5601702127657</v>
      </c>
      <c r="H18" s="71" t="n">
        <f aca="false">E18/$E$23</f>
        <v>2.25703366371507E-005</v>
      </c>
      <c r="J18" s="0" t="s">
        <v>89</v>
      </c>
      <c r="K18" s="26" t="n">
        <v>54000</v>
      </c>
      <c r="L18" s="0" t="n">
        <f aca="false">'[4]Ercot Trading'!K18+'[4]Ercot Origination'!K18+'[4]Southeast Trading'!K18+'[4]Southeast Origination'!K18+'[4]Midwest Trading'!K18+'[4]Midwest Origination'!K18+'[4]Northeast Trading'!K18+'[4]Northeast Origination'!K18+'[4]Management Book'!K18+[4]Structuring_Fund!K18+[4]Services!K18+[4]Options!K18</f>
        <v>0</v>
      </c>
      <c r="M18" s="26" t="n">
        <f aca="false">K18*L18</f>
        <v>0</v>
      </c>
      <c r="N18" s="42" t="n">
        <f aca="false">+F18/$F$29*$N$29</f>
        <v>3.26002836879429</v>
      </c>
    </row>
    <row r="19" customFormat="false" ht="12.75" hidden="false" customHeight="false" outlineLevel="0" collapsed="false">
      <c r="A19" s="39" t="s">
        <v>90</v>
      </c>
      <c r="B19" s="40" t="s">
        <v>91</v>
      </c>
      <c r="C19" s="42" t="n">
        <f aca="false">'[4]Ercot Trading'!C19+'[4]Ercot Origination'!C19+'[4]Southeast Trading'!C19+'[4]Southeast Origination'!C19+'[4]Midwest Trading'!C19+'[4]Midwest Origination'!C19+'[4]Northeast Trading'!C19+'[4]Northeast Origination'!C19+'[4]Management Book'!C19+[4]Structuring_Fund!C19+[4]Services!C19+[4]Options!C19</f>
        <v>487149.2</v>
      </c>
      <c r="E19" s="45" t="n">
        <f aca="false">(C19/9)*12*1.2</f>
        <v>779438.72</v>
      </c>
      <c r="F19" s="42" t="n">
        <f aca="false">E19/$E$29*$L$11</f>
        <v>33167.605106383</v>
      </c>
      <c r="H19" s="71" t="n">
        <f aca="false">E19/$E$23</f>
        <v>0.038271855743391</v>
      </c>
      <c r="J19" s="0" t="s">
        <v>92</v>
      </c>
      <c r="K19" s="26" t="n">
        <v>63000</v>
      </c>
      <c r="L19" s="0" t="n">
        <f aca="false">'[4]Ercot Trading'!K19+'[4]Ercot Origination'!K19+'[4]Southeast Trading'!K19+'[4]Southeast Origination'!K19+'[4]Midwest Trading'!K19+'[4]Midwest Origination'!K19+'[4]Northeast Trading'!K19+'[4]Northeast Origination'!K19+'[4]Management Book'!K19+[4]Structuring_Fund!K19+[4]Services!K19+[4]Options!K19</f>
        <v>0</v>
      </c>
      <c r="M19" s="26" t="n">
        <f aca="false">K19*L19</f>
        <v>0</v>
      </c>
      <c r="N19" s="42" t="n">
        <f aca="false">+F19/$F$29*$N$29</f>
        <v>5527.93418439716</v>
      </c>
    </row>
    <row r="20" customFormat="false" ht="12.75" hidden="false" customHeight="false" outlineLevel="0" collapsed="false">
      <c r="A20" s="39" t="s">
        <v>93</v>
      </c>
      <c r="B20" s="40" t="s">
        <v>94</v>
      </c>
      <c r="C20" s="42" t="n">
        <f aca="false">'[4]Ercot Trading'!C20+'[4]Ercot Origination'!C20+'[4]Southeast Trading'!C20+'[4]Southeast Origination'!C20+'[4]Midwest Trading'!C20+'[4]Midwest Origination'!C20+'[4]Northeast Trading'!C20+'[4]Northeast Origination'!C20+'[4]Management Book'!C20+[4]Structuring_Fund!C20+[4]Services!C20+[4]Options!C20</f>
        <v>78.18</v>
      </c>
      <c r="E20" s="45" t="n">
        <f aca="false">(C20/9)*12*1.2</f>
        <v>125.088</v>
      </c>
      <c r="F20" s="42" t="n">
        <f aca="false">E20/$E$29*$L$11</f>
        <v>5.32289361702128</v>
      </c>
      <c r="H20" s="71" t="n">
        <f aca="false">E20/$E$23</f>
        <v>6.1420478202947E-006</v>
      </c>
      <c r="J20" s="0" t="s">
        <v>95</v>
      </c>
      <c r="K20" s="26" t="n">
        <v>78000</v>
      </c>
      <c r="L20" s="0" t="n">
        <f aca="false">3-1</f>
        <v>2</v>
      </c>
      <c r="M20" s="26" t="n">
        <f aca="false">K20*L20</f>
        <v>156000</v>
      </c>
      <c r="N20" s="42" t="n">
        <f aca="false">+F20/$F$29*$N$29</f>
        <v>0.887148936170213</v>
      </c>
    </row>
    <row r="21" customFormat="false" ht="12.75" hidden="false" customHeight="false" outlineLevel="0" collapsed="false">
      <c r="A21" s="39" t="s">
        <v>96</v>
      </c>
      <c r="B21" s="40" t="s">
        <v>97</v>
      </c>
      <c r="C21" s="42" t="n">
        <f aca="false">'[4]Ercot Trading'!C21+'[4]Ercot Origination'!C21+'[4]Southeast Trading'!C21+'[4]Southeast Origination'!C21+'[4]Midwest Trading'!C21+'[4]Midwest Origination'!C21+'[4]Northeast Trading'!C21+'[4]Northeast Origination'!C21+'[4]Management Book'!C21+[4]Structuring_Fund!C21+[4]Services!C21+[4]Options!C21</f>
        <v>633408.5</v>
      </c>
      <c r="E21" s="45" t="n">
        <f aca="false">(C21/9)*12*1.2</f>
        <v>1013453.6</v>
      </c>
      <c r="F21" s="42" t="n">
        <f aca="false">E21/$E$29*$L$11</f>
        <v>43125.685106383</v>
      </c>
      <c r="H21" s="71" t="n">
        <f aca="false">E21/$E$23</f>
        <v>0.0497624110614113</v>
      </c>
      <c r="J21" s="0" t="s">
        <v>98</v>
      </c>
      <c r="K21" s="26" t="n">
        <v>66000</v>
      </c>
      <c r="L21" s="0" t="n">
        <f aca="false">3-1</f>
        <v>2</v>
      </c>
      <c r="M21" s="26" t="n">
        <f aca="false">K21*L21</f>
        <v>132000</v>
      </c>
      <c r="N21" s="42" t="n">
        <f aca="false">+F21/$F$29*$N$29</f>
        <v>7187.61418439716</v>
      </c>
    </row>
    <row r="22" customFormat="false" ht="12.75" hidden="false" customHeight="false" outlineLevel="0" collapsed="false">
      <c r="A22" s="39" t="s">
        <v>99</v>
      </c>
      <c r="B22" s="40" t="s">
        <v>100</v>
      </c>
      <c r="C22" s="42" t="n">
        <f aca="false">'[4]Ercot Trading'!C22+'[4]Ercot Origination'!C22+'[4]Southeast Trading'!C22+'[4]Southeast Origination'!C22+'[4]Midwest Trading'!C22+'[4]Midwest Origination'!C22+'[4]Northeast Trading'!C22+'[4]Northeast Origination'!C22+'[4]Management Book'!C22+[4]Structuring_Fund!C22+[4]Services!C22+[4]Options!C22</f>
        <v>1190.24</v>
      </c>
      <c r="E22" s="45" t="n">
        <f aca="false">(C22/9)*12*1.2</f>
        <v>1904.384</v>
      </c>
      <c r="F22" s="42" t="n">
        <f aca="false">E22/$E$29*$L$11</f>
        <v>81.0376170212766</v>
      </c>
      <c r="H22" s="71" t="n">
        <f aca="false">E22/$E$23</f>
        <v>9.35087106373442E-005</v>
      </c>
      <c r="J22" s="0" t="s">
        <v>101</v>
      </c>
      <c r="K22" s="26" t="n">
        <v>97200</v>
      </c>
      <c r="L22" s="0" t="n">
        <f aca="false">3-3</f>
        <v>0</v>
      </c>
      <c r="M22" s="26" t="n">
        <f aca="false">K22*L22</f>
        <v>0</v>
      </c>
      <c r="N22" s="42" t="n">
        <f aca="false">+F22/$F$29*$N$29</f>
        <v>13.5062695035461</v>
      </c>
    </row>
    <row r="23" customFormat="false" ht="13.5" hidden="false" customHeight="false" outlineLevel="0" collapsed="false">
      <c r="A23" s="50" t="s">
        <v>102</v>
      </c>
      <c r="B23" s="51" t="s">
        <v>103</v>
      </c>
      <c r="C23" s="52" t="n">
        <f aca="false">SUM(C8:C22)</f>
        <v>15081091.79</v>
      </c>
      <c r="E23" s="52" t="n">
        <f aca="false">SUM(E8:E22)</f>
        <v>20365845.9946667</v>
      </c>
      <c r="F23" s="53" t="n">
        <f aca="false">SUM(F8:F22)</f>
        <v>866857.091404255</v>
      </c>
      <c r="H23" s="72" t="n">
        <f aca="false">SUM(H8:H22)</f>
        <v>1</v>
      </c>
      <c r="J23" s="0" t="s">
        <v>104</v>
      </c>
      <c r="K23" s="26" t="n">
        <v>120000</v>
      </c>
      <c r="L23" s="0" t="n">
        <f aca="false">3-2</f>
        <v>1</v>
      </c>
      <c r="M23" s="26" t="n">
        <f aca="false">K23*L23</f>
        <v>120000</v>
      </c>
      <c r="N23" s="53" t="n">
        <f aca="false">SUM(N8:N22)</f>
        <v>144476.181900709</v>
      </c>
    </row>
    <row r="24" customFormat="false" ht="12.75" hidden="false" customHeight="false" outlineLevel="0" collapsed="false">
      <c r="J24" s="0" t="s">
        <v>105</v>
      </c>
      <c r="K24" s="26" t="n">
        <v>156000</v>
      </c>
      <c r="L24" s="0" t="n">
        <v>1</v>
      </c>
      <c r="M24" s="26" t="n">
        <f aca="false">K24*L24</f>
        <v>156000</v>
      </c>
    </row>
    <row r="25" customFormat="false" ht="12.75" hidden="false" customHeight="false" outlineLevel="0" collapsed="false">
      <c r="B25" s="51" t="s">
        <v>6</v>
      </c>
      <c r="C25" s="42"/>
      <c r="E25" s="55" t="n">
        <f aca="false">'[4]Ercot Trading'!E25+'[4]Ercot Origination'!E25+'[4]Southeast Trading'!E25+'[4]Southeast Origination'!E25+'[4]Midwest Trading'!E25+'[4]Midwest Origination'!E25+'[4]Northeast Trading'!E25+'[4]Northeast Origination'!E25+'[4]Management Book'!E25+[4]Structuring_Fund!E25+[4]Services!E25+[4]Options!E25</f>
        <v>91</v>
      </c>
      <c r="F25" s="55" t="n">
        <f aca="false">SUM(L16:L20,L23:L27)</f>
        <v>4</v>
      </c>
      <c r="J25" s="0" t="s">
        <v>106</v>
      </c>
      <c r="K25" s="26" t="n">
        <v>180000</v>
      </c>
      <c r="L25" s="0" t="n">
        <f aca="false">'[4]Ercot Trading'!K25+'[4]Ercot Origination'!K25+'[4]Southeast Trading'!K25+'[4]Southeast Origination'!K25+'[4]Midwest Trading'!K25+'[4]Midwest Origination'!K25+'[4]Northeast Trading'!K25+'[4]Northeast Origination'!K25+'[4]Management Book'!K25+[4]Structuring_Fund!K25+[4]Services!K25+[4]Options!K25</f>
        <v>0</v>
      </c>
      <c r="M25" s="26" t="n">
        <f aca="false">K25*L25</f>
        <v>0</v>
      </c>
      <c r="N25" s="55" t="n">
        <v>1</v>
      </c>
    </row>
    <row r="26" customFormat="false" ht="12.75" hidden="false" customHeight="false" outlineLevel="0" collapsed="false">
      <c r="C26" s="42"/>
      <c r="E26" s="42"/>
      <c r="F26" s="42"/>
      <c r="J26" s="0" t="s">
        <v>107</v>
      </c>
      <c r="K26" s="26" t="n">
        <v>216000</v>
      </c>
      <c r="L26" s="0" t="n">
        <f aca="false">'[4]Ercot Trading'!K26+'[4]Ercot Origination'!K26+'[4]Southeast Trading'!K26+'[4]Southeast Origination'!K26+'[4]Midwest Trading'!K26+'[4]Midwest Origination'!K26+'[4]Northeast Trading'!K26+'[4]Northeast Origination'!K26+'[4]Management Book'!K26+[4]Structuring_Fund!K26+[4]Services!K26+[4]Options!K26</f>
        <v>0</v>
      </c>
      <c r="M26" s="26" t="n">
        <f aca="false">K26*L26</f>
        <v>0</v>
      </c>
      <c r="N26" s="42"/>
    </row>
    <row r="27" customFormat="false" ht="12.75" hidden="false" customHeight="false" outlineLevel="0" collapsed="false">
      <c r="B27" s="51" t="s">
        <v>144</v>
      </c>
      <c r="C27" s="42"/>
      <c r="E27" s="55" t="n">
        <f aca="false">'[4]Ercot Trading'!E27+'[4]Ercot Origination'!E27+'[4]Southeast Trading'!E27+'[4]Southeast Origination'!E27+'[4]Midwest Trading'!E27+'[4]Midwest Origination'!E27+'[4]Northeast Trading'!E27+'[4]Northeast Origination'!E27+'[4]Management Book'!E27+[4]Structuring_Fund!E27+[4]Services!E27+[4]Options!E27</f>
        <v>50</v>
      </c>
      <c r="F27" s="55" t="n">
        <f aca="false">SUM(L21:L22)</f>
        <v>2</v>
      </c>
      <c r="J27" s="0" t="s">
        <v>109</v>
      </c>
      <c r="K27" s="26" t="n">
        <v>240000</v>
      </c>
      <c r="L27" s="0" t="n">
        <f aca="false">'[4]Ercot Trading'!K27+'[4]Ercot Origination'!K27+'[4]Southeast Trading'!K27+'[4]Southeast Origination'!K27+'[4]Midwest Trading'!K27+'[4]Midwest Origination'!K27+'[4]Northeast Trading'!K27+'[4]Northeast Origination'!K27+'[4]Management Book'!K27+[4]Structuring_Fund!K27+[4]Services!K27+[4]Options!K27</f>
        <v>0</v>
      </c>
      <c r="M27" s="26" t="n">
        <f aca="false">K27*L27</f>
        <v>0</v>
      </c>
      <c r="N27" s="55" t="n">
        <f aca="false">SUM(T21:T22)</f>
        <v>0</v>
      </c>
    </row>
    <row r="28" customFormat="false" ht="12.75" hidden="false" customHeight="false" outlineLevel="0" collapsed="false">
      <c r="B28" s="51"/>
      <c r="L28" s="0" t="n">
        <f aca="false">SUM(L16:L27)</f>
        <v>6</v>
      </c>
      <c r="M28" s="26" t="n">
        <f aca="false">SUM(M16:M27)</f>
        <v>564000</v>
      </c>
    </row>
    <row r="29" customFormat="false" ht="12.75" hidden="false" customHeight="false" outlineLevel="0" collapsed="false">
      <c r="B29" s="51" t="s">
        <v>110</v>
      </c>
      <c r="E29" s="73" t="n">
        <f aca="false">SUM(E25:E27)</f>
        <v>141</v>
      </c>
      <c r="F29" s="73" t="n">
        <f aca="false">SUM(F25:F27)</f>
        <v>6</v>
      </c>
      <c r="H29" s="26"/>
      <c r="N29" s="73" t="n">
        <f aca="false">SUM(N25:N27)</f>
        <v>1</v>
      </c>
    </row>
    <row r="31" customFormat="false" ht="12.75" hidden="false" customHeight="false" outlineLevel="0" collapsed="false">
      <c r="I31" s="18" t="s">
        <v>113</v>
      </c>
      <c r="J31" s="26"/>
      <c r="K31" s="26"/>
      <c r="L31" s="26"/>
    </row>
    <row r="32" customFormat="false" ht="12.75" hidden="true" customHeight="false" outlineLevel="0" collapsed="false">
      <c r="B32" s="40" t="s">
        <v>78</v>
      </c>
      <c r="C32" s="42" t="n">
        <v>524067</v>
      </c>
      <c r="J32" s="26"/>
      <c r="K32" s="26"/>
      <c r="L32" s="26"/>
    </row>
    <row r="33" customFormat="false" ht="12.75" hidden="false" customHeight="false" outlineLevel="0" collapsed="false">
      <c r="I33" s="56" t="s">
        <v>118</v>
      </c>
      <c r="J33" s="44" t="s">
        <v>119</v>
      </c>
      <c r="K33" s="44" t="s">
        <v>120</v>
      </c>
      <c r="L33" s="44" t="s">
        <v>60</v>
      </c>
      <c r="M33" s="44" t="s">
        <v>121</v>
      </c>
    </row>
    <row r="34" customFormat="false" ht="12.75" hidden="false" customHeight="false" outlineLevel="0" collapsed="false">
      <c r="I34" s="57" t="n">
        <f aca="false">SUM(E12:E22)</f>
        <v>4466341.648</v>
      </c>
      <c r="J34" s="44" t="n">
        <f aca="false">+E29</f>
        <v>141</v>
      </c>
      <c r="K34" s="44" t="n">
        <f aca="false">+I34/J34</f>
        <v>31676.1819007092</v>
      </c>
      <c r="L34" s="44" t="n">
        <f aca="false">+L11</f>
        <v>6</v>
      </c>
      <c r="M34" s="44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2001-12-05T10:50:56Z</dcterms:created>
  <dc:creator>dvandor</dc:creator>
  <dc:description/>
  <dc:language>en-US</dc:language>
  <cp:lastModifiedBy>John Lavorato</cp:lastModifiedBy>
  <cp:lastPrinted>2001-12-27T19:45:25Z</cp:lastPrinted>
  <dcterms:modified xsi:type="dcterms:W3CDTF">2001-12-27T19:51:31Z</dcterms:modified>
  <cp:revision>0</cp:revision>
  <dc:subject/>
  <dc:title/>
</cp:coreProperties>
</file>