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t 284" sheetId="1" state="visible" r:id="rId3"/>
    <sheet name="NFUL_daily" sheetId="2" state="visible" r:id="rId4"/>
    <sheet name="Trco_NFUL" sheetId="3" state="visible" r:id="rId5"/>
    <sheet name="Tickets" sheetId="4" state="visible" r:id="rId6"/>
    <sheet name="price_calc" sheetId="5" state="visible" r:id="rId7"/>
    <sheet name="Sheet1" sheetId="6" state="visible" r:id="rId8"/>
    <sheet name="5th" sheetId="7" state="visible" r:id="rId9"/>
    <sheet name="2nd" sheetId="8" state="visible" r:id="rId10"/>
    <sheet name="1st" sheetId="9" state="visible" r:id="rId11"/>
    <sheet name="Trco" sheetId="10" state="visible" r:id="rId1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<sst xmlns="http://schemas.openxmlformats.org/spreadsheetml/2006/main" count="719" uniqueCount="243">
  <si>
    <t xml:space="preserve">June</t>
  </si>
  <si>
    <t xml:space="preserve">Niagara</t>
  </si>
  <si>
    <t xml:space="preserve">NFGS</t>
  </si>
  <si>
    <t xml:space="preserve">FT</t>
  </si>
  <si>
    <t xml:space="preserve">comm</t>
  </si>
  <si>
    <t xml:space="preserve">s/c</t>
  </si>
  <si>
    <t xml:space="preserve">FTLR</t>
  </si>
  <si>
    <t xml:space="preserve">FTAR</t>
  </si>
  <si>
    <t xml:space="preserve">NY</t>
  </si>
  <si>
    <t xml:space="preserve">Spread</t>
  </si>
  <si>
    <t xml:space="preserve">Variable</t>
  </si>
  <si>
    <t xml:space="preserve">Demand</t>
  </si>
  <si>
    <t xml:space="preserve">Profit/Loss</t>
  </si>
  <si>
    <t xml:space="preserve">Volume</t>
  </si>
  <si>
    <t xml:space="preserve">Days</t>
  </si>
  <si>
    <t xml:space="preserve">Tot Profit/(Loss)</t>
  </si>
  <si>
    <t xml:space="preserve">July</t>
  </si>
  <si>
    <t xml:space="preserve">August</t>
  </si>
  <si>
    <t xml:space="preserve">Sep</t>
  </si>
  <si>
    <t xml:space="preserve">NYMX </t>
  </si>
  <si>
    <t xml:space="preserve">Basis</t>
  </si>
  <si>
    <t xml:space="preserve">Young</t>
  </si>
  <si>
    <t xml:space="preserve">Womens</t>
  </si>
  <si>
    <t xml:space="preserve">Trco</t>
  </si>
  <si>
    <t xml:space="preserve">TP2 Deal tickets</t>
  </si>
  <si>
    <t xml:space="preserve">TRCO</t>
  </si>
  <si>
    <t xml:space="preserve">Zone 1</t>
  </si>
  <si>
    <t xml:space="preserve">Buy</t>
  </si>
  <si>
    <t xml:space="preserve">TU</t>
  </si>
  <si>
    <t xml:space="preserve">Sell</t>
  </si>
  <si>
    <t xml:space="preserve">Comment</t>
  </si>
  <si>
    <t xml:space="preserve">Z2 wh to St 30</t>
  </si>
  <si>
    <t xml:space="preserve">Zone 2</t>
  </si>
  <si>
    <t xml:space="preserve">Z2 WH-Other</t>
  </si>
  <si>
    <t xml:space="preserve">All other Z2 WH purch from Gulf 1 at IF</t>
  </si>
  <si>
    <t xml:space="preserve">St 45</t>
  </si>
  <si>
    <t xml:space="preserve">All other Z2 wh to St 45, sell at St 45 at IF</t>
  </si>
  <si>
    <t xml:space="preserve">GD buy from Gulf 1 at St 45</t>
  </si>
  <si>
    <t xml:space="preserve">St 65</t>
  </si>
  <si>
    <t xml:space="preserve">Z2 WH to St 65 - sell at ST 65 at GD</t>
  </si>
  <si>
    <t xml:space="preserve">Z2 WH to Bammel - normail IT</t>
  </si>
  <si>
    <t xml:space="preserve">Sell to Gulf 1 at Bammel</t>
  </si>
  <si>
    <t xml:space="preserve">St 45 GD</t>
  </si>
  <si>
    <t xml:space="preserve">St 65 GD using BG&amp;E transport</t>
  </si>
  <si>
    <t xml:space="preserve">Zone 3</t>
  </si>
  <si>
    <t xml:space="preserve">Z3 WH</t>
  </si>
  <si>
    <t xml:space="preserve">Z3 WH to St 65 - sell at ST 65 IF</t>
  </si>
  <si>
    <t xml:space="preserve">Z3 WH to WSS sale to Gulf1</t>
  </si>
  <si>
    <t xml:space="preserve">Z3 Wh GD</t>
  </si>
  <si>
    <t xml:space="preserve">GD buy from Gulf 1 at Z3 WH</t>
  </si>
  <si>
    <t xml:space="preserve">GD buy from Gulf 1 at St 65</t>
  </si>
  <si>
    <t xml:space="preserve">GD sell to Gulf 1 at St 65</t>
  </si>
  <si>
    <t xml:space="preserve">Ragley</t>
  </si>
  <si>
    <t xml:space="preserve">TP2-Tp2 </t>
  </si>
  <si>
    <t xml:space="preserve">Ragley - move balance from Tetco to Trco</t>
  </si>
  <si>
    <t xml:space="preserve">Bridgeline</t>
  </si>
  <si>
    <t xml:space="preserve">Buy from Gulf 1</t>
  </si>
  <si>
    <t xml:space="preserve">TP2 buy from Gulf 1 at Bridgeline</t>
  </si>
  <si>
    <t xml:space="preserve">3-3 FT to St 65</t>
  </si>
  <si>
    <t xml:space="preserve">3-3 IT to St 65</t>
  </si>
  <si>
    <t xml:space="preserve">Negotiated sell to Gulf 1 at St 65</t>
  </si>
  <si>
    <t xml:space="preserve">Zone 4</t>
  </si>
  <si>
    <t xml:space="preserve">St 85 GD sale to Ogy</t>
  </si>
  <si>
    <t xml:space="preserve">Exch sale to Ogy at Doyle</t>
  </si>
  <si>
    <t xml:space="preserve">Exch buy from Ogy at St 85</t>
  </si>
  <si>
    <t xml:space="preserve">Buy from Gulf 1 at St 85</t>
  </si>
  <si>
    <t xml:space="preserve">Transport St 85 to Ogy</t>
  </si>
  <si>
    <t xml:space="preserve">Sale to Gulf 1 at Doyle</t>
  </si>
  <si>
    <t xml:space="preserve">Transport Destin to Ogy</t>
  </si>
  <si>
    <t xml:space="preserve">Buy from Gulf 1 at Destin</t>
  </si>
  <si>
    <t xml:space="preserve">Zone 6</t>
  </si>
  <si>
    <t xml:space="preserve">TU Leidy to Z6 NY</t>
  </si>
  <si>
    <t xml:space="preserve">TP2 to TP3 at Leidy</t>
  </si>
  <si>
    <t xml:space="preserve">Sell back TP3 to TP2 at Leidy</t>
  </si>
  <si>
    <t xml:space="preserve">NFUL</t>
  </si>
  <si>
    <t xml:space="preserve">TU Niagara to Leidy</t>
  </si>
  <si>
    <t xml:space="preserve">Sell to Ontario at Niagara</t>
  </si>
  <si>
    <t xml:space="preserve">IROQ/Tenn</t>
  </si>
  <si>
    <t xml:space="preserve">Deal</t>
  </si>
  <si>
    <t xml:space="preserve">Type</t>
  </si>
  <si>
    <t xml:space="preserve">dd</t>
  </si>
  <si>
    <t xml:space="preserve">Baseload sale for indeck -  do not touch</t>
  </si>
  <si>
    <t xml:space="preserve">Baseload sale for EES -  do not touch</t>
  </si>
  <si>
    <t xml:space="preserve">Buy ontario at Wadd</t>
  </si>
  <si>
    <t xml:space="preserve">New Eng to TP1 at dracut 020909</t>
  </si>
  <si>
    <t xml:space="preserve">TP1 to New England Z6  meter 020102</t>
  </si>
  <si>
    <t xml:space="preserve">New England to TP1 at wright.</t>
  </si>
  <si>
    <t xml:space="preserve">tu</t>
  </si>
  <si>
    <t xml:space="preserve">iroq/tenn wright</t>
  </si>
  <si>
    <t xml:space="preserve">Wright to Z5 City meter 020816</t>
  </si>
  <si>
    <t xml:space="preserve">Wright to Z6 City meter 020102</t>
  </si>
  <si>
    <t xml:space="preserve">Dracut to Z6 City meter 020102</t>
  </si>
  <si>
    <t xml:space="preserve">june</t>
  </si>
  <si>
    <t xml:space="preserve">Receipt</t>
  </si>
  <si>
    <t xml:space="preserve">Delivery</t>
  </si>
  <si>
    <t xml:space="preserve">Price</t>
  </si>
  <si>
    <t xml:space="preserve">Comm</t>
  </si>
  <si>
    <t xml:space="preserve">Fuel</t>
  </si>
  <si>
    <t xml:space="preserve">Rag - St 65 FT</t>
  </si>
  <si>
    <t xml:space="preserve">IT Comm</t>
  </si>
  <si>
    <t xml:space="preserve">Del Price</t>
  </si>
  <si>
    <t xml:space="preserve">Ela - Mamou</t>
  </si>
  <si>
    <t xml:space="preserve">Ela</t>
  </si>
  <si>
    <t xml:space="preserve">Wla</t>
  </si>
  <si>
    <t xml:space="preserve">Stx</t>
  </si>
  <si>
    <t xml:space="preserve">M1</t>
  </si>
  <si>
    <t xml:space="preserve">Ela - M2</t>
  </si>
  <si>
    <t xml:space="preserve">Wla - M2</t>
  </si>
  <si>
    <t xml:space="preserve">Stx - M2</t>
  </si>
  <si>
    <t xml:space="preserve">M1 - M2</t>
  </si>
  <si>
    <t xml:space="preserve">Ela - M3</t>
  </si>
  <si>
    <t xml:space="preserve">Wla - M3</t>
  </si>
  <si>
    <t xml:space="preserve">Stx - M3</t>
  </si>
  <si>
    <t xml:space="preserve">M1 - M3</t>
  </si>
  <si>
    <t xml:space="preserve">Ela - Strg</t>
  </si>
  <si>
    <t xml:space="preserve">Wla - Strg</t>
  </si>
  <si>
    <t xml:space="preserve">Stx - Strg</t>
  </si>
  <si>
    <t xml:space="preserve">Transco</t>
  </si>
  <si>
    <t xml:space="preserve">Excludes Surcharges</t>
  </si>
  <si>
    <t xml:space="preserve"> Includes surcharges  ACA = $.0022, GRI = $.0070, GP = $.0097</t>
  </si>
  <si>
    <t xml:space="preserve">Z3</t>
  </si>
  <si>
    <t xml:space="preserve">Z4</t>
  </si>
  <si>
    <t xml:space="preserve">Z6</t>
  </si>
  <si>
    <t xml:space="preserve">Z1 - Z6</t>
  </si>
  <si>
    <t xml:space="preserve">Z2 - Z6</t>
  </si>
  <si>
    <t xml:space="preserve">Z3 - Z6</t>
  </si>
  <si>
    <t xml:space="preserve">Z4 - Z6</t>
  </si>
  <si>
    <t xml:space="preserve">Z6 - Z6</t>
  </si>
  <si>
    <t xml:space="preserve">Z1 - Z2</t>
  </si>
  <si>
    <t xml:space="preserve">Z1 - Z3</t>
  </si>
  <si>
    <t xml:space="preserve">Z2 - Z3</t>
  </si>
  <si>
    <t xml:space="preserve">Z3 - Z3</t>
  </si>
  <si>
    <t xml:space="preserve">Z4 - 3 Bhaul</t>
  </si>
  <si>
    <t xml:space="preserve">Z6 Price =&gt;</t>
  </si>
  <si>
    <t xml:space="preserve">Z6 vs Z5</t>
  </si>
  <si>
    <t xml:space="preserve">&lt;= Z5 Price</t>
  </si>
  <si>
    <t xml:space="preserve">Z6 vs Z4</t>
  </si>
  <si>
    <t xml:space="preserve">Transco VNG  Zone 3 to Emporia</t>
  </si>
  <si>
    <t xml:space="preserve">Z3 - Z5</t>
  </si>
  <si>
    <t xml:space="preserve">CGAS Emp</t>
  </si>
  <si>
    <t xml:space="preserve">Disc Fuel</t>
  </si>
  <si>
    <t xml:space="preserve">Cgas Pool</t>
  </si>
  <si>
    <t xml:space="preserve">Reg fuel</t>
  </si>
  <si>
    <t xml:space="preserve">Sheet 40 E capacity</t>
  </si>
  <si>
    <t xml:space="preserve">Niag-Leidy</t>
  </si>
  <si>
    <t xml:space="preserve">Leidy - Z6</t>
  </si>
  <si>
    <t xml:space="preserve">Variable 6-6</t>
  </si>
  <si>
    <t xml:space="preserve">CGLF</t>
  </si>
  <si>
    <t xml:space="preserve">On-Ml FT</t>
  </si>
  <si>
    <t xml:space="preserve">ON-Ml IT</t>
  </si>
  <si>
    <t xml:space="preserve">Ml-Leach FT</t>
  </si>
  <si>
    <t xml:space="preserve">Trading for Gas Day 6th</t>
  </si>
  <si>
    <t xml:space="preserve">Ela-Stx</t>
  </si>
  <si>
    <t xml:space="preserve">Wla Stx</t>
  </si>
  <si>
    <t xml:space="preserve">Ela Wla</t>
  </si>
  <si>
    <t xml:space="preserve">IT</t>
  </si>
  <si>
    <t xml:space="preserve">Purchases</t>
  </si>
  <si>
    <t xml:space="preserve">Vari</t>
  </si>
  <si>
    <t xml:space="preserve">Amt</t>
  </si>
  <si>
    <t xml:space="preserve">Transport</t>
  </si>
  <si>
    <t xml:space="preserve">Ela QT</t>
  </si>
  <si>
    <t xml:space="preserve">Ela </t>
  </si>
  <si>
    <t xml:space="preserve">Ela DD</t>
  </si>
  <si>
    <t xml:space="preserve">Wla </t>
  </si>
  <si>
    <t xml:space="preserve">Wla Imbalance</t>
  </si>
  <si>
    <t xml:space="preserve">Stx Baseload 5000</t>
  </si>
  <si>
    <t xml:space="preserve">Stx Baseload 485</t>
  </si>
  <si>
    <t xml:space="preserve">Stx QT</t>
  </si>
  <si>
    <t xml:space="preserve">Etx QT</t>
  </si>
  <si>
    <t xml:space="preserve">Etx Onyx</t>
  </si>
  <si>
    <t xml:space="preserve">M1 QT</t>
  </si>
  <si>
    <t xml:space="preserve">Enterfin Sale</t>
  </si>
  <si>
    <t xml:space="preserve">Niagara Baseload</t>
  </si>
  <si>
    <t xml:space="preserve">Niagara #822746</t>
  </si>
  <si>
    <t xml:space="preserve">Leidy Baseload</t>
  </si>
  <si>
    <t xml:space="preserve">Leidy fuel Baseload</t>
  </si>
  <si>
    <t xml:space="preserve">Z6 NY Baseload</t>
  </si>
  <si>
    <t xml:space="preserve">Z6 NY</t>
  </si>
  <si>
    <t xml:space="preserve">Z6 Fuel</t>
  </si>
  <si>
    <t xml:space="preserve">Nat Fuel fuel</t>
  </si>
  <si>
    <t xml:space="preserve">Young Women supply</t>
  </si>
  <si>
    <t xml:space="preserve">Tot Purch</t>
  </si>
  <si>
    <t xml:space="preserve">Sales</t>
  </si>
  <si>
    <t xml:space="preserve">Ela to Wla #816520,  Wla to Z3 #816387,  Ragley to St 65 822129</t>
  </si>
  <si>
    <t xml:space="preserve">Trco Ragley  St 65 GD</t>
  </si>
  <si>
    <t xml:space="preserve">VNG-Rag</t>
  </si>
  <si>
    <t xml:space="preserve">Tetco to St 65</t>
  </si>
  <si>
    <t xml:space="preserve">St 65 QT</t>
  </si>
  <si>
    <t xml:space="preserve">St 66</t>
  </si>
  <si>
    <t xml:space="preserve">St 67</t>
  </si>
  <si>
    <t xml:space="preserve">Tetco to TGT deal tickets  657194 (Iowa)  657223 (Evaqngeline) Ela to Wla Citygate 778220</t>
  </si>
  <si>
    <t xml:space="preserve">TGT</t>
  </si>
  <si>
    <t xml:space="preserve">TGT </t>
  </si>
  <si>
    <t xml:space="preserve">Wla Delivered</t>
  </si>
  <si>
    <t xml:space="preserve">Total WLA Deliveries</t>
  </si>
  <si>
    <t xml:space="preserve">Deal #</t>
  </si>
  <si>
    <t xml:space="preserve">Stx FT / Fuel</t>
  </si>
  <si>
    <t xml:space="preserve">Wla FT / Fuel</t>
  </si>
  <si>
    <t xml:space="preserve">Ela FT / Fuel</t>
  </si>
  <si>
    <t xml:space="preserve">Etx FT / Fuel</t>
  </si>
  <si>
    <t xml:space="preserve">M2  Dominion Baseload</t>
  </si>
  <si>
    <t xml:space="preserve">M2  Im TCO</t>
  </si>
  <si>
    <t xml:space="preserve">Total M2 Deliveries</t>
  </si>
  <si>
    <t xml:space="preserve">Ela FT / Fuel baseload 10000</t>
  </si>
  <si>
    <t xml:space="preserve">M1 FT / Fuel</t>
  </si>
  <si>
    <t xml:space="preserve">Stx IT / Fuel</t>
  </si>
  <si>
    <t xml:space="preserve">Wla IT / Fuel</t>
  </si>
  <si>
    <t xml:space="preserve">Ela IT / Fuel</t>
  </si>
  <si>
    <t xml:space="preserve">Etx IT / Fuel</t>
  </si>
  <si>
    <t xml:space="preserve">M3 Im New York Baseload</t>
  </si>
  <si>
    <t xml:space="preserve">M3  Baseload</t>
  </si>
  <si>
    <t xml:space="preserve">M3  </t>
  </si>
  <si>
    <t xml:space="preserve">M3</t>
  </si>
  <si>
    <t xml:space="preserve">M3 </t>
  </si>
  <si>
    <t xml:space="preserve">Total M3 Deliveries</t>
  </si>
  <si>
    <t xml:space="preserve">Stx FT / Fuel baseload 5000</t>
  </si>
  <si>
    <t xml:space="preserve">Stx FT Strg</t>
  </si>
  <si>
    <t xml:space="preserve">Wla FT Strg</t>
  </si>
  <si>
    <t xml:space="preserve">Ela FT Strg</t>
  </si>
  <si>
    <t xml:space="preserve">Etx FT Strg</t>
  </si>
  <si>
    <t xml:space="preserve">M1 FT Strg</t>
  </si>
  <si>
    <t xml:space="preserve">Transport and Fuel</t>
  </si>
  <si>
    <t xml:space="preserve">M3 balance</t>
  </si>
  <si>
    <t xml:space="preserve">Tot Sales</t>
  </si>
  <si>
    <t xml:space="preserve">Net</t>
  </si>
  <si>
    <t xml:space="preserve">Daily Demand</t>
  </si>
  <si>
    <t xml:space="preserve">Net Physical</t>
  </si>
  <si>
    <t xml:space="preserve">Total Demand</t>
  </si>
  <si>
    <t xml:space="preserve">Tetco</t>
  </si>
  <si>
    <t xml:space="preserve">Trading for Gas Day 5th</t>
  </si>
  <si>
    <t xml:space="preserve">Trading for Gas Day 2nd</t>
  </si>
  <si>
    <t xml:space="preserve">VNG-Ragley</t>
  </si>
  <si>
    <t xml:space="preserve">Wla QT</t>
  </si>
  <si>
    <t xml:space="preserve">Etx</t>
  </si>
  <si>
    <t xml:space="preserve">Trading for Gas Day 1st</t>
  </si>
  <si>
    <t xml:space="preserve">Ela cashout</t>
  </si>
  <si>
    <t xml:space="preserve">Ela Onyxx</t>
  </si>
  <si>
    <t xml:space="preserve">Can move sale to Wla or Ela</t>
  </si>
  <si>
    <t xml:space="preserve">Date</t>
  </si>
  <si>
    <t xml:space="preserve">Z1 GD + .06</t>
  </si>
  <si>
    <t xml:space="preserve">Z2 GD + .02</t>
  </si>
  <si>
    <t xml:space="preserve">Z3 GD</t>
  </si>
  <si>
    <t xml:space="preserve">Z6 NY GD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</si>
</sst>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_(\$* #,##0.00_);_(\$* \(#,##0.00\);_(\$* \-??_);_(@_)"/>
    <numFmt numFmtId="166" formatCode="_(\$* #,##0.0000_);_(\$* \(#,##0.0000\);_(\$* \-??_);_(@_)"/>
    <numFmt numFmtId="167" formatCode="\$#,##0.000_);[RED]&quot;($&quot;#,##0.000\)"/>
    <numFmt numFmtId="168" formatCode="\$#,##0.0000_);[RED]&quot;($&quot;#,##0.0000\)"/>
    <numFmt numFmtId="169" formatCode="0.0000%"/>
    <numFmt numFmtId="170" formatCode="\$#,##0.00_);[RED]&quot;($&quot;#,##0.00\)"/>
    <numFmt numFmtId="171" formatCode="_(* #,##0.00_);_(* \(#,##0.00\);_(* \-??_);_(@_)"/>
    <numFmt numFmtId="172" formatCode="0.0000"/>
    <numFmt numFmtId="173" formatCode="\$#,##0_);[RED]&quot;($&quot;#,##0\)"/>
    <numFmt numFmtId="174" formatCode="_(* #,##0_);_(* \(#,##0\);_(* \-??_);_(@_)"/>
    <numFmt numFmtId="175" formatCode="_(* #,##0.00000_);_(* \(#,##0.00000\);_(* \-??_);_(@_)"/>
    <numFmt numFmtId="176" formatCode="_(\$* #,##0.000_);_(\$* \(#,##0.000\);_(\$* \-??_);_(@_)"/>
    <numFmt numFmtId="177" formatCode="0%"/>
    <numFmt numFmtId="178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99CC"/>
        <bgColor rgb="FFFF8080"/>
      </patternFill>
    </fill>
    <fill>
      <patternFill patternType="solid">
        <fgColor rgb="FFFFCC99"/>
        <bgColor rgb="FFC0C0C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7" fontId="0" fillId="0" borderId="0" applyFont="true" applyBorder="false" applyAlignment="false" applyProtection="false"/>
  </cellStyleXfs>
  <cellXfs count="1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1" fillId="2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2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1" fillId="2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5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6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6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7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7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E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C3" s="0" t="n">
        <v>1216</v>
      </c>
      <c r="D3" s="0" t="n">
        <v>1200</v>
      </c>
    </row>
    <row r="5" customFormat="false" ht="12.75" hidden="false" customHeight="false" outlineLevel="0" collapsed="false">
      <c r="B5" s="0" t="n">
        <v>12181</v>
      </c>
      <c r="C5" s="1" t="n">
        <v>1695</v>
      </c>
      <c r="D5" s="1" t="n">
        <v>1673</v>
      </c>
    </row>
    <row r="6" customFormat="false" ht="12.75" hidden="false" customHeight="false" outlineLevel="0" collapsed="false">
      <c r="C6" s="1" t="n">
        <v>67</v>
      </c>
      <c r="D6" s="1" t="n">
        <v>66</v>
      </c>
    </row>
    <row r="7" customFormat="false" ht="12.75" hidden="false" customHeight="false" outlineLevel="0" collapsed="false">
      <c r="C7" s="0" t="n">
        <v>507</v>
      </c>
      <c r="D7" s="0" t="n">
        <v>500</v>
      </c>
    </row>
    <row r="8" customFormat="false" ht="12.75" hidden="false" customHeight="false" outlineLevel="0" collapsed="false">
      <c r="C8" s="0" t="n">
        <v>253</v>
      </c>
      <c r="D8" s="0" t="n">
        <v>250</v>
      </c>
    </row>
    <row r="9" customFormat="false" ht="12.75" hidden="false" customHeight="false" outlineLevel="0" collapsed="false">
      <c r="C9" s="0" t="n">
        <v>28</v>
      </c>
      <c r="D9" s="0" t="n">
        <v>28</v>
      </c>
    </row>
    <row r="10" customFormat="false" ht="12.75" hidden="false" customHeight="false" outlineLevel="0" collapsed="false">
      <c r="C10" s="0" t="n">
        <v>30</v>
      </c>
      <c r="D10" s="0" t="n">
        <v>30</v>
      </c>
    </row>
    <row r="11" customFormat="false" ht="12.75" hidden="false" customHeight="false" outlineLevel="0" collapsed="false">
      <c r="C11" s="0" t="n">
        <f aca="false">SUM(C5:C10)</f>
        <v>2580</v>
      </c>
      <c r="D11" s="0" t="n">
        <f aca="false">SUM(D5:D10)</f>
        <v>2547</v>
      </c>
    </row>
    <row r="14" customFormat="false" ht="12.75" hidden="false" customHeight="false" outlineLevel="0" collapsed="false">
      <c r="B14" s="0" t="n">
        <v>20871</v>
      </c>
      <c r="C14" s="0" t="n">
        <v>1896</v>
      </c>
      <c r="D14" s="0" t="n">
        <v>1871</v>
      </c>
      <c r="E14" s="0" t="n">
        <f aca="false">+C14-D14</f>
        <v>25</v>
      </c>
    </row>
    <row r="15" customFormat="false" ht="12.75" hidden="false" customHeight="false" outlineLevel="0" collapsed="false">
      <c r="C15" s="0" t="n">
        <v>478</v>
      </c>
      <c r="D15" s="0" t="n">
        <v>472</v>
      </c>
    </row>
    <row r="16" customFormat="false" ht="12.75" hidden="false" customHeight="false" outlineLevel="0" collapsed="false">
      <c r="C16" s="0" t="n">
        <v>728</v>
      </c>
      <c r="D16" s="0" t="n">
        <v>718</v>
      </c>
    </row>
    <row r="17" customFormat="false" ht="12.75" hidden="false" customHeight="false" outlineLevel="0" collapsed="false">
      <c r="C17" s="0" t="n">
        <v>590</v>
      </c>
      <c r="D17" s="0" t="n">
        <v>582</v>
      </c>
    </row>
    <row r="18" customFormat="false" ht="12.75" hidden="false" customHeight="false" outlineLevel="0" collapsed="false">
      <c r="C18" s="0" t="n">
        <v>1308</v>
      </c>
      <c r="D18" s="0" t="n">
        <v>1291</v>
      </c>
    </row>
    <row r="19" customFormat="false" ht="12.75" hidden="false" customHeight="false" outlineLevel="0" collapsed="false">
      <c r="C19" s="0" t="n">
        <f aca="false">SUM(C14:C18)</f>
        <v>5000</v>
      </c>
      <c r="D19" s="0" t="n">
        <f aca="false">SUM(D14:D18)</f>
        <v>4934</v>
      </c>
    </row>
    <row r="22" customFormat="false" ht="12.75" hidden="false" customHeight="false" outlineLevel="0" collapsed="false">
      <c r="C22" s="0" t="n">
        <f aca="false">+C19+C11+C3</f>
        <v>8796</v>
      </c>
      <c r="D22" s="0" t="n">
        <f aca="false">+D19+D11+D3</f>
        <v>8681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A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3.56"/>
  </cols>
  <sheetData>
    <row r="3" customFormat="false" ht="12.75" hidden="false" customHeight="false" outlineLevel="0" collapsed="false">
      <c r="B3" s="0" t="s">
        <v>238</v>
      </c>
      <c r="C3" s="0" t="n">
        <v>1</v>
      </c>
      <c r="D3" s="0" t="n">
        <f aca="false">+C3+1</f>
        <v>2</v>
      </c>
      <c r="E3" s="0" t="n">
        <f aca="false">+D3+1</f>
        <v>3</v>
      </c>
      <c r="F3" s="0" t="n">
        <f aca="false">+E3+1</f>
        <v>4</v>
      </c>
      <c r="G3" s="0" t="n">
        <f aca="false">+F3+1</f>
        <v>5</v>
      </c>
      <c r="H3" s="0" t="n">
        <f aca="false">+G3+1</f>
        <v>6</v>
      </c>
      <c r="I3" s="0" t="n">
        <f aca="false">+H3+1</f>
        <v>7</v>
      </c>
      <c r="J3" s="0" t="n">
        <f aca="false">+I3+1</f>
        <v>8</v>
      </c>
      <c r="K3" s="0" t="n">
        <f aca="false">+J3+1</f>
        <v>9</v>
      </c>
      <c r="L3" s="0" t="n">
        <f aca="false">+K3+1</f>
        <v>10</v>
      </c>
      <c r="M3" s="0" t="n">
        <f aca="false">+L3+1</f>
        <v>11</v>
      </c>
      <c r="N3" s="0" t="n">
        <f aca="false">+M3+1</f>
        <v>12</v>
      </c>
      <c r="O3" s="0" t="n">
        <f aca="false">+N3+1</f>
        <v>13</v>
      </c>
      <c r="P3" s="0" t="n">
        <f aca="false">+O3+1</f>
        <v>14</v>
      </c>
      <c r="Q3" s="0" t="n">
        <f aca="false">+P3+1</f>
        <v>15</v>
      </c>
      <c r="R3" s="0" t="n">
        <f aca="false">+Q3+1</f>
        <v>16</v>
      </c>
      <c r="S3" s="0" t="n">
        <f aca="false">+R3+1</f>
        <v>17</v>
      </c>
      <c r="T3" s="0" t="n">
        <f aca="false">+S3+1</f>
        <v>18</v>
      </c>
      <c r="U3" s="0" t="n">
        <f aca="false">+T3+1</f>
        <v>19</v>
      </c>
      <c r="V3" s="0" t="n">
        <f aca="false">+U3+1</f>
        <v>20</v>
      </c>
      <c r="W3" s="0" t="n">
        <f aca="false">+V3+1</f>
        <v>21</v>
      </c>
      <c r="X3" s="0" t="n">
        <f aca="false">+W3+1</f>
        <v>22</v>
      </c>
      <c r="Y3" s="0" t="n">
        <f aca="false">+X3+1</f>
        <v>23</v>
      </c>
      <c r="Z3" s="0" t="n">
        <f aca="false">+Y3+1</f>
        <v>24</v>
      </c>
      <c r="AA3" s="0" t="n">
        <f aca="false">+Z3+1</f>
        <v>25</v>
      </c>
      <c r="AB3" s="0" t="n">
        <f aca="false">+AA3+1</f>
        <v>26</v>
      </c>
      <c r="AC3" s="0" t="n">
        <f aca="false">+AB3+1</f>
        <v>27</v>
      </c>
      <c r="AD3" s="0" t="n">
        <f aca="false">+AC3+1</f>
        <v>28</v>
      </c>
      <c r="AE3" s="0" t="n">
        <f aca="false">+AD3+1</f>
        <v>29</v>
      </c>
      <c r="AF3" s="0" t="n">
        <f aca="false">+AE3+1</f>
        <v>30</v>
      </c>
      <c r="AG3" s="0" t="n">
        <f aca="false">+AF3+1</f>
        <v>31</v>
      </c>
    </row>
    <row r="4" customFormat="false" ht="12.75" hidden="false" customHeight="false" outlineLevel="0" collapsed="false">
      <c r="A4" s="0" t="s">
        <v>239</v>
      </c>
    </row>
    <row r="5" customFormat="false" ht="12.75" hidden="false" customHeight="false" outlineLevel="0" collapsed="false">
      <c r="A5" s="0" t="s">
        <v>240</v>
      </c>
    </row>
    <row r="6" customFormat="false" ht="12.75" hidden="false" customHeight="false" outlineLevel="0" collapsed="false">
      <c r="A6" s="0" t="s">
        <v>241</v>
      </c>
    </row>
    <row r="9" customFormat="false" ht="12.75" hidden="false" customHeight="false" outlineLevel="0" collapsed="false">
      <c r="A9" s="0" t="s">
        <v>242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10.85"/>
    <col collapsed="false" customWidth="true" hidden="false" outlineLevel="0" max="6" min="6" style="0" width="4.28"/>
  </cols>
  <sheetData>
    <row r="3" customFormat="false" ht="12.75" hidden="false" customHeight="false" outlineLevel="0" collapsed="false">
      <c r="E3" s="0" t="s">
        <v>0</v>
      </c>
    </row>
    <row r="4" customFormat="false" ht="12.75" hidden="false" customHeight="false" outlineLevel="0" collapsed="false">
      <c r="D4" s="2"/>
      <c r="E4" s="2" t="n">
        <f aca="false">+D4</f>
        <v>0</v>
      </c>
    </row>
    <row r="5" customFormat="false" ht="12.75" hidden="false" customHeight="false" outlineLevel="0" collapsed="false">
      <c r="A5" s="0" t="n">
        <v>1</v>
      </c>
      <c r="D5" s="2"/>
      <c r="E5" s="2"/>
    </row>
    <row r="6" customFormat="false" ht="12.75" hidden="false" customHeight="false" outlineLevel="0" collapsed="false">
      <c r="C6" s="0" t="s">
        <v>1</v>
      </c>
      <c r="D6" s="2" t="n">
        <f aca="false">3.738+0.23</f>
        <v>3.968</v>
      </c>
      <c r="E6" s="2" t="n">
        <f aca="false">+D6</f>
        <v>3.968</v>
      </c>
    </row>
    <row r="7" customFormat="false" ht="12.75" hidden="false" customHeight="false" outlineLevel="0" collapsed="false">
      <c r="C7" s="3"/>
      <c r="D7" s="3"/>
      <c r="E7" s="3"/>
      <c r="F7" s="3"/>
    </row>
    <row r="8" customFormat="false" ht="12.75" hidden="false" customHeight="false" outlineLevel="0" collapsed="false">
      <c r="C8" s="4" t="s">
        <v>2</v>
      </c>
      <c r="D8" s="5" t="s">
        <v>3</v>
      </c>
      <c r="E8" s="5" t="s">
        <v>3</v>
      </c>
      <c r="F8" s="3"/>
    </row>
    <row r="9" customFormat="false" ht="12.75" hidden="false" customHeight="false" outlineLevel="0" collapsed="false">
      <c r="C9" s="6" t="s">
        <v>4</v>
      </c>
      <c r="D9" s="7" t="n">
        <v>0.0013</v>
      </c>
      <c r="E9" s="7" t="n">
        <v>0.0013</v>
      </c>
      <c r="F9" s="3"/>
    </row>
    <row r="10" customFormat="false" ht="12.75" hidden="false" customHeight="false" outlineLevel="0" collapsed="false">
      <c r="C10" s="6" t="s">
        <v>5</v>
      </c>
      <c r="D10" s="7" t="n">
        <f aca="false">0.0022</f>
        <v>0.0022</v>
      </c>
      <c r="E10" s="7" t="n">
        <f aca="false">0.0022</f>
        <v>0.0022</v>
      </c>
      <c r="F10" s="3"/>
    </row>
    <row r="11" customFormat="false" ht="12.75" hidden="false" customHeight="false" outlineLevel="0" collapsed="false">
      <c r="C11" s="8" t="n">
        <v>0.02</v>
      </c>
      <c r="D11" s="9" t="n">
        <f aca="false">+D6/(1-C11)-D6</f>
        <v>0.0809795918367344</v>
      </c>
      <c r="E11" s="9" t="n">
        <f aca="false">+E6/(1-$D11)-E6</f>
        <v>0.349640788772427</v>
      </c>
      <c r="F11" s="3"/>
    </row>
    <row r="12" customFormat="false" ht="12.75" hidden="false" customHeight="false" outlineLevel="0" collapsed="false">
      <c r="C12" s="10"/>
      <c r="D12" s="11" t="n">
        <f aca="false">SUM(D9:D11)</f>
        <v>0.0844795918367344</v>
      </c>
      <c r="E12" s="11" t="n">
        <f aca="false">SUM(E9:E11)</f>
        <v>0.353140788772427</v>
      </c>
      <c r="F12" s="3"/>
    </row>
    <row r="13" customFormat="false" ht="12.75" hidden="false" customHeight="false" outlineLevel="0" collapsed="false">
      <c r="C13" s="3"/>
      <c r="D13" s="3"/>
      <c r="E13" s="3"/>
      <c r="F13" s="3"/>
    </row>
    <row r="14" customFormat="false" ht="12.75" hidden="false" customHeight="false" outlineLevel="0" collapsed="false">
      <c r="C14" s="3"/>
      <c r="D14" s="12" t="n">
        <f aca="false">+D6+D12</f>
        <v>4.05247959183673</v>
      </c>
      <c r="E14" s="12" t="n">
        <f aca="false">+E6+E12</f>
        <v>4.32114078877243</v>
      </c>
      <c r="F14" s="3"/>
    </row>
    <row r="15" customFormat="false" ht="12.75" hidden="false" customHeight="false" outlineLevel="0" collapsed="false">
      <c r="C15" s="3"/>
      <c r="D15" s="3" t="s">
        <v>6</v>
      </c>
      <c r="E15" s="3" t="s">
        <v>7</v>
      </c>
      <c r="F15" s="3"/>
    </row>
    <row r="16" customFormat="false" ht="12.75" hidden="false" customHeight="false" outlineLevel="0" collapsed="false">
      <c r="C16" s="6" t="s">
        <v>4</v>
      </c>
      <c r="D16" s="7" t="n">
        <v>0.0076</v>
      </c>
      <c r="E16" s="7" t="n">
        <v>0.0078</v>
      </c>
    </row>
    <row r="17" customFormat="false" ht="12.75" hidden="false" customHeight="false" outlineLevel="0" collapsed="false">
      <c r="C17" s="6" t="s">
        <v>5</v>
      </c>
      <c r="D17" s="7" t="n">
        <f aca="false">0.0022+0.0097</f>
        <v>0.0119</v>
      </c>
      <c r="E17" s="7" t="n">
        <f aca="false">0.0022+0.007</f>
        <v>0.0092</v>
      </c>
    </row>
    <row r="18" customFormat="false" ht="12.75" hidden="false" customHeight="false" outlineLevel="0" collapsed="false">
      <c r="C18" s="8" t="n">
        <v>0.0081</v>
      </c>
      <c r="D18" s="9" t="n">
        <f aca="false">+D14/(1-C18)-D14</f>
        <v>0.0330931391207558</v>
      </c>
      <c r="E18" s="9" t="n">
        <f aca="false">+E14/(1-$D18)-E14</f>
        <v>0.147894403348409</v>
      </c>
    </row>
    <row r="19" customFormat="false" ht="12.75" hidden="false" customHeight="false" outlineLevel="0" collapsed="false">
      <c r="C19" s="10"/>
      <c r="D19" s="11" t="n">
        <f aca="false">SUM(D16:D18)</f>
        <v>0.0525931391207559</v>
      </c>
      <c r="E19" s="11" t="n">
        <f aca="false">SUM(E16:E18)</f>
        <v>0.164894403348409</v>
      </c>
    </row>
    <row r="21" customFormat="false" ht="12.75" hidden="false" customHeight="false" outlineLevel="0" collapsed="false">
      <c r="D21" s="13" t="n">
        <f aca="false">+D14+D19</f>
        <v>4.10507273095749</v>
      </c>
      <c r="E21" s="13" t="n">
        <f aca="false">+E14+E19</f>
        <v>4.48603519212084</v>
      </c>
    </row>
    <row r="23" customFormat="false" ht="12.75" hidden="false" customHeight="false" outlineLevel="0" collapsed="false">
      <c r="C23" s="0" t="s">
        <v>8</v>
      </c>
      <c r="D23" s="14" t="n">
        <v>0.425</v>
      </c>
      <c r="E23" s="14" t="n">
        <v>0.425</v>
      </c>
    </row>
    <row r="24" customFormat="false" ht="12.75" hidden="false" customHeight="false" outlineLevel="0" collapsed="false">
      <c r="C24" s="0" t="s">
        <v>9</v>
      </c>
      <c r="D24" s="15" t="n">
        <f aca="false">+D23-D5</f>
        <v>0.425</v>
      </c>
      <c r="E24" s="15" t="n">
        <f aca="false">+E23-E5</f>
        <v>0.425</v>
      </c>
    </row>
    <row r="25" customFormat="false" ht="12.75" hidden="false" customHeight="false" outlineLevel="0" collapsed="false">
      <c r="C25" s="0" t="s">
        <v>10</v>
      </c>
      <c r="D25" s="16" t="n">
        <f aca="false">+D12+D19</f>
        <v>0.13707273095749</v>
      </c>
      <c r="E25" s="16" t="n">
        <f aca="false">+E12+E19</f>
        <v>0.518035192120836</v>
      </c>
    </row>
    <row r="26" customFormat="false" ht="12.75" hidden="false" customHeight="false" outlineLevel="0" collapsed="false">
      <c r="D26" s="13" t="n">
        <f aca="false">+D24-D25</f>
        <v>0.28792726904251</v>
      </c>
      <c r="E26" s="13" t="n">
        <f aca="false">+E24-E25</f>
        <v>-0.0930351921208357</v>
      </c>
    </row>
    <row r="27" customFormat="false" ht="12.75" hidden="false" customHeight="false" outlineLevel="0" collapsed="false">
      <c r="C27" s="0" t="s">
        <v>11</v>
      </c>
      <c r="D27" s="17" t="n">
        <f aca="false">3.2903/30</f>
        <v>0.109676666666667</v>
      </c>
      <c r="E27" s="17" t="n">
        <f aca="false">3.2903/30</f>
        <v>0.109676666666667</v>
      </c>
      <c r="F27" s="17"/>
    </row>
    <row r="28" customFormat="false" ht="12.75" hidden="false" customHeight="false" outlineLevel="0" collapsed="false">
      <c r="C28" s="0" t="s">
        <v>12</v>
      </c>
      <c r="D28" s="13" t="n">
        <f aca="false">+D26-D27</f>
        <v>0.178250602375843</v>
      </c>
      <c r="E28" s="13" t="n">
        <f aca="false">+E26-E27</f>
        <v>-0.202711858787502</v>
      </c>
    </row>
    <row r="31" customFormat="false" ht="12.75" hidden="false" customHeight="false" outlineLevel="0" collapsed="false">
      <c r="C31" s="0" t="s">
        <v>13</v>
      </c>
      <c r="D31" s="0" t="n">
        <v>2100</v>
      </c>
      <c r="E31" s="0" t="n">
        <v>3900</v>
      </c>
    </row>
    <row r="33" customFormat="false" ht="12.75" hidden="false" customHeight="false" outlineLevel="0" collapsed="false">
      <c r="D33" s="13" t="n">
        <f aca="false">+D31*D28</f>
        <v>374.32626498927</v>
      </c>
      <c r="E33" s="13" t="n">
        <f aca="false">+E31*E28</f>
        <v>-790.576249271259</v>
      </c>
    </row>
    <row r="34" customFormat="false" ht="12.75" hidden="false" customHeight="false" outlineLevel="0" collapsed="false">
      <c r="C34" s="0" t="s">
        <v>14</v>
      </c>
      <c r="D34" s="0" t="n">
        <v>30</v>
      </c>
      <c r="E34" s="0" t="n">
        <f aca="false">+D34</f>
        <v>30</v>
      </c>
    </row>
    <row r="35" customFormat="false" ht="12.75" hidden="false" customHeight="false" outlineLevel="0" collapsed="false">
      <c r="C35" s="18" t="s">
        <v>15</v>
      </c>
      <c r="D35" s="19" t="n">
        <f aca="false">+D34*D33</f>
        <v>11229.7879496781</v>
      </c>
      <c r="E35" s="19" t="n">
        <f aca="false">+E34*E33</f>
        <v>-23717.2874781378</v>
      </c>
      <c r="F35" s="19"/>
    </row>
    <row r="37" customFormat="false" ht="12.75" hidden="false" customHeight="false" outlineLevel="0" collapsed="false">
      <c r="D37" s="19" t="n">
        <f aca="false">SUM(D35:E35)</f>
        <v>-12487.4995284597</v>
      </c>
    </row>
    <row r="39" customFormat="false" ht="12.75" hidden="false" customHeight="false" outlineLevel="0" collapsed="false">
      <c r="D39" s="19" t="n">
        <f aca="false">SUM(D37:Q37)</f>
        <v>-12487.4995284597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3:R39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37" activeCellId="0" sqref="E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5" style="0" width="10.85"/>
    <col collapsed="false" customWidth="true" hidden="false" outlineLevel="0" max="7" min="7" style="0" width="4.28"/>
    <col collapsed="false" customWidth="true" hidden="false" outlineLevel="0" max="10" min="8" style="0" width="10.85"/>
    <col collapsed="false" customWidth="true" hidden="false" outlineLevel="0" max="11" min="11" style="0" width="4.28"/>
    <col collapsed="false" customWidth="true" hidden="false" outlineLevel="0" max="14" min="12" style="0" width="10.85"/>
    <col collapsed="false" customWidth="true" hidden="false" outlineLevel="0" max="15" min="15" style="0" width="4.28"/>
    <col collapsed="false" customWidth="true" hidden="false" outlineLevel="0" max="18" min="16" style="0" width="10.85"/>
  </cols>
  <sheetData>
    <row r="3" customFormat="false" ht="12.75" hidden="false" customHeight="false" outlineLevel="0" collapsed="false">
      <c r="E3" s="0" t="s">
        <v>0</v>
      </c>
      <c r="F3" s="0" t="s">
        <v>0</v>
      </c>
      <c r="H3" s="0" t="s">
        <v>16</v>
      </c>
      <c r="I3" s="0" t="s">
        <v>16</v>
      </c>
      <c r="J3" s="0" t="s">
        <v>16</v>
      </c>
      <c r="L3" s="0" t="s">
        <v>17</v>
      </c>
      <c r="M3" s="0" t="str">
        <f aca="false">+L3</f>
        <v>August</v>
      </c>
      <c r="N3" s="0" t="str">
        <f aca="false">+L3</f>
        <v>August</v>
      </c>
      <c r="P3" s="0" t="s">
        <v>18</v>
      </c>
      <c r="Q3" s="0" t="str">
        <f aca="false">+P3</f>
        <v>Sep</v>
      </c>
      <c r="R3" s="0" t="str">
        <f aca="false">+P3</f>
        <v>Sep</v>
      </c>
    </row>
    <row r="4" customFormat="false" ht="12.75" hidden="false" customHeight="false" outlineLevel="0" collapsed="false">
      <c r="C4" s="0" t="s">
        <v>19</v>
      </c>
      <c r="E4" s="2" t="n">
        <v>4.07</v>
      </c>
      <c r="F4" s="2" t="n">
        <f aca="false">+E4</f>
        <v>4.07</v>
      </c>
      <c r="H4" s="2" t="n">
        <v>3.93</v>
      </c>
      <c r="I4" s="2" t="n">
        <f aca="false">+H4</f>
        <v>3.93</v>
      </c>
      <c r="J4" s="2" t="n">
        <f aca="false">+I4</f>
        <v>3.93</v>
      </c>
      <c r="L4" s="2" t="n">
        <v>4</v>
      </c>
      <c r="M4" s="2" t="n">
        <f aca="false">+L4</f>
        <v>4</v>
      </c>
      <c r="N4" s="2" t="n">
        <f aca="false">+M4</f>
        <v>4</v>
      </c>
      <c r="P4" s="2" t="n">
        <v>4.05</v>
      </c>
      <c r="Q4" s="2" t="n">
        <f aca="false">+P4</f>
        <v>4.05</v>
      </c>
      <c r="R4" s="2" t="n">
        <f aca="false">+Q4</f>
        <v>4.05</v>
      </c>
    </row>
    <row r="5" customFormat="false" ht="12.75" hidden="false" customHeight="false" outlineLevel="0" collapsed="false">
      <c r="C5" s="0" t="s">
        <v>20</v>
      </c>
      <c r="E5" s="2" t="n">
        <v>0.23</v>
      </c>
      <c r="F5" s="2" t="n">
        <v>0.23</v>
      </c>
      <c r="H5" s="2" t="n">
        <v>0.205</v>
      </c>
      <c r="I5" s="2" t="n">
        <v>0.205</v>
      </c>
      <c r="J5" s="2" t="n">
        <v>0.275</v>
      </c>
      <c r="L5" s="2" t="n">
        <v>0.205</v>
      </c>
      <c r="M5" s="2" t="n">
        <v>0.205</v>
      </c>
      <c r="N5" s="2" t="n">
        <v>0.275</v>
      </c>
      <c r="P5" s="2" t="n">
        <v>0.205</v>
      </c>
      <c r="Q5" s="2" t="n">
        <v>0.205</v>
      </c>
      <c r="R5" s="2" t="n">
        <v>0.275</v>
      </c>
    </row>
    <row r="6" customFormat="false" ht="12.75" hidden="false" customHeight="false" outlineLevel="0" collapsed="false">
      <c r="E6" s="2" t="n">
        <f aca="false">SUM(E4:E5)</f>
        <v>4.3</v>
      </c>
      <c r="F6" s="2" t="n">
        <f aca="false">SUM(F4:F5)</f>
        <v>4.3</v>
      </c>
      <c r="H6" s="2" t="n">
        <f aca="false">SUM(H4:H5)</f>
        <v>4.135</v>
      </c>
      <c r="I6" s="2" t="n">
        <f aca="false">SUM(I4:I5)</f>
        <v>4.135</v>
      </c>
      <c r="J6" s="2" t="n">
        <f aca="false">SUM(J4:J5)</f>
        <v>4.205</v>
      </c>
      <c r="L6" s="2" t="n">
        <f aca="false">SUM(L4:L5)</f>
        <v>4.205</v>
      </c>
      <c r="M6" s="2" t="n">
        <f aca="false">SUM(M4:M5)</f>
        <v>4.205</v>
      </c>
      <c r="N6" s="2" t="n">
        <f aca="false">SUM(N4:N5)</f>
        <v>4.275</v>
      </c>
      <c r="P6" s="2" t="n">
        <f aca="false">SUM(P4:P5)</f>
        <v>4.255</v>
      </c>
      <c r="Q6" s="2" t="n">
        <f aca="false">SUM(Q4:Q5)</f>
        <v>4.255</v>
      </c>
      <c r="R6" s="2" t="n">
        <f aca="false">SUM(R4:R5)</f>
        <v>4.325</v>
      </c>
    </row>
    <row r="7" customFormat="false" ht="12.75" hidden="false" customHeight="false" outlineLevel="0" collapsed="false"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customFormat="false" ht="12.75" hidden="false" customHeight="false" outlineLevel="0" collapsed="false">
      <c r="C8" s="3"/>
      <c r="D8" s="4" t="s">
        <v>2</v>
      </c>
      <c r="E8" s="5" t="s">
        <v>3</v>
      </c>
      <c r="F8" s="5" t="s">
        <v>3</v>
      </c>
      <c r="G8" s="3"/>
      <c r="H8" s="5" t="s">
        <v>3</v>
      </c>
      <c r="I8" s="5" t="s">
        <v>3</v>
      </c>
      <c r="J8" s="5" t="s">
        <v>21</v>
      </c>
      <c r="K8" s="3"/>
      <c r="L8" s="5" t="s">
        <v>3</v>
      </c>
      <c r="M8" s="5" t="s">
        <v>3</v>
      </c>
      <c r="N8" s="5" t="s">
        <v>21</v>
      </c>
      <c r="O8" s="3"/>
      <c r="P8" s="5" t="s">
        <v>3</v>
      </c>
      <c r="Q8" s="5" t="s">
        <v>3</v>
      </c>
      <c r="R8" s="5" t="s">
        <v>21</v>
      </c>
    </row>
    <row r="9" customFormat="false" ht="12.75" hidden="false" customHeight="false" outlineLevel="0" collapsed="false">
      <c r="C9" s="3"/>
      <c r="D9" s="6" t="s">
        <v>4</v>
      </c>
      <c r="E9" s="7" t="n">
        <v>0.0013</v>
      </c>
      <c r="F9" s="7" t="n">
        <v>0.0013</v>
      </c>
      <c r="G9" s="3"/>
      <c r="H9" s="7" t="n">
        <v>0.0013</v>
      </c>
      <c r="I9" s="7" t="n">
        <v>0.0013</v>
      </c>
      <c r="J9" s="7" t="s">
        <v>22</v>
      </c>
      <c r="K9" s="3"/>
      <c r="L9" s="7" t="n">
        <v>0.0013</v>
      </c>
      <c r="M9" s="7" t="n">
        <v>0.0013</v>
      </c>
      <c r="N9" s="7" t="s">
        <v>22</v>
      </c>
      <c r="O9" s="3"/>
      <c r="P9" s="7" t="n">
        <v>0.0013</v>
      </c>
      <c r="Q9" s="7" t="n">
        <v>0.0013</v>
      </c>
      <c r="R9" s="7" t="s">
        <v>22</v>
      </c>
    </row>
    <row r="10" customFormat="false" ht="12.75" hidden="false" customHeight="false" outlineLevel="0" collapsed="false">
      <c r="C10" s="3"/>
      <c r="D10" s="6" t="s">
        <v>5</v>
      </c>
      <c r="E10" s="7" t="n">
        <f aca="false">0.0022</f>
        <v>0.0022</v>
      </c>
      <c r="F10" s="7" t="n">
        <f aca="false">0.0022</f>
        <v>0.0022</v>
      </c>
      <c r="G10" s="3"/>
      <c r="H10" s="7" t="n">
        <f aca="false">0.0022</f>
        <v>0.0022</v>
      </c>
      <c r="I10" s="7" t="n">
        <f aca="false">0.0022</f>
        <v>0.0022</v>
      </c>
      <c r="J10" s="7"/>
      <c r="K10" s="3"/>
      <c r="L10" s="7" t="n">
        <f aca="false">0.0022</f>
        <v>0.0022</v>
      </c>
      <c r="M10" s="7" t="n">
        <f aca="false">0.0022</f>
        <v>0.0022</v>
      </c>
      <c r="N10" s="7"/>
      <c r="O10" s="3"/>
      <c r="P10" s="7" t="n">
        <f aca="false">0.0022</f>
        <v>0.0022</v>
      </c>
      <c r="Q10" s="7" t="n">
        <f aca="false">0.0022</f>
        <v>0.0022</v>
      </c>
      <c r="R10" s="7"/>
    </row>
    <row r="11" customFormat="false" ht="12.75" hidden="false" customHeight="false" outlineLevel="0" collapsed="false">
      <c r="C11" s="3"/>
      <c r="D11" s="8" t="n">
        <v>0.02</v>
      </c>
      <c r="E11" s="9" t="n">
        <f aca="false">+E6/(1-D11)-E6</f>
        <v>0.0877551020408163</v>
      </c>
      <c r="F11" s="9" t="n">
        <f aca="false">+F6/(1-$D11)-F6</f>
        <v>0.0877551020408163</v>
      </c>
      <c r="G11" s="3"/>
      <c r="H11" s="9" t="n">
        <f aca="false">+H6/(1-$D11)-H6</f>
        <v>0.0843877551020409</v>
      </c>
      <c r="I11" s="9" t="n">
        <f aca="false">+I6/(1-$D11)-I6</f>
        <v>0.0843877551020409</v>
      </c>
      <c r="J11" s="9"/>
      <c r="K11" s="3"/>
      <c r="L11" s="9" t="n">
        <f aca="false">+L6/(1-$D11)-L6</f>
        <v>0.0858163265306127</v>
      </c>
      <c r="M11" s="9" t="n">
        <f aca="false">+M6/(1-$D11)-M6</f>
        <v>0.0858163265306127</v>
      </c>
      <c r="N11" s="9"/>
      <c r="O11" s="3"/>
      <c r="P11" s="9" t="n">
        <f aca="false">+P6/(1-$D11)-P6</f>
        <v>0.0868367346938772</v>
      </c>
      <c r="Q11" s="9" t="n">
        <f aca="false">+Q6/(1-$D11)-Q6</f>
        <v>0.0868367346938772</v>
      </c>
      <c r="R11" s="9"/>
    </row>
    <row r="12" customFormat="false" ht="12.75" hidden="false" customHeight="false" outlineLevel="0" collapsed="false">
      <c r="C12" s="3"/>
      <c r="D12" s="10"/>
      <c r="E12" s="11" t="n">
        <f aca="false">SUM(E9:E11)</f>
        <v>0.0912551020408163</v>
      </c>
      <c r="F12" s="11" t="n">
        <f aca="false">SUM(F9:F11)</f>
        <v>0.0912551020408163</v>
      </c>
      <c r="G12" s="3"/>
      <c r="H12" s="11" t="n">
        <f aca="false">SUM(H9:H11)</f>
        <v>0.0878877551020409</v>
      </c>
      <c r="I12" s="11" t="n">
        <f aca="false">SUM(I9:I11)</f>
        <v>0.0878877551020409</v>
      </c>
      <c r="J12" s="11"/>
      <c r="K12" s="3"/>
      <c r="L12" s="11" t="n">
        <f aca="false">SUM(L9:L11)</f>
        <v>0.0893163265306127</v>
      </c>
      <c r="M12" s="11" t="n">
        <f aca="false">SUM(M9:M11)</f>
        <v>0.0893163265306127</v>
      </c>
      <c r="N12" s="11"/>
      <c r="O12" s="3"/>
      <c r="P12" s="11" t="n">
        <f aca="false">SUM(P9:P11)</f>
        <v>0.0903367346938772</v>
      </c>
      <c r="Q12" s="11" t="n">
        <f aca="false">SUM(Q9:Q11)</f>
        <v>0.0903367346938772</v>
      </c>
      <c r="R12" s="11"/>
    </row>
    <row r="13" customFormat="false" ht="12.75" hidden="false" customHeight="false" outlineLevel="0" collapsed="false"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customFormat="false" ht="12.75" hidden="false" customHeight="false" outlineLevel="0" collapsed="false">
      <c r="C14" s="3"/>
      <c r="D14" s="3"/>
      <c r="E14" s="12" t="n">
        <f aca="false">+E6+E12</f>
        <v>4.39125510204082</v>
      </c>
      <c r="F14" s="12" t="n">
        <f aca="false">+F6+F12</f>
        <v>4.39125510204082</v>
      </c>
      <c r="G14" s="3"/>
      <c r="H14" s="12" t="n">
        <f aca="false">+H6+H12</f>
        <v>4.22288775510204</v>
      </c>
      <c r="I14" s="12" t="n">
        <f aca="false">+I6+I12</f>
        <v>4.22288775510204</v>
      </c>
      <c r="J14" s="12"/>
      <c r="K14" s="3"/>
      <c r="L14" s="12" t="n">
        <f aca="false">+L6+L12</f>
        <v>4.29431632653061</v>
      </c>
      <c r="M14" s="12" t="n">
        <f aca="false">+M6+M12</f>
        <v>4.29431632653061</v>
      </c>
      <c r="N14" s="12"/>
      <c r="O14" s="3"/>
      <c r="P14" s="12" t="n">
        <f aca="false">+P6+P12</f>
        <v>4.34533673469388</v>
      </c>
      <c r="Q14" s="12" t="n">
        <f aca="false">+Q6+Q12</f>
        <v>4.34533673469388</v>
      </c>
      <c r="R14" s="12"/>
    </row>
    <row r="15" customFormat="false" ht="12.75" hidden="false" customHeight="false" outlineLevel="0" collapsed="false">
      <c r="C15" s="3"/>
      <c r="D15" s="3"/>
      <c r="E15" s="3" t="s">
        <v>6</v>
      </c>
      <c r="F15" s="3" t="s">
        <v>7</v>
      </c>
      <c r="G15" s="3"/>
      <c r="H15" s="3" t="s">
        <v>6</v>
      </c>
      <c r="I15" s="3" t="s">
        <v>7</v>
      </c>
      <c r="J15" s="3" t="s">
        <v>7</v>
      </c>
      <c r="K15" s="3"/>
      <c r="L15" s="3" t="s">
        <v>6</v>
      </c>
      <c r="M15" s="3" t="s">
        <v>7</v>
      </c>
      <c r="N15" s="3" t="s">
        <v>7</v>
      </c>
      <c r="O15" s="3"/>
      <c r="P15" s="3" t="s">
        <v>6</v>
      </c>
      <c r="Q15" s="3" t="s">
        <v>7</v>
      </c>
      <c r="R15" s="3" t="s">
        <v>7</v>
      </c>
    </row>
    <row r="16" customFormat="false" ht="12.75" hidden="false" customHeight="false" outlineLevel="0" collapsed="false">
      <c r="C16" s="0" t="s">
        <v>23</v>
      </c>
      <c r="D16" s="6" t="s">
        <v>4</v>
      </c>
      <c r="E16" s="7" t="n">
        <v>0.0076</v>
      </c>
      <c r="F16" s="7" t="n">
        <v>0.0078</v>
      </c>
      <c r="H16" s="7" t="n">
        <v>0.0076</v>
      </c>
      <c r="I16" s="7" t="n">
        <v>0.0078</v>
      </c>
      <c r="J16" s="7" t="n">
        <v>0.0078</v>
      </c>
      <c r="L16" s="7" t="n">
        <v>0.0076</v>
      </c>
      <c r="M16" s="7" t="n">
        <v>0.0078</v>
      </c>
      <c r="N16" s="7" t="n">
        <v>0.0078</v>
      </c>
      <c r="P16" s="7" t="n">
        <v>0.0076</v>
      </c>
      <c r="Q16" s="7" t="n">
        <v>0.0078</v>
      </c>
      <c r="R16" s="7" t="n">
        <v>0.0078</v>
      </c>
    </row>
    <row r="17" customFormat="false" ht="12.75" hidden="false" customHeight="false" outlineLevel="0" collapsed="false">
      <c r="D17" s="6" t="s">
        <v>5</v>
      </c>
      <c r="E17" s="7" t="n">
        <f aca="false">0.0022+0.0097</f>
        <v>0.0119</v>
      </c>
      <c r="F17" s="7" t="n">
        <f aca="false">0.0022+0.007</f>
        <v>0.0092</v>
      </c>
      <c r="H17" s="7" t="n">
        <f aca="false">0.0022+0.0097</f>
        <v>0.0119</v>
      </c>
      <c r="I17" s="7" t="n">
        <f aca="false">0.0022+0.007</f>
        <v>0.0092</v>
      </c>
      <c r="J17" s="7" t="n">
        <f aca="false">0.0022+0.007</f>
        <v>0.0092</v>
      </c>
      <c r="L17" s="7" t="n">
        <f aca="false">0.0022+0.0097</f>
        <v>0.0119</v>
      </c>
      <c r="M17" s="7" t="n">
        <f aca="false">0.0022+0.007</f>
        <v>0.0092</v>
      </c>
      <c r="N17" s="7" t="n">
        <f aca="false">0.0022+0.007</f>
        <v>0.0092</v>
      </c>
      <c r="P17" s="7" t="n">
        <f aca="false">0.0022+0.0097</f>
        <v>0.0119</v>
      </c>
      <c r="Q17" s="7" t="n">
        <f aca="false">0.0022+0.007</f>
        <v>0.0092</v>
      </c>
      <c r="R17" s="7" t="n">
        <f aca="false">0.0022+0.007</f>
        <v>0.0092</v>
      </c>
    </row>
    <row r="18" customFormat="false" ht="12.75" hidden="false" customHeight="false" outlineLevel="0" collapsed="false">
      <c r="D18" s="8" t="n">
        <v>0.0081</v>
      </c>
      <c r="E18" s="9" t="n">
        <f aca="false">+E14/(1-D18)-E14</f>
        <v>0.0358596293240554</v>
      </c>
      <c r="F18" s="9" t="n">
        <f aca="false">+F14/(1-$D18)-F14</f>
        <v>0.0358596293240554</v>
      </c>
      <c r="H18" s="9" t="n">
        <f aca="false">+H14/(1-$D18)-H14</f>
        <v>0.0344847170242231</v>
      </c>
      <c r="I18" s="9" t="n">
        <f aca="false">+I14/(1-$D18)-I14</f>
        <v>0.0344847170242231</v>
      </c>
      <c r="J18" s="9" t="n">
        <f aca="false">+J6/(1-$D18)-J6</f>
        <v>0.0343386430083674</v>
      </c>
      <c r="L18" s="9" t="n">
        <f aca="false">+L14/(1-$D18)-L14</f>
        <v>0.0350680131514247</v>
      </c>
      <c r="M18" s="9" t="n">
        <f aca="false">+M14/(1-$D18)-M14</f>
        <v>0.0350680131514247</v>
      </c>
      <c r="N18" s="9" t="n">
        <f aca="false">+N6/(1-$D18)-N6</f>
        <v>0.0349102732130255</v>
      </c>
      <c r="P18" s="9" t="n">
        <f aca="false">+P14/(1-$D18)-P14</f>
        <v>0.0354846532422828</v>
      </c>
      <c r="Q18" s="9" t="n">
        <f aca="false">+Q14/(1-$D18)-Q14</f>
        <v>0.0354846532422828</v>
      </c>
      <c r="R18" s="9" t="n">
        <f aca="false">+R6/(1-$D18)-R6</f>
        <v>0.035318580502067</v>
      </c>
    </row>
    <row r="19" customFormat="false" ht="12.75" hidden="false" customHeight="false" outlineLevel="0" collapsed="false">
      <c r="D19" s="10"/>
      <c r="E19" s="11" t="n">
        <f aca="false">SUM(E16:E18)</f>
        <v>0.0553596293240554</v>
      </c>
      <c r="F19" s="11" t="n">
        <f aca="false">SUM(F16:F18)</f>
        <v>0.0528596293240554</v>
      </c>
      <c r="H19" s="11" t="n">
        <f aca="false">SUM(H16:H18)</f>
        <v>0.0539847170242231</v>
      </c>
      <c r="I19" s="11" t="n">
        <f aca="false">SUM(I16:I18)</f>
        <v>0.0514847170242231</v>
      </c>
      <c r="J19" s="11" t="n">
        <f aca="false">SUM(J16:J18)</f>
        <v>0.0513386430083674</v>
      </c>
      <c r="L19" s="11" t="n">
        <f aca="false">SUM(L16:L18)</f>
        <v>0.0545680131514247</v>
      </c>
      <c r="M19" s="11" t="n">
        <f aca="false">SUM(M16:M18)</f>
        <v>0.0520680131514247</v>
      </c>
      <c r="N19" s="11" t="n">
        <f aca="false">SUM(N16:N18)</f>
        <v>0.0519102732130255</v>
      </c>
      <c r="P19" s="11" t="n">
        <f aca="false">SUM(P16:P18)</f>
        <v>0.0549846532422828</v>
      </c>
      <c r="Q19" s="11" t="n">
        <f aca="false">SUM(Q16:Q18)</f>
        <v>0.0524846532422828</v>
      </c>
      <c r="R19" s="11" t="n">
        <f aca="false">SUM(R16:R18)</f>
        <v>0.052318580502067</v>
      </c>
    </row>
    <row r="21" customFormat="false" ht="12.75" hidden="false" customHeight="false" outlineLevel="0" collapsed="false">
      <c r="E21" s="13" t="n">
        <f aca="false">+E14+E19</f>
        <v>4.44661473136487</v>
      </c>
      <c r="F21" s="13" t="n">
        <f aca="false">+F14+F19</f>
        <v>4.44411473136487</v>
      </c>
      <c r="H21" s="13" t="n">
        <f aca="false">+H14+H19</f>
        <v>4.27687247212626</v>
      </c>
      <c r="I21" s="13" t="n">
        <f aca="false">+I14+I19</f>
        <v>4.27437247212626</v>
      </c>
      <c r="J21" s="13" t="n">
        <f aca="false">+J6+J19</f>
        <v>4.25633864300837</v>
      </c>
      <c r="L21" s="13" t="n">
        <f aca="false">+L14+L19</f>
        <v>4.34888433968204</v>
      </c>
      <c r="M21" s="13" t="n">
        <f aca="false">+M14+M19</f>
        <v>4.34638433968204</v>
      </c>
      <c r="N21" s="13" t="n">
        <f aca="false">+N6+N19</f>
        <v>4.32691027321303</v>
      </c>
      <c r="P21" s="13" t="n">
        <f aca="false">+P14+P19</f>
        <v>4.40032138793616</v>
      </c>
      <c r="Q21" s="13" t="n">
        <f aca="false">+Q14+Q19</f>
        <v>4.39782138793616</v>
      </c>
      <c r="R21" s="13" t="n">
        <f aca="false">+R6+R19</f>
        <v>4.37731858050207</v>
      </c>
    </row>
    <row r="23" customFormat="false" ht="12.75" hidden="false" customHeight="false" outlineLevel="0" collapsed="false">
      <c r="D23" s="0" t="s">
        <v>8</v>
      </c>
      <c r="E23" s="14" t="n">
        <v>0.425</v>
      </c>
      <c r="F23" s="14" t="n">
        <v>0.425</v>
      </c>
      <c r="H23" s="14" t="n">
        <v>0.5</v>
      </c>
      <c r="I23" s="14" t="n">
        <v>0.5</v>
      </c>
      <c r="J23" s="14" t="n">
        <v>0.5</v>
      </c>
      <c r="L23" s="14" t="n">
        <v>0.5</v>
      </c>
      <c r="M23" s="14" t="n">
        <v>0.5</v>
      </c>
      <c r="N23" s="14" t="n">
        <v>0.5</v>
      </c>
      <c r="P23" s="14" t="n">
        <v>0.5</v>
      </c>
      <c r="Q23" s="14" t="n">
        <v>0.5</v>
      </c>
      <c r="R23" s="14" t="n">
        <v>0.5</v>
      </c>
    </row>
    <row r="24" customFormat="false" ht="12.75" hidden="false" customHeight="false" outlineLevel="0" collapsed="false">
      <c r="D24" s="0" t="s">
        <v>9</v>
      </c>
      <c r="E24" s="15" t="n">
        <f aca="false">+E23-E5</f>
        <v>0.195</v>
      </c>
      <c r="F24" s="15" t="n">
        <f aca="false">+F23-F5</f>
        <v>0.195</v>
      </c>
      <c r="H24" s="15" t="n">
        <f aca="false">+H23-H5</f>
        <v>0.295</v>
      </c>
      <c r="I24" s="15" t="n">
        <f aca="false">+I23-I5</f>
        <v>0.295</v>
      </c>
      <c r="J24" s="15" t="n">
        <f aca="false">+J23-J5</f>
        <v>0.225</v>
      </c>
      <c r="L24" s="15" t="n">
        <f aca="false">+L23-L5</f>
        <v>0.295</v>
      </c>
      <c r="M24" s="15" t="n">
        <f aca="false">+M23-M5</f>
        <v>0.295</v>
      </c>
      <c r="N24" s="15" t="n">
        <f aca="false">+N23-N5</f>
        <v>0.225</v>
      </c>
      <c r="P24" s="15" t="n">
        <f aca="false">+P23-P5</f>
        <v>0.295</v>
      </c>
      <c r="Q24" s="15" t="n">
        <f aca="false">+Q23-Q5</f>
        <v>0.295</v>
      </c>
      <c r="R24" s="15" t="n">
        <f aca="false">+R23-R5</f>
        <v>0.225</v>
      </c>
    </row>
    <row r="25" customFormat="false" ht="12.75" hidden="false" customHeight="false" outlineLevel="0" collapsed="false">
      <c r="D25" s="0" t="s">
        <v>10</v>
      </c>
      <c r="E25" s="16" t="n">
        <f aca="false">+E12+E19</f>
        <v>0.146614731364872</v>
      </c>
      <c r="F25" s="16" t="n">
        <f aca="false">+F12+F19</f>
        <v>0.144114731364872</v>
      </c>
      <c r="H25" s="16" t="n">
        <f aca="false">+H12+H19</f>
        <v>0.141872472126264</v>
      </c>
      <c r="I25" s="16" t="n">
        <f aca="false">+I12+I19</f>
        <v>0.139372472126264</v>
      </c>
      <c r="J25" s="16" t="n">
        <f aca="false">+J12+J19</f>
        <v>0.0513386430083674</v>
      </c>
      <c r="L25" s="16" t="n">
        <f aca="false">+L12+L19</f>
        <v>0.143884339682037</v>
      </c>
      <c r="M25" s="16" t="n">
        <f aca="false">+M12+M19</f>
        <v>0.141384339682037</v>
      </c>
      <c r="N25" s="16" t="n">
        <f aca="false">+N12+N19</f>
        <v>0.0519102732130255</v>
      </c>
      <c r="P25" s="16" t="n">
        <f aca="false">+P12+P19</f>
        <v>0.14532138793616</v>
      </c>
      <c r="Q25" s="16" t="n">
        <f aca="false">+Q12+Q19</f>
        <v>0.14282138793616</v>
      </c>
      <c r="R25" s="16" t="n">
        <f aca="false">+R12+R19</f>
        <v>0.052318580502067</v>
      </c>
    </row>
    <row r="26" customFormat="false" ht="12.75" hidden="false" customHeight="false" outlineLevel="0" collapsed="false">
      <c r="E26" s="13" t="n">
        <f aca="false">+E24-E25</f>
        <v>0.0483852686351283</v>
      </c>
      <c r="F26" s="13" t="n">
        <f aca="false">+F24-F25</f>
        <v>0.0508852686351283</v>
      </c>
      <c r="H26" s="13" t="n">
        <f aca="false">+H24-H25</f>
        <v>0.153127527873736</v>
      </c>
      <c r="I26" s="13" t="n">
        <f aca="false">+I24-I25</f>
        <v>0.155627527873736</v>
      </c>
      <c r="J26" s="13" t="n">
        <f aca="false">+J24-J25</f>
        <v>0.173661356991633</v>
      </c>
      <c r="L26" s="13" t="n">
        <f aca="false">+L24-L25</f>
        <v>0.151115660317963</v>
      </c>
      <c r="M26" s="13" t="n">
        <f aca="false">+M24-M25</f>
        <v>0.153615660317963</v>
      </c>
      <c r="N26" s="13" t="n">
        <f aca="false">+N24-N25</f>
        <v>0.173089726786974</v>
      </c>
      <c r="P26" s="13" t="n">
        <f aca="false">+P24-P25</f>
        <v>0.14967861206384</v>
      </c>
      <c r="Q26" s="13" t="n">
        <f aca="false">+Q24-Q25</f>
        <v>0.15217861206384</v>
      </c>
      <c r="R26" s="13" t="n">
        <f aca="false">+R24-R25</f>
        <v>0.172681419497933</v>
      </c>
    </row>
    <row r="27" customFormat="false" ht="12.75" hidden="false" customHeight="false" outlineLevel="0" collapsed="false">
      <c r="D27" s="0" t="s">
        <v>11</v>
      </c>
      <c r="E27" s="17" t="n">
        <f aca="false">3.2903/30</f>
        <v>0.109676666666667</v>
      </c>
      <c r="F27" s="17" t="n">
        <f aca="false">3.2903/30</f>
        <v>0.109676666666667</v>
      </c>
      <c r="G27" s="17"/>
      <c r="H27" s="17" t="n">
        <f aca="false">3.2903/31</f>
        <v>0.106138709677419</v>
      </c>
      <c r="I27" s="17" t="n">
        <f aca="false">3.2903/31</f>
        <v>0.106138709677419</v>
      </c>
      <c r="J27" s="17" t="n">
        <f aca="false">3.2903/31</f>
        <v>0.106138709677419</v>
      </c>
      <c r="K27" s="17"/>
      <c r="L27" s="17" t="n">
        <f aca="false">3.2903/31</f>
        <v>0.106138709677419</v>
      </c>
      <c r="M27" s="17" t="n">
        <f aca="false">3.2903/31</f>
        <v>0.106138709677419</v>
      </c>
      <c r="N27" s="17" t="n">
        <f aca="false">3.2903/31</f>
        <v>0.106138709677419</v>
      </c>
      <c r="O27" s="17"/>
      <c r="P27" s="17" t="n">
        <f aca="false">3.2903/30</f>
        <v>0.109676666666667</v>
      </c>
      <c r="Q27" s="17" t="n">
        <f aca="false">3.2903/30</f>
        <v>0.109676666666667</v>
      </c>
      <c r="R27" s="17" t="n">
        <f aca="false">3.2903/30</f>
        <v>0.109676666666667</v>
      </c>
    </row>
    <row r="28" customFormat="false" ht="12.75" hidden="false" customHeight="false" outlineLevel="0" collapsed="false">
      <c r="D28" s="0" t="s">
        <v>12</v>
      </c>
      <c r="E28" s="13" t="n">
        <f aca="false">+E26-E27</f>
        <v>-0.0612913980315384</v>
      </c>
      <c r="F28" s="13" t="n">
        <f aca="false">+F26-F27</f>
        <v>-0.0587913980315384</v>
      </c>
      <c r="H28" s="13" t="n">
        <f aca="false">+H26-H27</f>
        <v>0.0469888181963167</v>
      </c>
      <c r="I28" s="13" t="n">
        <f aca="false">+I26-I27</f>
        <v>0.0494888181963167</v>
      </c>
      <c r="J28" s="13" t="n">
        <f aca="false">+J26-J27</f>
        <v>0.0675226473142132</v>
      </c>
      <c r="L28" s="13" t="n">
        <f aca="false">+L26-L27</f>
        <v>0.0449769506405433</v>
      </c>
      <c r="M28" s="13" t="n">
        <f aca="false">+M26-M27</f>
        <v>0.0474769506405433</v>
      </c>
      <c r="N28" s="13" t="n">
        <f aca="false">+N26-N27</f>
        <v>0.0669510171095551</v>
      </c>
      <c r="P28" s="13" t="n">
        <f aca="false">+P26-P27</f>
        <v>0.0400019453971734</v>
      </c>
      <c r="Q28" s="13" t="n">
        <f aca="false">+Q26-Q27</f>
        <v>0.0425019453971734</v>
      </c>
      <c r="R28" s="13" t="n">
        <f aca="false">+R26-R27</f>
        <v>0.0630047528312663</v>
      </c>
    </row>
    <row r="31" customFormat="false" ht="12.75" hidden="false" customHeight="false" outlineLevel="0" collapsed="false">
      <c r="D31" s="0" t="s">
        <v>13</v>
      </c>
      <c r="E31" s="0" t="n">
        <v>2100</v>
      </c>
      <c r="F31" s="0" t="n">
        <v>3900</v>
      </c>
      <c r="H31" s="0" t="n">
        <v>2100</v>
      </c>
      <c r="I31" s="0" t="n">
        <f aca="false">3900-J31</f>
        <v>2908</v>
      </c>
      <c r="J31" s="0" t="n">
        <f aca="false">ROUND(1000*(1-0.0081),0)</f>
        <v>992</v>
      </c>
      <c r="L31" s="0" t="n">
        <v>2100</v>
      </c>
      <c r="M31" s="0" t="n">
        <f aca="false">3900-N31</f>
        <v>2908</v>
      </c>
      <c r="N31" s="0" t="n">
        <f aca="false">ROUND(1000*(1-0.0081),0)</f>
        <v>992</v>
      </c>
      <c r="P31" s="0" t="n">
        <v>2100</v>
      </c>
      <c r="Q31" s="0" t="n">
        <f aca="false">3900-R31</f>
        <v>2908</v>
      </c>
      <c r="R31" s="0" t="n">
        <f aca="false">ROUND(1000*(1-0.0081),0)</f>
        <v>992</v>
      </c>
    </row>
    <row r="33" customFormat="false" ht="12.75" hidden="false" customHeight="false" outlineLevel="0" collapsed="false">
      <c r="E33" s="13" t="n">
        <f aca="false">+E31*E28</f>
        <v>-128.711935866231</v>
      </c>
      <c r="F33" s="13" t="n">
        <f aca="false">+F31*F28</f>
        <v>-229.286452323</v>
      </c>
      <c r="H33" s="13" t="n">
        <f aca="false">+H31*H28</f>
        <v>98.6765182122651</v>
      </c>
      <c r="I33" s="13" t="n">
        <f aca="false">+I31*I28</f>
        <v>143.913483314889</v>
      </c>
      <c r="J33" s="13" t="n">
        <f aca="false">+J31*J28</f>
        <v>66.9824661356995</v>
      </c>
      <c r="L33" s="13" t="n">
        <f aca="false">+L31*L28</f>
        <v>94.4515963451409</v>
      </c>
      <c r="M33" s="13" t="n">
        <f aca="false">+M31*M28</f>
        <v>138.0629724627</v>
      </c>
      <c r="N33" s="13" t="n">
        <f aca="false">+N31*N28</f>
        <v>66.4154089726786</v>
      </c>
      <c r="P33" s="13" t="n">
        <f aca="false">+P31*P28</f>
        <v>84.0040853340641</v>
      </c>
      <c r="Q33" s="13" t="n">
        <f aca="false">+Q31*Q28</f>
        <v>123.59565721498</v>
      </c>
      <c r="R33" s="13" t="n">
        <f aca="false">+R31*R28</f>
        <v>62.5007148086161</v>
      </c>
    </row>
    <row r="34" customFormat="false" ht="12.75" hidden="false" customHeight="false" outlineLevel="0" collapsed="false">
      <c r="D34" s="0" t="s">
        <v>14</v>
      </c>
      <c r="E34" s="0" t="n">
        <v>30</v>
      </c>
      <c r="F34" s="0" t="n">
        <f aca="false">+E34</f>
        <v>30</v>
      </c>
      <c r="H34" s="0" t="n">
        <v>30</v>
      </c>
      <c r="I34" s="0" t="n">
        <f aca="false">+H34</f>
        <v>30</v>
      </c>
      <c r="J34" s="0" t="n">
        <f aca="false">+I34</f>
        <v>30</v>
      </c>
      <c r="L34" s="0" t="n">
        <v>30</v>
      </c>
      <c r="M34" s="0" t="n">
        <f aca="false">+L34</f>
        <v>30</v>
      </c>
      <c r="N34" s="0" t="n">
        <f aca="false">+M34</f>
        <v>30</v>
      </c>
      <c r="P34" s="0" t="n">
        <v>30</v>
      </c>
      <c r="Q34" s="0" t="n">
        <f aca="false">+P34</f>
        <v>30</v>
      </c>
      <c r="R34" s="0" t="n">
        <f aca="false">+Q34</f>
        <v>30</v>
      </c>
    </row>
    <row r="35" customFormat="false" ht="12.75" hidden="false" customHeight="false" outlineLevel="0" collapsed="false">
      <c r="D35" s="18" t="s">
        <v>15</v>
      </c>
      <c r="E35" s="19" t="n">
        <f aca="false">+E34*E33</f>
        <v>-3861.35807598692</v>
      </c>
      <c r="F35" s="19" t="n">
        <f aca="false">+F34*F33</f>
        <v>-6878.59356968999</v>
      </c>
      <c r="G35" s="19"/>
      <c r="H35" s="19" t="n">
        <f aca="false">+H34*H33</f>
        <v>2960.29554636795</v>
      </c>
      <c r="I35" s="19" t="n">
        <f aca="false">+I34*I33</f>
        <v>4317.40449944667</v>
      </c>
      <c r="J35" s="19" t="n">
        <f aca="false">+J34*J33</f>
        <v>2009.47398407098</v>
      </c>
      <c r="L35" s="19" t="n">
        <f aca="false">+L34*L33</f>
        <v>2833.54789035423</v>
      </c>
      <c r="M35" s="19" t="n">
        <f aca="false">+M34*M33</f>
        <v>4141.889173881</v>
      </c>
      <c r="N35" s="19" t="n">
        <f aca="false">+N34*N33</f>
        <v>1992.46226918036</v>
      </c>
      <c r="P35" s="19" t="n">
        <f aca="false">+P34*P33</f>
        <v>2520.12256002192</v>
      </c>
      <c r="Q35" s="19" t="n">
        <f aca="false">+Q34*Q33</f>
        <v>3707.86971644941</v>
      </c>
      <c r="R35" s="19" t="n">
        <f aca="false">+R34*R33</f>
        <v>1875.02144425848</v>
      </c>
    </row>
    <row r="37" customFormat="false" ht="12.75" hidden="false" customHeight="false" outlineLevel="0" collapsed="false">
      <c r="E37" s="19" t="n">
        <f aca="false">SUM(E35:F35)</f>
        <v>-10739.9516456769</v>
      </c>
      <c r="H37" s="19" t="n">
        <f aca="false">SUM(H35:J35)</f>
        <v>9287.17402988561</v>
      </c>
      <c r="L37" s="19" t="n">
        <f aca="false">SUM(L35:N35)</f>
        <v>8967.89933341558</v>
      </c>
      <c r="P37" s="19" t="n">
        <f aca="false">SUM(P35:R35)</f>
        <v>8103.01372072981</v>
      </c>
    </row>
    <row r="39" customFormat="false" ht="12.75" hidden="false" customHeight="false" outlineLevel="0" collapsed="false">
      <c r="E39" s="19" t="n">
        <f aca="false">SUM(E37:R37)</f>
        <v>15618.1354383541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5"/>
  <sheetViews>
    <sheetView showFormulas="false" showGridLines="true" showRowColHeaders="true" showZeros="true" rightToLeft="false" tabSelected="false" showOutlineSymbols="true" defaultGridColor="true" view="normal" topLeftCell="A39" colorId="64" zoomScale="100" zoomScaleNormal="100" zoomScalePageLayoutView="100" workbookViewId="0">
      <selection pane="topLeft" activeCell="E76" activeCellId="0" sqref="E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20" width="14.56"/>
    <col collapsed="false" customWidth="true" hidden="false" outlineLevel="0" max="4" min="4" style="0" width="11.42"/>
    <col collapsed="false" customWidth="true" hidden="false" outlineLevel="0" max="6" min="6" style="20" width="6.7"/>
    <col collapsed="false" customWidth="true" hidden="false" outlineLevel="0" max="7" min="7" style="0" width="6.7"/>
    <col collapsed="false" customWidth="true" hidden="false" outlineLevel="0" max="8" min="8" style="0" width="35.13"/>
  </cols>
  <sheetData>
    <row r="1" customFormat="false" ht="12.75" hidden="false" customHeight="false" outlineLevel="0" collapsed="false">
      <c r="A1" s="0" t="s">
        <v>24</v>
      </c>
    </row>
    <row r="2" customFormat="false" ht="12.75" hidden="false" customHeight="false" outlineLevel="0" collapsed="false">
      <c r="H2" s="0" t="n">
        <f aca="false">10000*10000</f>
        <v>100000000</v>
      </c>
      <c r="I2" s="0" t="n">
        <f aca="false">+H2*0.01</f>
        <v>1000000</v>
      </c>
    </row>
    <row r="3" customFormat="false" ht="12.75" hidden="false" customHeight="false" outlineLevel="0" collapsed="false">
      <c r="A3" s="0" t="s">
        <v>25</v>
      </c>
    </row>
    <row r="4" customFormat="false" ht="12.75" hidden="false" customHeight="false" outlineLevel="0" collapsed="false">
      <c r="A4" s="21" t="s">
        <v>26</v>
      </c>
    </row>
    <row r="5" customFormat="false" ht="12.75" hidden="false" customHeight="false" outlineLevel="0" collapsed="false">
      <c r="B5" s="22" t="s">
        <v>27</v>
      </c>
      <c r="C5" s="23"/>
      <c r="D5" s="22" t="s">
        <v>28</v>
      </c>
      <c r="E5" s="22" t="s">
        <v>29</v>
      </c>
      <c r="F5" s="24"/>
      <c r="G5" s="3"/>
      <c r="H5" s="3" t="s">
        <v>30</v>
      </c>
      <c r="I5" s="3"/>
    </row>
    <row r="6" customFormat="false" ht="12.75" hidden="false" customHeight="false" outlineLevel="0" collapsed="false">
      <c r="D6" s="25"/>
      <c r="E6" s="25"/>
      <c r="H6" s="20"/>
    </row>
    <row r="7" customFormat="false" ht="12.75" hidden="false" customHeight="false" outlineLevel="0" collapsed="false">
      <c r="B7" s="26"/>
      <c r="C7" s="27"/>
      <c r="D7" s="28" t="n">
        <v>700476</v>
      </c>
      <c r="E7" s="28" t="n">
        <v>780676</v>
      </c>
      <c r="F7" s="27"/>
      <c r="G7" s="28"/>
      <c r="H7" s="29" t="s">
        <v>31</v>
      </c>
    </row>
    <row r="8" customFormat="false" ht="12.75" hidden="false" customHeight="false" outlineLevel="0" collapsed="false">
      <c r="B8" s="30"/>
      <c r="C8" s="24"/>
      <c r="D8" s="31"/>
      <c r="E8" s="32"/>
      <c r="F8" s="24"/>
      <c r="G8" s="3"/>
      <c r="H8" s="33"/>
    </row>
    <row r="9" customFormat="false" ht="12.75" hidden="false" customHeight="false" outlineLevel="0" collapsed="false">
      <c r="B9" s="34"/>
      <c r="C9" s="24"/>
      <c r="D9" s="31"/>
      <c r="E9" s="31"/>
      <c r="F9" s="24"/>
      <c r="G9" s="3"/>
      <c r="H9" s="33"/>
    </row>
    <row r="10" customFormat="false" ht="12.75" hidden="false" customHeight="false" outlineLevel="0" collapsed="false">
      <c r="B10" s="35"/>
      <c r="C10" s="36"/>
      <c r="D10" s="37"/>
      <c r="E10" s="38"/>
      <c r="F10" s="36"/>
      <c r="G10" s="39"/>
      <c r="H10" s="40"/>
    </row>
    <row r="12" customFormat="false" ht="12.75" hidden="false" customHeight="false" outlineLevel="0" collapsed="false">
      <c r="A12" s="21" t="s">
        <v>32</v>
      </c>
    </row>
    <row r="13" customFormat="false" ht="12.75" hidden="false" customHeight="false" outlineLevel="0" collapsed="false">
      <c r="B13" s="22" t="s">
        <v>27</v>
      </c>
      <c r="C13" s="23"/>
      <c r="D13" s="22" t="s">
        <v>28</v>
      </c>
      <c r="E13" s="22" t="s">
        <v>29</v>
      </c>
      <c r="F13" s="24"/>
      <c r="G13" s="3"/>
      <c r="H13" s="3" t="s">
        <v>30</v>
      </c>
      <c r="I13" s="3"/>
    </row>
    <row r="14" customFormat="false" ht="12.75" hidden="false" customHeight="false" outlineLevel="0" collapsed="false">
      <c r="D14" s="25"/>
      <c r="E14" s="25"/>
      <c r="H14" s="20"/>
    </row>
    <row r="15" customFormat="false" ht="12.75" hidden="false" customHeight="false" outlineLevel="0" collapsed="false">
      <c r="B15" s="26" t="n">
        <v>816364</v>
      </c>
      <c r="C15" s="27" t="s">
        <v>33</v>
      </c>
      <c r="D15" s="28"/>
      <c r="E15" s="28"/>
      <c r="F15" s="27"/>
      <c r="G15" s="28"/>
      <c r="H15" s="29" t="s">
        <v>34</v>
      </c>
    </row>
    <row r="16" customFormat="false" ht="12.75" hidden="false" customHeight="false" outlineLevel="0" collapsed="false">
      <c r="B16" s="30"/>
      <c r="C16" s="24"/>
      <c r="D16" s="31" t="n">
        <v>637093</v>
      </c>
      <c r="E16" s="32" t="n">
        <v>816369</v>
      </c>
      <c r="F16" s="24" t="s">
        <v>35</v>
      </c>
      <c r="G16" s="3"/>
      <c r="H16" s="33" t="s">
        <v>36</v>
      </c>
      <c r="J16" s="0" t="n">
        <f aca="false">1-0.0042</f>
        <v>0.9958</v>
      </c>
    </row>
    <row r="17" customFormat="false" ht="12.75" hidden="false" customHeight="false" outlineLevel="0" collapsed="false">
      <c r="B17" s="34" t="n">
        <v>816371</v>
      </c>
      <c r="C17" s="24" t="s">
        <v>35</v>
      </c>
      <c r="D17" s="31"/>
      <c r="E17" s="31"/>
      <c r="F17" s="24"/>
      <c r="G17" s="3"/>
      <c r="H17" s="33" t="s">
        <v>37</v>
      </c>
    </row>
    <row r="18" customFormat="false" ht="12.75" hidden="false" customHeight="false" outlineLevel="0" collapsed="false">
      <c r="B18" s="35"/>
      <c r="C18" s="36"/>
      <c r="D18" s="37" t="n">
        <v>646529</v>
      </c>
      <c r="E18" s="38" t="n">
        <v>816375</v>
      </c>
      <c r="F18" s="36" t="s">
        <v>38</v>
      </c>
      <c r="G18" s="39"/>
      <c r="H18" s="40" t="s">
        <v>39</v>
      </c>
      <c r="J18" s="0" t="n">
        <f aca="false">1-0.0086</f>
        <v>0.9914</v>
      </c>
    </row>
    <row r="19" customFormat="false" ht="12.75" hidden="false" customHeight="false" outlineLevel="0" collapsed="false">
      <c r="B19" s="35"/>
      <c r="C19" s="36"/>
      <c r="D19" s="37" t="n">
        <v>665174</v>
      </c>
      <c r="E19" s="37"/>
      <c r="F19" s="36"/>
      <c r="G19" s="39"/>
      <c r="H19" s="40" t="s">
        <v>40</v>
      </c>
    </row>
    <row r="20" customFormat="false" ht="12.75" hidden="false" customHeight="false" outlineLevel="0" collapsed="false">
      <c r="B20" s="35"/>
      <c r="C20" s="36"/>
      <c r="D20" s="37"/>
      <c r="E20" s="37" t="n">
        <v>665170</v>
      </c>
      <c r="F20" s="36"/>
      <c r="G20" s="39"/>
      <c r="H20" s="40" t="s">
        <v>41</v>
      </c>
    </row>
    <row r="21" customFormat="false" ht="12.75" hidden="false" customHeight="false" outlineLevel="0" collapsed="false">
      <c r="E21" s="25"/>
    </row>
    <row r="22" customFormat="false" ht="12.75" hidden="false" customHeight="false" outlineLevel="0" collapsed="false">
      <c r="B22" s="41" t="n">
        <v>816249</v>
      </c>
      <c r="C22" s="20" t="s">
        <v>42</v>
      </c>
      <c r="D22" s="41" t="n">
        <v>759992</v>
      </c>
      <c r="E22" s="42" t="n">
        <v>816253</v>
      </c>
      <c r="H22" s="0" t="s">
        <v>43</v>
      </c>
    </row>
    <row r="23" customFormat="false" ht="12.75" hidden="false" customHeight="false" outlineLevel="0" collapsed="false">
      <c r="E23" s="25"/>
    </row>
    <row r="24" customFormat="false" ht="12.75" hidden="false" customHeight="false" outlineLevel="0" collapsed="false">
      <c r="E24" s="25"/>
    </row>
    <row r="25" customFormat="false" ht="12.75" hidden="false" customHeight="false" outlineLevel="0" collapsed="false">
      <c r="E25" s="25"/>
    </row>
    <row r="26" customFormat="false" ht="12.75" hidden="false" customHeight="false" outlineLevel="0" collapsed="false">
      <c r="A26" s="21" t="s">
        <v>44</v>
      </c>
    </row>
    <row r="27" customFormat="false" ht="12.75" hidden="false" customHeight="false" outlineLevel="0" collapsed="false">
      <c r="B27" s="26" t="n">
        <v>816380</v>
      </c>
      <c r="C27" s="27" t="s">
        <v>45</v>
      </c>
      <c r="D27" s="28" t="n">
        <v>637107</v>
      </c>
      <c r="E27" s="43" t="n">
        <v>816386</v>
      </c>
      <c r="F27" s="27" t="s">
        <v>38</v>
      </c>
      <c r="G27" s="28"/>
      <c r="H27" s="29" t="s">
        <v>46</v>
      </c>
      <c r="J27" s="0" t="n">
        <f aca="false">1-0.0044</f>
        <v>0.9956</v>
      </c>
    </row>
    <row r="28" customFormat="false" ht="12.75" hidden="false" customHeight="false" outlineLevel="0" collapsed="false">
      <c r="B28" s="34"/>
      <c r="C28" s="24"/>
      <c r="D28" s="3" t="n">
        <v>758604</v>
      </c>
      <c r="E28" s="44"/>
      <c r="F28" s="24"/>
      <c r="G28" s="3"/>
      <c r="H28" s="33" t="s">
        <v>47</v>
      </c>
    </row>
    <row r="29" customFormat="false" ht="12.75" hidden="false" customHeight="false" outlineLevel="0" collapsed="false">
      <c r="B29" s="30" t="n">
        <v>665173</v>
      </c>
      <c r="C29" s="24" t="s">
        <v>48</v>
      </c>
      <c r="D29" s="3"/>
      <c r="E29" s="3"/>
      <c r="F29" s="24"/>
      <c r="G29" s="3"/>
      <c r="H29" s="45" t="s">
        <v>49</v>
      </c>
    </row>
    <row r="30" customFormat="false" ht="12.75" hidden="false" customHeight="false" outlineLevel="0" collapsed="false">
      <c r="B30" s="30"/>
      <c r="C30" s="24"/>
      <c r="D30" s="3"/>
      <c r="E30" s="3"/>
      <c r="F30" s="24"/>
      <c r="G30" s="3"/>
      <c r="H30" s="45"/>
    </row>
    <row r="31" customFormat="false" ht="12.75" hidden="false" customHeight="false" outlineLevel="0" collapsed="false">
      <c r="B31" s="35" t="n">
        <v>665147</v>
      </c>
      <c r="C31" s="36" t="s">
        <v>38</v>
      </c>
      <c r="D31" s="39"/>
      <c r="E31" s="39"/>
      <c r="F31" s="36"/>
      <c r="G31" s="39"/>
      <c r="H31" s="46" t="s">
        <v>50</v>
      </c>
    </row>
    <row r="32" customFormat="false" ht="12.75" hidden="false" customHeight="false" outlineLevel="0" collapsed="false">
      <c r="B32" s="35"/>
      <c r="C32" s="36"/>
      <c r="D32" s="39"/>
      <c r="E32" s="39" t="n">
        <v>679616</v>
      </c>
      <c r="F32" s="36"/>
      <c r="G32" s="39"/>
      <c r="H32" s="46" t="s">
        <v>51</v>
      </c>
    </row>
    <row r="35" customFormat="false" ht="12.75" hidden="false" customHeight="false" outlineLevel="0" collapsed="false">
      <c r="A35" s="21" t="s">
        <v>52</v>
      </c>
      <c r="B35" s="26" t="n">
        <v>816387</v>
      </c>
      <c r="C35" s="27" t="s">
        <v>53</v>
      </c>
      <c r="D35" s="28"/>
      <c r="E35" s="28"/>
      <c r="F35" s="27"/>
      <c r="G35" s="28"/>
      <c r="H35" s="47" t="s">
        <v>54</v>
      </c>
    </row>
    <row r="36" customFormat="false" ht="12.75" hidden="false" customHeight="false" outlineLevel="0" collapsed="false">
      <c r="A36" s="0" t="s">
        <v>55</v>
      </c>
      <c r="B36" s="30" t="n">
        <v>665168</v>
      </c>
      <c r="C36" s="24" t="s">
        <v>56</v>
      </c>
      <c r="D36" s="3"/>
      <c r="E36" s="3"/>
      <c r="F36" s="24"/>
      <c r="G36" s="3"/>
      <c r="H36" s="0" t="s">
        <v>57</v>
      </c>
    </row>
    <row r="37" customFormat="false" ht="14.25" hidden="false" customHeight="true" outlineLevel="0" collapsed="false">
      <c r="B37" s="30"/>
      <c r="C37" s="24"/>
      <c r="D37" s="3" t="n">
        <v>646486</v>
      </c>
      <c r="E37" s="3"/>
      <c r="F37" s="24"/>
      <c r="G37" s="3"/>
      <c r="H37" s="45" t="s">
        <v>58</v>
      </c>
    </row>
    <row r="38" customFormat="false" ht="14.25" hidden="false" customHeight="true" outlineLevel="0" collapsed="false">
      <c r="B38" s="30"/>
      <c r="C38" s="24"/>
      <c r="D38" s="3" t="n">
        <v>646492</v>
      </c>
      <c r="E38" s="3"/>
      <c r="F38" s="24"/>
      <c r="G38" s="3"/>
      <c r="H38" s="45" t="s">
        <v>59</v>
      </c>
    </row>
    <row r="39" customFormat="false" ht="14.25" hidden="false" customHeight="true" outlineLevel="0" collapsed="false">
      <c r="B39" s="30"/>
      <c r="C39" s="24"/>
      <c r="D39" s="3"/>
      <c r="E39" s="3" t="n">
        <v>665169</v>
      </c>
      <c r="F39" s="24"/>
      <c r="G39" s="3"/>
      <c r="H39" s="45" t="s">
        <v>60</v>
      </c>
      <c r="K39" s="0" t="n">
        <v>5.18</v>
      </c>
    </row>
    <row r="40" customFormat="false" ht="14.25" hidden="false" customHeight="true" outlineLevel="0" collapsed="false">
      <c r="B40" s="30"/>
      <c r="C40" s="24"/>
      <c r="D40" s="3"/>
      <c r="E40" s="3"/>
      <c r="F40" s="24"/>
      <c r="G40" s="3"/>
      <c r="H40" s="45"/>
    </row>
    <row r="41" customFormat="false" ht="12.75" hidden="false" customHeight="false" outlineLevel="0" collapsed="false">
      <c r="B41" s="30" t="n">
        <v>665147</v>
      </c>
      <c r="C41" s="24"/>
      <c r="D41" s="3"/>
      <c r="E41" s="3"/>
      <c r="F41" s="24"/>
      <c r="G41" s="3"/>
      <c r="H41" s="45" t="s">
        <v>50</v>
      </c>
    </row>
    <row r="42" customFormat="false" ht="12.75" hidden="false" customHeight="false" outlineLevel="0" collapsed="false">
      <c r="B42" s="35"/>
      <c r="C42" s="36"/>
      <c r="D42" s="39"/>
      <c r="E42" s="39"/>
      <c r="F42" s="36"/>
      <c r="G42" s="39"/>
      <c r="H42" s="46"/>
    </row>
    <row r="45" customFormat="false" ht="12.75" hidden="false" customHeight="false" outlineLevel="0" collapsed="false">
      <c r="A45" s="21" t="s">
        <v>61</v>
      </c>
      <c r="B45" s="3"/>
      <c r="C45" s="24"/>
      <c r="D45" s="3"/>
      <c r="E45" s="3"/>
      <c r="F45" s="24"/>
      <c r="G45" s="3"/>
      <c r="H45" s="3"/>
      <c r="I45" s="3"/>
    </row>
    <row r="46" customFormat="false" ht="12.75" hidden="false" customHeight="false" outlineLevel="0" collapsed="false">
      <c r="B46" s="48"/>
      <c r="C46" s="27"/>
      <c r="D46" s="28"/>
      <c r="E46" s="28" t="n">
        <v>774325</v>
      </c>
      <c r="F46" s="27"/>
      <c r="G46" s="28"/>
      <c r="H46" s="47" t="s">
        <v>62</v>
      </c>
      <c r="I46" s="3"/>
    </row>
    <row r="47" customFormat="false" ht="12.75" hidden="false" customHeight="false" outlineLevel="0" collapsed="false">
      <c r="B47" s="30"/>
      <c r="C47" s="24"/>
      <c r="D47" s="3"/>
      <c r="E47" s="3" t="n">
        <v>774072</v>
      </c>
      <c r="F47" s="24"/>
      <c r="G47" s="3"/>
      <c r="H47" s="45" t="s">
        <v>63</v>
      </c>
      <c r="I47" s="3"/>
    </row>
    <row r="48" customFormat="false" ht="12.75" hidden="false" customHeight="false" outlineLevel="0" collapsed="false">
      <c r="B48" s="30" t="n">
        <v>774087</v>
      </c>
      <c r="C48" s="24"/>
      <c r="D48" s="3"/>
      <c r="E48" s="3"/>
      <c r="F48" s="24"/>
      <c r="G48" s="3"/>
      <c r="H48" s="45" t="s">
        <v>64</v>
      </c>
      <c r="I48" s="3"/>
    </row>
    <row r="49" customFormat="false" ht="12.75" hidden="false" customHeight="false" outlineLevel="0" collapsed="false">
      <c r="B49" s="30" t="n">
        <v>776649</v>
      </c>
      <c r="C49" s="24"/>
      <c r="D49" s="3"/>
      <c r="E49" s="3"/>
      <c r="F49" s="24"/>
      <c r="G49" s="3"/>
      <c r="H49" s="45" t="s">
        <v>65</v>
      </c>
      <c r="I49" s="3"/>
    </row>
    <row r="50" customFormat="false" ht="12.75" hidden="false" customHeight="false" outlineLevel="0" collapsed="false">
      <c r="B50" s="30"/>
      <c r="C50" s="24"/>
      <c r="D50" s="3" t="n">
        <v>646807</v>
      </c>
      <c r="E50" s="3"/>
      <c r="F50" s="24"/>
      <c r="G50" s="3"/>
      <c r="H50" s="45" t="s">
        <v>66</v>
      </c>
      <c r="I50" s="3"/>
    </row>
    <row r="51" customFormat="false" ht="12.75" hidden="false" customHeight="false" outlineLevel="0" collapsed="false">
      <c r="B51" s="30"/>
      <c r="C51" s="24"/>
      <c r="D51" s="3"/>
      <c r="E51" s="3" t="n">
        <v>775417</v>
      </c>
      <c r="F51" s="24"/>
      <c r="G51" s="3"/>
      <c r="H51" s="45" t="s">
        <v>67</v>
      </c>
      <c r="I51" s="3"/>
    </row>
    <row r="52" customFormat="false" ht="12.75" hidden="false" customHeight="false" outlineLevel="0" collapsed="false">
      <c r="B52" s="30"/>
      <c r="C52" s="24"/>
      <c r="D52" s="3" t="n">
        <v>646808</v>
      </c>
      <c r="E52" s="3"/>
      <c r="F52" s="24"/>
      <c r="G52" s="3"/>
      <c r="H52" s="45" t="s">
        <v>68</v>
      </c>
      <c r="I52" s="3"/>
    </row>
    <row r="53" customFormat="false" ht="12.75" hidden="false" customHeight="false" outlineLevel="0" collapsed="false">
      <c r="B53" s="30" t="n">
        <v>775420</v>
      </c>
      <c r="C53" s="24"/>
      <c r="D53" s="3"/>
      <c r="E53" s="3"/>
      <c r="F53" s="24"/>
      <c r="G53" s="3"/>
      <c r="H53" s="45" t="s">
        <v>69</v>
      </c>
      <c r="I53" s="3"/>
    </row>
    <row r="54" customFormat="false" ht="12.75" hidden="false" customHeight="false" outlineLevel="0" collapsed="false">
      <c r="B54" s="35"/>
      <c r="C54" s="36"/>
      <c r="D54" s="39"/>
      <c r="E54" s="39"/>
      <c r="F54" s="36"/>
      <c r="G54" s="39"/>
      <c r="H54" s="46"/>
      <c r="I54" s="3"/>
    </row>
    <row r="55" customFormat="false" ht="12.75" hidden="false" customHeight="false" outlineLevel="0" collapsed="false">
      <c r="B55" s="3"/>
      <c r="C55" s="24"/>
      <c r="D55" s="3"/>
      <c r="E55" s="3"/>
      <c r="F55" s="24"/>
      <c r="G55" s="3"/>
      <c r="H55" s="3"/>
      <c r="I55" s="3"/>
    </row>
    <row r="56" customFormat="false" ht="12.75" hidden="false" customHeight="false" outlineLevel="0" collapsed="false">
      <c r="B56" s="3"/>
      <c r="C56" s="24"/>
      <c r="D56" s="3"/>
      <c r="E56" s="3"/>
      <c r="F56" s="24"/>
      <c r="G56" s="3"/>
      <c r="H56" s="3"/>
      <c r="I56" s="3"/>
    </row>
    <row r="57" customFormat="false" ht="12.75" hidden="false" customHeight="false" outlineLevel="0" collapsed="false">
      <c r="A57" s="21" t="s">
        <v>70</v>
      </c>
      <c r="B57" s="3"/>
      <c r="C57" s="24"/>
      <c r="D57" s="3"/>
      <c r="E57" s="3"/>
      <c r="F57" s="24"/>
      <c r="G57" s="3"/>
      <c r="H57" s="3"/>
      <c r="I57" s="3"/>
    </row>
    <row r="58" customFormat="false" ht="12.75" hidden="false" customHeight="false" outlineLevel="0" collapsed="false">
      <c r="B58" s="48"/>
      <c r="C58" s="27"/>
      <c r="D58" s="28" t="n">
        <v>805237</v>
      </c>
      <c r="E58" s="28"/>
      <c r="F58" s="27"/>
      <c r="G58" s="28"/>
      <c r="H58" s="47" t="s">
        <v>71</v>
      </c>
      <c r="I58" s="3"/>
    </row>
    <row r="59" customFormat="false" ht="12.75" hidden="false" customHeight="false" outlineLevel="0" collapsed="false">
      <c r="B59" s="30" t="n">
        <v>815537</v>
      </c>
      <c r="C59" s="24"/>
      <c r="D59" s="3"/>
      <c r="E59" s="3"/>
      <c r="F59" s="24"/>
      <c r="G59" s="3"/>
      <c r="H59" s="45" t="s">
        <v>72</v>
      </c>
      <c r="I59" s="3"/>
    </row>
    <row r="60" customFormat="false" ht="12.75" hidden="false" customHeight="false" outlineLevel="0" collapsed="false">
      <c r="B60" s="30" t="n">
        <v>822767</v>
      </c>
      <c r="C60" s="24"/>
      <c r="D60" s="3"/>
      <c r="E60" s="3"/>
      <c r="F60" s="24"/>
      <c r="G60" s="3"/>
      <c r="H60" s="45" t="s">
        <v>73</v>
      </c>
      <c r="I60" s="3"/>
    </row>
    <row r="61" customFormat="false" ht="12.75" hidden="false" customHeight="false" outlineLevel="0" collapsed="false">
      <c r="B61" s="30"/>
      <c r="C61" s="24"/>
      <c r="D61" s="3"/>
      <c r="E61" s="3"/>
      <c r="F61" s="24"/>
      <c r="G61" s="3"/>
      <c r="H61" s="45"/>
      <c r="I61" s="3"/>
    </row>
    <row r="62" customFormat="false" ht="12.75" hidden="false" customHeight="false" outlineLevel="0" collapsed="false">
      <c r="B62" s="49" t="s">
        <v>74</v>
      </c>
      <c r="C62" s="24"/>
      <c r="D62" s="3"/>
      <c r="E62" s="3"/>
      <c r="F62" s="24"/>
      <c r="G62" s="3"/>
      <c r="H62" s="45"/>
      <c r="I62" s="3"/>
    </row>
    <row r="63" customFormat="false" ht="12.75" hidden="false" customHeight="false" outlineLevel="0" collapsed="false">
      <c r="B63" s="30"/>
      <c r="C63" s="24"/>
      <c r="D63" s="3" t="n">
        <v>815546</v>
      </c>
      <c r="E63" s="3"/>
      <c r="F63" s="24"/>
      <c r="G63" s="3"/>
      <c r="H63" s="45" t="s">
        <v>75</v>
      </c>
      <c r="I63" s="3"/>
    </row>
    <row r="64" customFormat="false" ht="12.75" hidden="false" customHeight="false" outlineLevel="0" collapsed="false">
      <c r="B64" s="30" t="n">
        <v>822746</v>
      </c>
      <c r="C64" s="24"/>
      <c r="D64" s="3"/>
      <c r="E64" s="3"/>
      <c r="F64" s="24"/>
      <c r="G64" s="3"/>
      <c r="H64" s="45" t="s">
        <v>76</v>
      </c>
      <c r="I64" s="3"/>
    </row>
    <row r="65" customFormat="false" ht="12.75" hidden="false" customHeight="false" outlineLevel="0" collapsed="false">
      <c r="B65" s="30"/>
      <c r="C65" s="24"/>
      <c r="D65" s="3"/>
      <c r="E65" s="3"/>
      <c r="F65" s="24"/>
      <c r="G65" s="3"/>
      <c r="H65" s="45"/>
      <c r="I65" s="3"/>
    </row>
    <row r="66" customFormat="false" ht="12.75" hidden="false" customHeight="false" outlineLevel="0" collapsed="false">
      <c r="B66" s="30"/>
      <c r="C66" s="24"/>
      <c r="D66" s="3"/>
      <c r="E66" s="3"/>
      <c r="F66" s="24"/>
      <c r="G66" s="3"/>
      <c r="H66" s="45"/>
      <c r="I66" s="3"/>
    </row>
    <row r="67" customFormat="false" ht="12.75" hidden="false" customHeight="false" outlineLevel="0" collapsed="false">
      <c r="B67" s="30"/>
      <c r="C67" s="24"/>
      <c r="D67" s="3"/>
      <c r="E67" s="3"/>
      <c r="F67" s="24"/>
      <c r="G67" s="3"/>
      <c r="H67" s="45"/>
      <c r="I67" s="3"/>
    </row>
    <row r="68" customFormat="false" ht="12.75" hidden="false" customHeight="false" outlineLevel="0" collapsed="false">
      <c r="B68" s="35"/>
      <c r="C68" s="36"/>
      <c r="D68" s="39"/>
      <c r="E68" s="39"/>
      <c r="F68" s="36"/>
      <c r="G68" s="39"/>
      <c r="H68" s="46"/>
      <c r="I68" s="3"/>
    </row>
    <row r="69" customFormat="false" ht="12.75" hidden="false" customHeight="false" outlineLevel="0" collapsed="false">
      <c r="B69" s="3"/>
      <c r="C69" s="24"/>
      <c r="D69" s="3"/>
      <c r="E69" s="3"/>
      <c r="F69" s="24"/>
      <c r="G69" s="3"/>
      <c r="H69" s="3"/>
      <c r="I69" s="3"/>
    </row>
    <row r="70" customFormat="false" ht="12.75" hidden="false" customHeight="false" outlineLevel="0" collapsed="false">
      <c r="B70" s="3"/>
      <c r="C70" s="24"/>
      <c r="D70" s="3"/>
      <c r="E70" s="3"/>
      <c r="F70" s="24"/>
      <c r="G70" s="3"/>
      <c r="H70" s="3"/>
      <c r="I70" s="3"/>
    </row>
    <row r="71" customFormat="false" ht="12.75" hidden="false" customHeight="false" outlineLevel="0" collapsed="false">
      <c r="A71" s="0" t="s">
        <v>77</v>
      </c>
    </row>
    <row r="72" customFormat="false" ht="12.75" hidden="false" customHeight="false" outlineLevel="0" collapsed="false">
      <c r="B72" s="0" t="s">
        <v>78</v>
      </c>
      <c r="C72" s="20" t="s">
        <v>79</v>
      </c>
      <c r="D72" s="0" t="s">
        <v>30</v>
      </c>
    </row>
    <row r="73" customFormat="false" ht="12.75" hidden="false" customHeight="false" outlineLevel="0" collapsed="false">
      <c r="B73" s="30" t="n">
        <v>818960</v>
      </c>
      <c r="C73" s="3" t="s">
        <v>80</v>
      </c>
      <c r="D73" s="3" t="s">
        <v>81</v>
      </c>
      <c r="E73" s="3"/>
      <c r="F73" s="24"/>
      <c r="G73" s="3"/>
      <c r="H73" s="45"/>
    </row>
    <row r="74" customFormat="false" ht="12.75" hidden="false" customHeight="false" outlineLevel="0" collapsed="false">
      <c r="B74" s="30" t="n">
        <v>818947</v>
      </c>
      <c r="C74" s="3" t="s">
        <v>80</v>
      </c>
      <c r="D74" s="3" t="s">
        <v>82</v>
      </c>
      <c r="E74" s="3"/>
      <c r="F74" s="24"/>
      <c r="G74" s="3"/>
      <c r="H74" s="45"/>
    </row>
    <row r="76" customFormat="false" ht="12.75" hidden="false" customHeight="false" outlineLevel="0" collapsed="false">
      <c r="B76" s="48" t="n">
        <v>822826</v>
      </c>
      <c r="C76" s="28" t="s">
        <v>80</v>
      </c>
      <c r="D76" s="28" t="s">
        <v>83</v>
      </c>
      <c r="E76" s="28"/>
      <c r="F76" s="27"/>
      <c r="G76" s="28"/>
      <c r="H76" s="47"/>
    </row>
    <row r="77" customFormat="false" ht="12.75" hidden="false" customHeight="false" outlineLevel="0" collapsed="false">
      <c r="B77" s="30" t="n">
        <v>822822</v>
      </c>
      <c r="C77" s="3" t="s">
        <v>80</v>
      </c>
      <c r="D77" s="3" t="s">
        <v>84</v>
      </c>
      <c r="E77" s="3"/>
      <c r="F77" s="24"/>
      <c r="G77" s="3"/>
      <c r="H77" s="45"/>
    </row>
    <row r="78" customFormat="false" ht="12.75" hidden="false" customHeight="false" outlineLevel="0" collapsed="false">
      <c r="B78" s="30" t="n">
        <v>822082</v>
      </c>
      <c r="C78" s="3" t="s">
        <v>80</v>
      </c>
      <c r="D78" s="3" t="s">
        <v>85</v>
      </c>
      <c r="E78" s="3"/>
      <c r="F78" s="24"/>
      <c r="G78" s="3"/>
      <c r="H78" s="45"/>
    </row>
    <row r="79" customFormat="false" ht="12.75" hidden="false" customHeight="false" outlineLevel="0" collapsed="false">
      <c r="B79" s="30" t="n">
        <v>825878</v>
      </c>
      <c r="C79" s="3" t="s">
        <v>80</v>
      </c>
      <c r="D79" s="3" t="s">
        <v>86</v>
      </c>
      <c r="E79" s="3"/>
      <c r="F79" s="24"/>
      <c r="G79" s="3"/>
      <c r="H79" s="45"/>
    </row>
    <row r="80" customFormat="false" ht="12.75" hidden="false" customHeight="false" outlineLevel="0" collapsed="false">
      <c r="B80" s="30"/>
      <c r="C80" s="24"/>
      <c r="D80" s="3"/>
      <c r="E80" s="3"/>
      <c r="F80" s="24"/>
      <c r="G80" s="3"/>
      <c r="H80" s="45"/>
    </row>
    <row r="81" customFormat="false" ht="12.75" hidden="false" customHeight="false" outlineLevel="0" collapsed="false">
      <c r="B81" s="30"/>
      <c r="C81" s="24"/>
      <c r="D81" s="3"/>
      <c r="E81" s="3"/>
      <c r="F81" s="24"/>
      <c r="G81" s="3"/>
      <c r="H81" s="45"/>
    </row>
    <row r="82" customFormat="false" ht="12.75" hidden="false" customHeight="false" outlineLevel="0" collapsed="false">
      <c r="B82" s="30" t="n">
        <v>818885</v>
      </c>
      <c r="C82" s="3" t="s">
        <v>87</v>
      </c>
      <c r="D82" s="3" t="s">
        <v>88</v>
      </c>
      <c r="E82" s="3"/>
      <c r="F82" s="24"/>
      <c r="G82" s="3"/>
      <c r="H82" s="45"/>
    </row>
    <row r="83" customFormat="false" ht="12.75" hidden="false" customHeight="false" outlineLevel="0" collapsed="false">
      <c r="B83" s="30" t="n">
        <v>818939</v>
      </c>
      <c r="C83" s="3" t="s">
        <v>87</v>
      </c>
      <c r="D83" s="3" t="s">
        <v>89</v>
      </c>
      <c r="E83" s="3"/>
      <c r="F83" s="24"/>
      <c r="G83" s="3"/>
      <c r="H83" s="45"/>
    </row>
    <row r="84" customFormat="false" ht="12.75" hidden="false" customHeight="false" outlineLevel="0" collapsed="false">
      <c r="B84" s="30" t="n">
        <v>818961</v>
      </c>
      <c r="C84" s="3" t="s">
        <v>87</v>
      </c>
      <c r="D84" s="3" t="s">
        <v>90</v>
      </c>
      <c r="E84" s="3"/>
      <c r="F84" s="24"/>
      <c r="G84" s="3"/>
      <c r="H84" s="45"/>
    </row>
    <row r="85" customFormat="false" ht="12.75" hidden="false" customHeight="false" outlineLevel="0" collapsed="false">
      <c r="B85" s="35" t="n">
        <v>822290</v>
      </c>
      <c r="C85" s="39" t="s">
        <v>87</v>
      </c>
      <c r="D85" s="39" t="s">
        <v>91</v>
      </c>
      <c r="E85" s="39"/>
      <c r="F85" s="36"/>
      <c r="G85" s="39"/>
      <c r="H85" s="4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4" activeCellId="0" sqref="F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0" width="10.28"/>
    <col collapsed="false" customWidth="true" hidden="false" outlineLevel="0" max="3" min="3" style="2" width="9.14"/>
    <col collapsed="false" customWidth="true" hidden="false" outlineLevel="0" max="4" min="4" style="0" width="1.85"/>
    <col collapsed="false" customWidth="true" hidden="false" outlineLevel="0" max="5" min="5" style="0" width="12.7"/>
    <col collapsed="false" customWidth="true" hidden="false" outlineLevel="0" max="6" min="6" style="2" width="9.14"/>
    <col collapsed="false" customWidth="true" hidden="false" outlineLevel="0" max="7" min="7" style="51" width="9.14"/>
    <col collapsed="false" customWidth="true" hidden="false" outlineLevel="0" max="8" min="8" style="0" width="1.85"/>
    <col collapsed="false" customWidth="true" hidden="false" outlineLevel="0" max="9" min="9" style="50" width="10.28"/>
    <col collapsed="false" customWidth="true" hidden="false" outlineLevel="0" max="10" min="10" style="2" width="9.14"/>
    <col collapsed="false" customWidth="true" hidden="false" outlineLevel="0" max="11" min="11" style="0" width="3.56"/>
    <col collapsed="false" customWidth="true" hidden="false" outlineLevel="0" max="16" min="16" style="0" width="3.28"/>
  </cols>
  <sheetData>
    <row r="1" customFormat="false" ht="12.75" hidden="false" customHeight="false" outlineLevel="0" collapsed="false">
      <c r="A1" s="21" t="s">
        <v>92</v>
      </c>
    </row>
    <row r="2" customFormat="false" ht="12.75" hidden="false" customHeight="false" outlineLevel="0" collapsed="false">
      <c r="B2" s="52" t="s">
        <v>93</v>
      </c>
      <c r="C2" s="53"/>
      <c r="D2" s="25"/>
      <c r="I2" s="50" t="s">
        <v>94</v>
      </c>
    </row>
    <row r="3" customFormat="false" ht="12.75" hidden="false" customHeight="false" outlineLevel="0" collapsed="false">
      <c r="B3" s="52" t="s">
        <v>13</v>
      </c>
      <c r="C3" s="53" t="s">
        <v>95</v>
      </c>
      <c r="D3" s="25"/>
      <c r="F3" s="2" t="s">
        <v>96</v>
      </c>
      <c r="G3" s="51" t="s">
        <v>97</v>
      </c>
      <c r="I3" s="50" t="s">
        <v>13</v>
      </c>
      <c r="J3" s="2" t="s">
        <v>95</v>
      </c>
      <c r="L3" s="0" t="s">
        <v>10</v>
      </c>
    </row>
    <row r="4" customFormat="false" ht="12.75" hidden="false" customHeight="false" outlineLevel="0" collapsed="false">
      <c r="B4" s="50" t="n">
        <v>3000</v>
      </c>
      <c r="C4" s="2" t="n">
        <v>3.74</v>
      </c>
      <c r="E4" s="21" t="s">
        <v>98</v>
      </c>
      <c r="F4" s="2" t="n">
        <f aca="false">0.0035+0.005</f>
        <v>0.0085</v>
      </c>
      <c r="G4" s="51" t="n">
        <f aca="false">1-0.0045</f>
        <v>0.9955</v>
      </c>
      <c r="I4" s="50" t="n">
        <f aca="false">ROUND(+B4*G4,0)</f>
        <v>2987</v>
      </c>
      <c r="J4" s="2" t="n">
        <f aca="false">ROUND(+C4/G4+F4,3)</f>
        <v>3.765</v>
      </c>
      <c r="L4" s="54" t="n">
        <f aca="false">+J4-C4</f>
        <v>0.0249999999999999</v>
      </c>
      <c r="Q4" s="0" t="s">
        <v>99</v>
      </c>
      <c r="R4" s="0" t="s">
        <v>100</v>
      </c>
    </row>
    <row r="6" customFormat="false" ht="12.75" hidden="false" customHeight="false" outlineLevel="0" collapsed="false">
      <c r="B6" s="50" t="n">
        <v>0</v>
      </c>
      <c r="C6" s="2" t="n">
        <v>4.835</v>
      </c>
      <c r="E6" s="21" t="s">
        <v>101</v>
      </c>
      <c r="F6" s="2" t="n">
        <f aca="false">0.0775+0.01</f>
        <v>0.0875</v>
      </c>
      <c r="G6" s="51" t="n">
        <v>1</v>
      </c>
      <c r="I6" s="50" t="n">
        <f aca="false">ROUND(+B6*G6,0)</f>
        <v>0</v>
      </c>
      <c r="J6" s="2" t="n">
        <f aca="false">ROUND(+C6/G6+F6,3)</f>
        <v>4.923</v>
      </c>
      <c r="M6" s="15" t="n">
        <f aca="false">+J8-C8</f>
        <v>0.382</v>
      </c>
    </row>
    <row r="7" customFormat="false" ht="12.75" hidden="false" customHeight="false" outlineLevel="0" collapsed="false">
      <c r="J7" s="2" t="n">
        <f aca="false">+J8-C8</f>
        <v>0.382</v>
      </c>
      <c r="L7" s="55" t="s">
        <v>102</v>
      </c>
      <c r="M7" s="56" t="s">
        <v>103</v>
      </c>
      <c r="N7" s="56" t="s">
        <v>104</v>
      </c>
      <c r="O7" s="57" t="s">
        <v>105</v>
      </c>
    </row>
    <row r="8" customFormat="false" ht="12.75" hidden="false" customHeight="false" outlineLevel="0" collapsed="false">
      <c r="B8" s="50" t="n">
        <v>700</v>
      </c>
      <c r="C8" s="2" t="n">
        <v>3.945</v>
      </c>
      <c r="E8" s="21" t="s">
        <v>106</v>
      </c>
      <c r="F8" s="2" t="n">
        <f aca="false">0.0817</f>
        <v>0.0817</v>
      </c>
      <c r="G8" s="51" t="n">
        <f aca="false">1-0.0707</f>
        <v>0.9293</v>
      </c>
      <c r="I8" s="50" t="n">
        <f aca="false">ROUND(+B8*G8,0)</f>
        <v>651</v>
      </c>
      <c r="J8" s="2" t="n">
        <f aca="false">ROUND(+C8/G8+F8,3)</f>
        <v>4.327</v>
      </c>
      <c r="L8" s="58"/>
      <c r="M8" s="59" t="n">
        <f aca="false">+(J8-F9)*G9</f>
        <v>3.93082252</v>
      </c>
      <c r="N8" s="59" t="n">
        <f aca="false">+(J8-F10)*G10</f>
        <v>3.89840955</v>
      </c>
      <c r="O8" s="60" t="n">
        <f aca="false">+(J8-F11)*G11</f>
        <v>4.0880552</v>
      </c>
      <c r="Q8" s="2" t="n">
        <v>0.1322</v>
      </c>
      <c r="R8" s="54" t="n">
        <f aca="false">+J8+Q8-F8</f>
        <v>4.3775</v>
      </c>
    </row>
    <row r="9" customFormat="false" ht="12.75" hidden="false" customHeight="false" outlineLevel="0" collapsed="false">
      <c r="B9" s="50" t="n">
        <v>5000</v>
      </c>
      <c r="C9" s="2" t="n">
        <v>3.695</v>
      </c>
      <c r="E9" s="21" t="s">
        <v>107</v>
      </c>
      <c r="F9" s="2" t="n">
        <f aca="false">0.0848</f>
        <v>0.0848</v>
      </c>
      <c r="G9" s="51" t="n">
        <f aca="false">1-0.0734</f>
        <v>0.9266</v>
      </c>
      <c r="I9" s="50" t="n">
        <f aca="false">ROUND(+B9*G9,0)</f>
        <v>4633</v>
      </c>
      <c r="J9" s="2" t="n">
        <f aca="false">ROUND(+C9/G9+F9,3)</f>
        <v>4.072</v>
      </c>
      <c r="K9" s="15"/>
      <c r="L9" s="61" t="n">
        <f aca="false">+(J9-F8)*G8</f>
        <v>3.70818579</v>
      </c>
      <c r="M9" s="62"/>
      <c r="N9" s="62" t="n">
        <f aca="false">+(J9-F10)*G10</f>
        <v>3.66368205</v>
      </c>
      <c r="O9" s="63" t="n">
        <f aca="false">+(J9-F11)*G11</f>
        <v>3.8436632</v>
      </c>
      <c r="Q9" s="2" t="n">
        <f aca="false">+Q8</f>
        <v>0.1322</v>
      </c>
      <c r="R9" s="54" t="n">
        <f aca="false">+J9+Q9-F9</f>
        <v>4.1194</v>
      </c>
    </row>
    <row r="10" customFormat="false" ht="12.75" hidden="false" customHeight="false" outlineLevel="0" collapsed="false">
      <c r="B10" s="50" t="n">
        <v>5485</v>
      </c>
      <c r="C10" s="2" t="n">
        <v>3.65</v>
      </c>
      <c r="E10" s="21" t="s">
        <v>108</v>
      </c>
      <c r="F10" s="2" t="n">
        <v>0.0919</v>
      </c>
      <c r="G10" s="51" t="n">
        <f aca="false">1-0.0795</f>
        <v>0.9205</v>
      </c>
      <c r="I10" s="50" t="n">
        <f aca="false">ROUND(+B10*G10,0)</f>
        <v>5049</v>
      </c>
      <c r="J10" s="2" t="n">
        <f aca="false">ROUND(+C10/G10+F10,3)</f>
        <v>4.057</v>
      </c>
      <c r="K10" s="15"/>
      <c r="L10" s="61" t="n">
        <f aca="false">+(J10-F8)*G8</f>
        <v>3.69424629</v>
      </c>
      <c r="M10" s="62" t="n">
        <f aca="false">+(J10-F9)*G9</f>
        <v>3.68064052</v>
      </c>
      <c r="N10" s="62"/>
      <c r="O10" s="63" t="n">
        <f aca="false">+(J10-F11)*G11</f>
        <v>3.8292872</v>
      </c>
      <c r="Q10" s="2" t="n">
        <f aca="false">+Q8</f>
        <v>0.1322</v>
      </c>
      <c r="R10" s="54" t="n">
        <f aca="false">+J10+Q10-F10</f>
        <v>4.0973</v>
      </c>
    </row>
    <row r="11" customFormat="false" ht="12.75" hidden="false" customHeight="false" outlineLevel="0" collapsed="false">
      <c r="A11" s="1"/>
      <c r="B11" s="64" t="n">
        <v>2600</v>
      </c>
      <c r="C11" s="65" t="n">
        <v>3.785</v>
      </c>
      <c r="D11" s="1"/>
      <c r="E11" s="66" t="s">
        <v>109</v>
      </c>
      <c r="F11" s="65" t="n">
        <v>0.0615</v>
      </c>
      <c r="G11" s="67" t="n">
        <f aca="false">1-0.0416</f>
        <v>0.9584</v>
      </c>
      <c r="H11" s="1"/>
      <c r="I11" s="64" t="n">
        <f aca="false">ROUND(+B11*G11,0)</f>
        <v>2492</v>
      </c>
      <c r="J11" s="65" t="n">
        <f aca="false">ROUND(+C11/G11+F11,3)</f>
        <v>4.011</v>
      </c>
      <c r="K11" s="68"/>
      <c r="L11" s="69" t="n">
        <f aca="false">+(J11-F8)*G8</f>
        <v>3.65149849</v>
      </c>
      <c r="M11" s="70" t="n">
        <f aca="false">+(J11-F9)*G9</f>
        <v>3.63801692</v>
      </c>
      <c r="N11" s="70" t="n">
        <f aca="false">+(J11-F10)*G10</f>
        <v>3.60753155</v>
      </c>
      <c r="O11" s="71"/>
      <c r="P11" s="1"/>
      <c r="Q11" s="65" t="n">
        <f aca="false">+Q9</f>
        <v>0.1322</v>
      </c>
      <c r="R11" s="72" t="n">
        <f aca="false">+J11+Q11-F11</f>
        <v>4.0817</v>
      </c>
    </row>
    <row r="12" customFormat="false" ht="13.5" hidden="false" customHeight="false" outlineLevel="0" collapsed="false">
      <c r="B12" s="73" t="n">
        <f aca="false">SUM(B8:B11)</f>
        <v>13785</v>
      </c>
      <c r="I12" s="73" t="n">
        <f aca="false">SUM(I8:I11)</f>
        <v>12825</v>
      </c>
    </row>
    <row r="13" customFormat="false" ht="13.5" hidden="false" customHeight="false" outlineLevel="0" collapsed="false"/>
    <row r="14" customFormat="false" ht="12.75" hidden="false" customHeight="false" outlineLevel="0" collapsed="false">
      <c r="B14" s="50" t="n">
        <v>5000</v>
      </c>
      <c r="C14" s="2" t="n">
        <f aca="false">+C8</f>
        <v>3.945</v>
      </c>
      <c r="E14" s="21" t="s">
        <v>110</v>
      </c>
      <c r="F14" s="2" t="n">
        <v>0.1016</v>
      </c>
      <c r="G14" s="51" t="n">
        <f aca="false">1-0.0796</f>
        <v>0.9204</v>
      </c>
      <c r="I14" s="50" t="n">
        <f aca="false">ROUND(+B14*G14,0)</f>
        <v>4602</v>
      </c>
      <c r="J14" s="2" t="n">
        <f aca="false">ROUND(+C14/G14+F14,3)</f>
        <v>4.388</v>
      </c>
      <c r="K14" s="15"/>
      <c r="L14" s="58"/>
      <c r="M14" s="59" t="n">
        <f aca="false">+(J14-F15)*G15</f>
        <v>3.93078441</v>
      </c>
      <c r="N14" s="59" t="n">
        <f aca="false">+(J14-F16)*G16</f>
        <v>3.89818392</v>
      </c>
      <c r="O14" s="60" t="n">
        <f aca="false">+(J14-F17)*G17</f>
        <v>4.0891167</v>
      </c>
      <c r="Q14" s="2" t="n">
        <v>0.1522</v>
      </c>
      <c r="R14" s="54" t="n">
        <f aca="false">+J14+Q14-F14</f>
        <v>4.4386</v>
      </c>
    </row>
    <row r="15" customFormat="false" ht="12.75" hidden="false" customHeight="false" outlineLevel="0" collapsed="false">
      <c r="B15" s="50" t="n">
        <v>434</v>
      </c>
      <c r="C15" s="2" t="n">
        <f aca="false">+C9</f>
        <v>3.695</v>
      </c>
      <c r="E15" s="21" t="s">
        <v>111</v>
      </c>
      <c r="F15" s="2" t="n">
        <v>0.1047</v>
      </c>
      <c r="G15" s="51" t="n">
        <f aca="false">1-0.0823</f>
        <v>0.9177</v>
      </c>
      <c r="I15" s="50" t="n">
        <f aca="false">ROUND(+B15*G15,0)</f>
        <v>398</v>
      </c>
      <c r="J15" s="2" t="n">
        <f aca="false">ROUND(+C15/G15+F15,3)</f>
        <v>4.131</v>
      </c>
      <c r="K15" s="15"/>
      <c r="L15" s="61" t="n">
        <f aca="false">+(J15-F14)*G14</f>
        <v>3.70865976</v>
      </c>
      <c r="M15" s="62"/>
      <c r="N15" s="62" t="n">
        <f aca="false">+(J15-F16)*G16</f>
        <v>3.66390272</v>
      </c>
      <c r="O15" s="63" t="n">
        <f aca="false">+(J15-F17)*G17</f>
        <v>3.8450952</v>
      </c>
      <c r="Q15" s="2" t="n">
        <f aca="false">+Q14</f>
        <v>0.1522</v>
      </c>
      <c r="R15" s="54" t="n">
        <f aca="false">+J15+Q15-F15</f>
        <v>4.1785</v>
      </c>
    </row>
    <row r="16" customFormat="false" ht="12.75" hidden="false" customHeight="false" outlineLevel="0" collapsed="false">
      <c r="B16" s="50" t="n">
        <v>4000</v>
      </c>
      <c r="C16" s="2" t="n">
        <f aca="false">+C10</f>
        <v>3.65</v>
      </c>
      <c r="E16" s="21" t="s">
        <v>112</v>
      </c>
      <c r="F16" s="2" t="n">
        <v>0.1118</v>
      </c>
      <c r="G16" s="51" t="n">
        <f aca="false">1-0.0884</f>
        <v>0.9116</v>
      </c>
      <c r="I16" s="50" t="n">
        <f aca="false">ROUND(+B16*G16,0)</f>
        <v>3646</v>
      </c>
      <c r="J16" s="2" t="n">
        <f aca="false">ROUND(+C16/G16+F16,3)</f>
        <v>4.116</v>
      </c>
      <c r="K16" s="15"/>
      <c r="L16" s="61" t="n">
        <f aca="false">+(J16-F14)*G14</f>
        <v>3.69485376</v>
      </c>
      <c r="M16" s="62" t="n">
        <f aca="false">+(J16-F15)*G15</f>
        <v>3.68117001</v>
      </c>
      <c r="N16" s="62"/>
      <c r="O16" s="63" t="n">
        <f aca="false">+(J16-F17)*G17</f>
        <v>3.8308527</v>
      </c>
      <c r="Q16" s="2" t="n">
        <f aca="false">+Q14</f>
        <v>0.1522</v>
      </c>
      <c r="R16" s="54" t="n">
        <f aca="false">+J16+Q16-F16</f>
        <v>4.1564</v>
      </c>
    </row>
    <row r="17" customFormat="false" ht="12.75" hidden="false" customHeight="false" outlineLevel="0" collapsed="false">
      <c r="A17" s="1"/>
      <c r="B17" s="64" t="n">
        <v>10000</v>
      </c>
      <c r="C17" s="65" t="n">
        <f aca="false">+C11</f>
        <v>3.785</v>
      </c>
      <c r="D17" s="1"/>
      <c r="E17" s="66" t="s">
        <v>113</v>
      </c>
      <c r="F17" s="65" t="n">
        <v>0.0814</v>
      </c>
      <c r="G17" s="67" t="n">
        <f aca="false">1-0.0505</f>
        <v>0.9495</v>
      </c>
      <c r="H17" s="1"/>
      <c r="I17" s="64" t="n">
        <f aca="false">ROUND(+B17*G17,0)</f>
        <v>9495</v>
      </c>
      <c r="J17" s="65" t="n">
        <f aca="false">ROUND(+C17/G17+F17,3)</f>
        <v>4.068</v>
      </c>
      <c r="K17" s="68"/>
      <c r="L17" s="69" t="n">
        <f aca="false">+(J17-F14)*G14</f>
        <v>3.65067456</v>
      </c>
      <c r="M17" s="70" t="n">
        <f aca="false">+(J17-F15)*G15</f>
        <v>3.63712041</v>
      </c>
      <c r="N17" s="70" t="n">
        <f aca="false">+(J17-F16)*G16</f>
        <v>3.60647192</v>
      </c>
      <c r="O17" s="71"/>
      <c r="P17" s="1"/>
      <c r="Q17" s="65" t="n">
        <f aca="false">+Q15</f>
        <v>0.1522</v>
      </c>
      <c r="R17" s="72" t="n">
        <f aca="false">+J17+Q17-F17</f>
        <v>4.1388</v>
      </c>
    </row>
    <row r="18" customFormat="false" ht="13.5" hidden="false" customHeight="false" outlineLevel="0" collapsed="false">
      <c r="B18" s="73" t="n">
        <f aca="false">SUM(B14:B17)</f>
        <v>19434</v>
      </c>
      <c r="I18" s="73" t="n">
        <f aca="false">SUM(I14:I17)</f>
        <v>18141</v>
      </c>
    </row>
    <row r="19" customFormat="false" ht="13.5" hidden="false" customHeight="false" outlineLevel="0" collapsed="false"/>
    <row r="20" customFormat="false" ht="12.75" hidden="false" customHeight="false" outlineLevel="0" collapsed="false">
      <c r="B20" s="50" t="n">
        <v>0</v>
      </c>
      <c r="C20" s="2" t="n">
        <f aca="false">+C14</f>
        <v>3.945</v>
      </c>
      <c r="E20" s="21" t="s">
        <v>114</v>
      </c>
      <c r="F20" s="2" t="n">
        <f aca="false">+F8*0.6+F14*0.4</f>
        <v>0.08966</v>
      </c>
      <c r="G20" s="51" t="n">
        <f aca="false">+G8*0.6+G14*0.4</f>
        <v>0.92574</v>
      </c>
      <c r="I20" s="50" t="n">
        <f aca="false">ROUND(+B20*G20,0)</f>
        <v>0</v>
      </c>
      <c r="J20" s="2" t="n">
        <f aca="false">ROUND(+C20/G20+F20,3)</f>
        <v>4.351</v>
      </c>
    </row>
    <row r="21" customFormat="false" ht="12.75" hidden="false" customHeight="false" outlineLevel="0" collapsed="false">
      <c r="B21" s="50" t="n">
        <v>0</v>
      </c>
      <c r="C21" s="2" t="n">
        <f aca="false">+C15</f>
        <v>3.695</v>
      </c>
      <c r="E21" s="21" t="s">
        <v>115</v>
      </c>
      <c r="F21" s="2" t="n">
        <f aca="false">+F9*0.6+F15*0.4</f>
        <v>0.09276</v>
      </c>
      <c r="G21" s="51" t="n">
        <f aca="false">+G9*0.6+G15*0.4</f>
        <v>0.92304</v>
      </c>
      <c r="I21" s="50" t="n">
        <f aca="false">ROUND(+B21*G21,0)</f>
        <v>0</v>
      </c>
      <c r="J21" s="2" t="n">
        <f aca="false">ROUND(+C21/G21+F21,3)</f>
        <v>4.096</v>
      </c>
    </row>
    <row r="22" customFormat="false" ht="12.75" hidden="false" customHeight="false" outlineLevel="0" collapsed="false">
      <c r="B22" s="50" t="n">
        <v>0</v>
      </c>
      <c r="C22" s="2" t="n">
        <f aca="false">+C17</f>
        <v>3.785</v>
      </c>
      <c r="E22" s="21" t="s">
        <v>116</v>
      </c>
      <c r="F22" s="2" t="n">
        <f aca="false">+F11*0.6+F17*0.4</f>
        <v>0.06946</v>
      </c>
      <c r="G22" s="51" t="n">
        <f aca="false">+G11*0.6+G17*0.4</f>
        <v>0.95484</v>
      </c>
      <c r="I22" s="50" t="n">
        <f aca="false">ROUND(+B22*G22,0)</f>
        <v>0</v>
      </c>
      <c r="J22" s="2" t="n">
        <f aca="false">ROUND(+C22/G22+F22,3)</f>
        <v>4.033</v>
      </c>
    </row>
    <row r="23" customFormat="false" ht="13.5" hidden="false" customHeight="false" outlineLevel="0" collapsed="false">
      <c r="B23" s="73" t="n">
        <f aca="false">SUM(B20:B22)</f>
        <v>0</v>
      </c>
      <c r="I23" s="73" t="n">
        <f aca="false">SUM(I20:I22)</f>
        <v>0</v>
      </c>
    </row>
    <row r="24" customFormat="false" ht="13.5" hidden="false" customHeight="false" outlineLevel="0" collapsed="false"/>
    <row r="25" customFormat="false" ht="12.75" hidden="false" customHeight="false" outlineLevel="0" collapsed="false">
      <c r="A25" s="21" t="s">
        <v>117</v>
      </c>
    </row>
    <row r="26" customFormat="false" ht="12.75" hidden="false" customHeight="false" outlineLevel="0" collapsed="false">
      <c r="B26" s="74" t="s">
        <v>118</v>
      </c>
      <c r="C26" s="75"/>
      <c r="O26" s="3"/>
    </row>
    <row r="27" customFormat="false" ht="12.75" hidden="false" customHeight="false" outlineLevel="0" collapsed="false">
      <c r="B27" s="76" t="s">
        <v>119</v>
      </c>
      <c r="C27" s="77"/>
      <c r="D27" s="78"/>
      <c r="E27" s="78"/>
      <c r="F27" s="77"/>
      <c r="G27" s="79"/>
      <c r="H27" s="78"/>
      <c r="L27" s="55" t="s">
        <v>120</v>
      </c>
      <c r="M27" s="56" t="s">
        <v>121</v>
      </c>
      <c r="N27" s="57" t="s">
        <v>122</v>
      </c>
      <c r="O27" s="80"/>
    </row>
    <row r="28" customFormat="false" ht="12.75" hidden="false" customHeight="false" outlineLevel="0" collapsed="false">
      <c r="B28" s="50" t="n">
        <v>0</v>
      </c>
      <c r="C28" s="2" t="n">
        <v>4.4</v>
      </c>
      <c r="E28" s="21" t="s">
        <v>123</v>
      </c>
      <c r="F28" s="77" t="n">
        <f aca="false">0.0022+0.007+0.0097+0.0392</f>
        <v>0.0581</v>
      </c>
      <c r="G28" s="51" t="n">
        <f aca="false">1-0.0539</f>
        <v>0.9461</v>
      </c>
      <c r="I28" s="50" t="n">
        <f aca="false">ROUND(+B28*G28,0)</f>
        <v>0</v>
      </c>
      <c r="J28" s="2" t="n">
        <f aca="false">ROUND(+C28/G28+F28,3)</f>
        <v>4.709</v>
      </c>
      <c r="L28" s="58" t="n">
        <f aca="false">+(J28-F30)*G30</f>
        <v>4.4413697</v>
      </c>
      <c r="M28" s="59" t="n">
        <f aca="false">+(J28-F31)*G31</f>
        <v>4.46482872</v>
      </c>
      <c r="N28" s="60" t="n">
        <f aca="false">+(J28-F32)*G32</f>
        <v>4.64596041</v>
      </c>
      <c r="O28" s="62"/>
    </row>
    <row r="29" customFormat="false" ht="12.75" hidden="false" customHeight="false" outlineLevel="0" collapsed="false">
      <c r="B29" s="50" t="n">
        <v>0</v>
      </c>
      <c r="C29" s="2" t="n">
        <v>4.415</v>
      </c>
      <c r="E29" s="21" t="s">
        <v>124</v>
      </c>
      <c r="F29" s="77" t="n">
        <f aca="false">0.0022+0.007+0.0097+0.0367</f>
        <v>0.0556</v>
      </c>
      <c r="G29" s="51" t="n">
        <f aca="false">1-0.0504</f>
        <v>0.9496</v>
      </c>
      <c r="I29" s="50" t="n">
        <f aca="false">ROUND(+B29*G29,0)</f>
        <v>0</v>
      </c>
      <c r="J29" s="2" t="n">
        <f aca="false">ROUND(+C29/G29+F29,3)</f>
        <v>4.705</v>
      </c>
      <c r="L29" s="61" t="n">
        <f aca="false">+(J29-F30)*G30</f>
        <v>4.4375545</v>
      </c>
      <c r="M29" s="62" t="n">
        <f aca="false">+(J29-F31)*G31</f>
        <v>4.46099592</v>
      </c>
      <c r="N29" s="63" t="n">
        <f aca="false">+(J29-F32)*G32</f>
        <v>4.64199281</v>
      </c>
      <c r="O29" s="62"/>
    </row>
    <row r="30" customFormat="false" ht="12.75" hidden="false" customHeight="false" outlineLevel="0" collapsed="false">
      <c r="A30" s="0" t="n">
        <f aca="false">6081-5675</f>
        <v>406</v>
      </c>
      <c r="B30" s="50" t="n">
        <v>6081</v>
      </c>
      <c r="C30" s="2" t="n">
        <v>3.94</v>
      </c>
      <c r="E30" s="21" t="s">
        <v>125</v>
      </c>
      <c r="F30" s="77" t="n">
        <f aca="false">0.0022+0.007+0.0097+0.0336</f>
        <v>0.0525</v>
      </c>
      <c r="G30" s="51" t="n">
        <f aca="false">1-0.0462</f>
        <v>0.9538</v>
      </c>
      <c r="I30" s="50" t="n">
        <f aca="false">ROUND(+B30*G30,0)</f>
        <v>5800</v>
      </c>
      <c r="J30" s="2" t="n">
        <f aca="false">ROUND(+C30/G30+F30,3)</f>
        <v>4.183</v>
      </c>
      <c r="L30" s="61"/>
      <c r="M30" s="62" t="n">
        <f aca="false">+(J30-F31)*G31</f>
        <v>3.96081552</v>
      </c>
      <c r="N30" s="63" t="n">
        <f aca="false">+(J30-F32)*G32</f>
        <v>4.12422101</v>
      </c>
      <c r="O30" s="62"/>
    </row>
    <row r="31" customFormat="false" ht="12.75" hidden="false" customHeight="false" outlineLevel="0" collapsed="false">
      <c r="B31" s="50" t="n">
        <v>5649</v>
      </c>
      <c r="C31" s="2" t="n">
        <v>4.473</v>
      </c>
      <c r="D31" s="81"/>
      <c r="E31" s="82" t="s">
        <v>126</v>
      </c>
      <c r="F31" s="77" t="n">
        <f aca="false">0.0022+0.007+0.0097+0.0305</f>
        <v>0.0494</v>
      </c>
      <c r="G31" s="51" t="n">
        <f aca="false">1-0.0418</f>
        <v>0.9582</v>
      </c>
      <c r="H31" s="81"/>
      <c r="I31" s="50" t="n">
        <f aca="false">ROUND(+B31*G31,0)</f>
        <v>5413</v>
      </c>
      <c r="J31" s="2" t="n">
        <f aca="false">ROUND(+C31/G31+F31,3)</f>
        <v>4.718</v>
      </c>
      <c r="L31" s="61" t="n">
        <f aca="false">+(J31-F30)*G30</f>
        <v>4.4499539</v>
      </c>
      <c r="M31" s="62"/>
      <c r="N31" s="63" t="n">
        <f aca="false">+(J31-F32)*G32</f>
        <v>4.65488751</v>
      </c>
      <c r="O31" s="62"/>
    </row>
    <row r="32" customFormat="false" ht="12.75" hidden="false" customHeight="false" outlineLevel="0" collapsed="false">
      <c r="B32" s="50" t="n">
        <v>0</v>
      </c>
      <c r="C32" s="2" t="n">
        <v>4.646</v>
      </c>
      <c r="D32" s="81"/>
      <c r="E32" s="82" t="s">
        <v>127</v>
      </c>
      <c r="F32" s="77" t="n">
        <f aca="false">0.0022+0.007+0.0097+0.0062</f>
        <v>0.0251</v>
      </c>
      <c r="G32" s="51" t="n">
        <f aca="false">1-0.0081</f>
        <v>0.9919</v>
      </c>
      <c r="H32" s="81"/>
      <c r="I32" s="50" t="n">
        <f aca="false">ROUND(+B32*G32,0)</f>
        <v>0</v>
      </c>
      <c r="J32" s="2" t="n">
        <f aca="false">ROUND(+C32/G32+F32,3)</f>
        <v>4.709</v>
      </c>
      <c r="L32" s="61" t="n">
        <f aca="false">+(J32-F30)*G30</f>
        <v>4.4413697</v>
      </c>
      <c r="M32" s="62" t="n">
        <f aca="false">+(J32-F31)*G31</f>
        <v>4.46482872</v>
      </c>
      <c r="N32" s="63"/>
      <c r="O32" s="3"/>
    </row>
    <row r="33" customFormat="false" ht="12.75" hidden="false" customHeight="false" outlineLevel="0" collapsed="false">
      <c r="B33" s="50" t="n">
        <v>0</v>
      </c>
      <c r="C33" s="2" t="n">
        <v>5.155</v>
      </c>
      <c r="D33" s="81"/>
      <c r="E33" s="82" t="s">
        <v>128</v>
      </c>
      <c r="F33" s="77" t="n">
        <f aca="false">0.0022+0.007+0.0097+0.006</f>
        <v>0.0249</v>
      </c>
      <c r="G33" s="51" t="n">
        <f aca="false">1-0.0077</f>
        <v>0.9923</v>
      </c>
      <c r="H33" s="81"/>
      <c r="I33" s="50" t="n">
        <f aca="false">ROUND(+B33*G33,0)</f>
        <v>0</v>
      </c>
      <c r="J33" s="2" t="n">
        <f aca="false">ROUND(+C33/G33+F33,3)</f>
        <v>5.22</v>
      </c>
      <c r="L33" s="61"/>
      <c r="M33" s="62"/>
      <c r="N33" s="63"/>
      <c r="O33" s="3"/>
    </row>
    <row r="34" customFormat="false" ht="12.75" hidden="false" customHeight="false" outlineLevel="0" collapsed="false">
      <c r="B34" s="50" t="n">
        <v>0</v>
      </c>
      <c r="C34" s="2" t="n">
        <v>5.155</v>
      </c>
      <c r="D34" s="81"/>
      <c r="E34" s="82" t="s">
        <v>129</v>
      </c>
      <c r="F34" s="75" t="n">
        <f aca="false">0.0091</f>
        <v>0.0091</v>
      </c>
      <c r="G34" s="51" t="n">
        <f aca="false">1-0.0121</f>
        <v>0.9879</v>
      </c>
      <c r="H34" s="81"/>
      <c r="I34" s="50" t="n">
        <f aca="false">ROUND(+B34*G34,0)</f>
        <v>0</v>
      </c>
      <c r="J34" s="2" t="n">
        <f aca="false">ROUND(+C34/G34+F34,3)</f>
        <v>5.227</v>
      </c>
      <c r="L34" s="61"/>
      <c r="M34" s="62"/>
      <c r="N34" s="63"/>
      <c r="O34" s="3"/>
    </row>
    <row r="35" customFormat="false" ht="12.75" hidden="false" customHeight="false" outlineLevel="0" collapsed="false">
      <c r="B35" s="50" t="n">
        <v>0</v>
      </c>
      <c r="C35" s="2" t="n">
        <v>5.155</v>
      </c>
      <c r="D35" s="81"/>
      <c r="E35" s="82" t="s">
        <v>130</v>
      </c>
      <c r="F35" s="75" t="n">
        <v>0.0066</v>
      </c>
      <c r="G35" s="51" t="n">
        <f aca="false">1-0.0086</f>
        <v>0.9914</v>
      </c>
      <c r="H35" s="81"/>
      <c r="I35" s="50" t="n">
        <f aca="false">ROUND(+B35*G35,0)</f>
        <v>0</v>
      </c>
      <c r="J35" s="2" t="n">
        <f aca="false">ROUND(+C35/G35+F35,3)</f>
        <v>5.206</v>
      </c>
      <c r="L35" s="61"/>
      <c r="M35" s="62"/>
      <c r="N35" s="63"/>
      <c r="O35" s="3"/>
    </row>
    <row r="36" customFormat="false" ht="12.75" hidden="false" customHeight="false" outlineLevel="0" collapsed="false">
      <c r="B36" s="50" t="n">
        <v>0</v>
      </c>
      <c r="C36" s="2" t="n">
        <v>4.2158</v>
      </c>
      <c r="D36" s="81"/>
      <c r="E36" s="82" t="s">
        <v>131</v>
      </c>
      <c r="F36" s="75" t="n">
        <v>0.0035</v>
      </c>
      <c r="G36" s="51" t="n">
        <f aca="false">1-0.0044</f>
        <v>0.9956</v>
      </c>
      <c r="H36" s="81"/>
      <c r="I36" s="50" t="n">
        <f aca="false">ROUND(+B36*G36,0)</f>
        <v>0</v>
      </c>
      <c r="J36" s="2" t="n">
        <f aca="false">ROUND(+C36/G36+F36,3)</f>
        <v>4.238</v>
      </c>
      <c r="L36" s="61"/>
      <c r="M36" s="62"/>
      <c r="N36" s="63"/>
    </row>
    <row r="37" customFormat="false" ht="12.75" hidden="false" customHeight="false" outlineLevel="0" collapsed="false">
      <c r="B37" s="50" t="n">
        <v>0</v>
      </c>
      <c r="C37" s="2" t="n">
        <v>5.155</v>
      </c>
      <c r="D37" s="81"/>
      <c r="E37" s="82" t="s">
        <v>132</v>
      </c>
      <c r="F37" s="75" t="n">
        <v>0.017</v>
      </c>
      <c r="G37" s="51" t="n">
        <v>1</v>
      </c>
      <c r="H37" s="81"/>
      <c r="I37" s="50" t="n">
        <f aca="false">ROUND(+B37*G37,0)</f>
        <v>0</v>
      </c>
      <c r="J37" s="2" t="n">
        <f aca="false">ROUND(+C37/G37+F37,3)</f>
        <v>5.172</v>
      </c>
    </row>
    <row r="38" customFormat="false" ht="13.5" hidden="false" customHeight="false" outlineLevel="0" collapsed="false">
      <c r="B38" s="73" t="n">
        <f aca="false">SUM(B28:B37)</f>
        <v>11730</v>
      </c>
      <c r="I38" s="73" t="n">
        <f aca="false">SUM(I28:I37)</f>
        <v>11213</v>
      </c>
    </row>
    <row r="39" customFormat="false" ht="13.5" hidden="false" customHeight="false" outlineLevel="0" collapsed="false"/>
    <row r="40" customFormat="false" ht="12.75" hidden="false" customHeight="false" outlineLevel="0" collapsed="false">
      <c r="B40" s="83" t="s">
        <v>133</v>
      </c>
      <c r="C40" s="2" t="n">
        <v>4.497</v>
      </c>
      <c r="E40" s="82" t="s">
        <v>134</v>
      </c>
      <c r="F40" s="2" t="n">
        <f aca="false">+((C40-F30)*G30)/(1-0.0381)+0.0467</f>
        <v>4.45377360432477</v>
      </c>
      <c r="G40" s="84" t="s">
        <v>135</v>
      </c>
      <c r="I40" s="54" t="n">
        <f aca="false">+C40-F40</f>
        <v>0.0432263956752257</v>
      </c>
    </row>
    <row r="41" customFormat="false" ht="12.75" hidden="false" customHeight="false" outlineLevel="0" collapsed="false">
      <c r="E41" s="82" t="s">
        <v>136</v>
      </c>
    </row>
    <row r="44" customFormat="false" ht="12.75" hidden="false" customHeight="false" outlineLevel="0" collapsed="false">
      <c r="A44" s="21" t="s">
        <v>137</v>
      </c>
    </row>
    <row r="45" customFormat="false" ht="12.75" hidden="false" customHeight="false" outlineLevel="0" collapsed="false">
      <c r="A45" s="0" t="s">
        <v>44</v>
      </c>
      <c r="B45" s="50" t="n">
        <v>0</v>
      </c>
      <c r="C45" s="2" t="n">
        <v>3.93</v>
      </c>
      <c r="E45" s="21" t="s">
        <v>138</v>
      </c>
      <c r="F45" s="77" t="n">
        <f aca="false">0.0022+0.0097+0.0278</f>
        <v>0.0397</v>
      </c>
      <c r="G45" s="51" t="n">
        <f aca="false">1-0.0381</f>
        <v>0.9619</v>
      </c>
      <c r="I45" s="50" t="n">
        <f aca="false">ROUND(+B45*G45,0)</f>
        <v>0</v>
      </c>
      <c r="J45" s="2" t="n">
        <f aca="false">ROUND(+C45/G45+F45,3)</f>
        <v>4.125</v>
      </c>
    </row>
    <row r="46" customFormat="false" ht="12.75" hidden="false" customHeight="false" outlineLevel="0" collapsed="false">
      <c r="A46" s="0" t="s">
        <v>139</v>
      </c>
      <c r="C46" s="2" t="n">
        <f aca="false">+J45</f>
        <v>4.125</v>
      </c>
      <c r="E46" s="21" t="s">
        <v>140</v>
      </c>
      <c r="F46" s="77" t="n">
        <f aca="false">0.0134+0.0022+0.007</f>
        <v>0.0226</v>
      </c>
      <c r="G46" s="51" t="n">
        <f aca="false">1-0.01</f>
        <v>0.99</v>
      </c>
      <c r="J46" s="2" t="n">
        <f aca="false">ROUND(+C46/G46+F46,3)</f>
        <v>4.189</v>
      </c>
      <c r="L46" s="21" t="str">
        <f aca="false">IF(J46&lt;J47,"JUDY, USE TRANSCO","")</f>
        <v>JUDY, USE TRANSCO</v>
      </c>
    </row>
    <row r="47" customFormat="false" ht="12.75" hidden="false" customHeight="false" outlineLevel="0" collapsed="false">
      <c r="A47" s="0" t="s">
        <v>141</v>
      </c>
      <c r="C47" s="2" t="n">
        <v>4.1</v>
      </c>
      <c r="E47" s="21" t="s">
        <v>142</v>
      </c>
      <c r="F47" s="77" t="n">
        <f aca="false">0.0134+0.0022+0.007</f>
        <v>0.0226</v>
      </c>
      <c r="G47" s="51" t="n">
        <f aca="false">1-0.02776</f>
        <v>0.97224</v>
      </c>
      <c r="J47" s="2" t="n">
        <f aca="false">ROUND(+C47/G47+F47,3)</f>
        <v>4.24</v>
      </c>
      <c r="L47" s="21" t="str">
        <f aca="false">IF(J46&lt;J47,"","JUDY, USE CGAS POOL")</f>
        <v/>
      </c>
    </row>
    <row r="48" customFormat="false" ht="12.75" hidden="false" customHeight="false" outlineLevel="0" collapsed="false">
      <c r="J48" s="2" t="n">
        <f aca="false">+J47-J46</f>
        <v>0.0510000000000002</v>
      </c>
    </row>
    <row r="50" customFormat="false" ht="12.75" hidden="false" customHeight="false" outlineLevel="0" collapsed="false">
      <c r="L50" s="0" t="n">
        <v>4.095</v>
      </c>
    </row>
    <row r="52" customFormat="false" ht="12.75" hidden="false" customHeight="false" outlineLevel="0" collapsed="false">
      <c r="A52" s="0" t="s">
        <v>143</v>
      </c>
    </row>
    <row r="53" customFormat="false" ht="12.75" hidden="false" customHeight="false" outlineLevel="0" collapsed="false">
      <c r="B53" s="50" t="n">
        <v>5144</v>
      </c>
      <c r="C53" s="2" t="n">
        <v>4.08</v>
      </c>
      <c r="E53" s="0" t="s">
        <v>144</v>
      </c>
      <c r="F53" s="2" t="n">
        <f aca="false">0.0013+0.0022</f>
        <v>0.0035</v>
      </c>
      <c r="G53" s="51" t="n">
        <f aca="false">1-0.02</f>
        <v>0.98</v>
      </c>
      <c r="I53" s="50" t="n">
        <f aca="false">ROUND(+B53*G53,0)</f>
        <v>5041</v>
      </c>
      <c r="J53" s="2" t="n">
        <f aca="false">ROUND(+C53/G53+F53,3)</f>
        <v>4.167</v>
      </c>
    </row>
    <row r="55" customFormat="false" ht="12.75" hidden="false" customHeight="false" outlineLevel="0" collapsed="false">
      <c r="B55" s="50" t="n">
        <v>5041</v>
      </c>
      <c r="C55" s="2" t="n">
        <f aca="false">+J53</f>
        <v>4.167</v>
      </c>
      <c r="D55" s="10"/>
      <c r="E55" s="10" t="s">
        <v>145</v>
      </c>
      <c r="F55" s="85" t="n">
        <f aca="false">0.0022+0.007+0.0078</f>
        <v>0.017</v>
      </c>
      <c r="G55" s="51" t="n">
        <f aca="false">1-0.0081</f>
        <v>0.9919</v>
      </c>
      <c r="I55" s="50" t="n">
        <f aca="false">ROUND(+B55*G55,0)</f>
        <v>5000</v>
      </c>
      <c r="J55" s="2" t="n">
        <f aca="false">ROUND(+C55/G55+F55,3)</f>
        <v>4.218</v>
      </c>
      <c r="L55" s="0" t="n">
        <v>4.14</v>
      </c>
      <c r="M55" s="14" t="n">
        <f aca="false">+J55-L55</f>
        <v>0.0780000000000003</v>
      </c>
    </row>
    <row r="56" customFormat="false" ht="12.75" hidden="false" customHeight="false" outlineLevel="0" collapsed="false">
      <c r="B56" s="50" t="n">
        <v>500</v>
      </c>
      <c r="C56" s="2" t="n">
        <f aca="false">+J53</f>
        <v>4.167</v>
      </c>
      <c r="D56" s="10"/>
      <c r="E56" s="10" t="s">
        <v>145</v>
      </c>
      <c r="F56" s="85" t="n">
        <f aca="false">0.0022+0.007+0.0078</f>
        <v>0.017</v>
      </c>
      <c r="G56" s="51" t="n">
        <f aca="false">1-0.0081</f>
        <v>0.9919</v>
      </c>
      <c r="I56" s="50" t="n">
        <f aca="false">ROUND(+B56*G56,0)</f>
        <v>496</v>
      </c>
      <c r="J56" s="2" t="n">
        <f aca="false">ROUND(+C56/G56+F56,3)</f>
        <v>4.218</v>
      </c>
    </row>
    <row r="57" customFormat="false" ht="12.75" hidden="false" customHeight="false" outlineLevel="0" collapsed="false">
      <c r="D57" s="10"/>
      <c r="E57" s="10"/>
      <c r="F57" s="85"/>
    </row>
    <row r="58" customFormat="false" ht="12.75" hidden="false" customHeight="false" outlineLevel="0" collapsed="false">
      <c r="C58" s="2" t="s">
        <v>146</v>
      </c>
      <c r="D58" s="10"/>
      <c r="E58" s="7"/>
      <c r="F58" s="2" t="n">
        <f aca="false">+J55-C55</f>
        <v>0.0510000000000002</v>
      </c>
    </row>
    <row r="59" customFormat="false" ht="12.75" hidden="false" customHeight="false" outlineLevel="0" collapsed="false">
      <c r="D59" s="10"/>
      <c r="E59" s="7"/>
    </row>
    <row r="60" customFormat="false" ht="12.75" hidden="false" customHeight="false" outlineLevel="0" collapsed="false">
      <c r="D60" s="10"/>
      <c r="E60" s="86"/>
      <c r="F60" s="87"/>
    </row>
    <row r="61" customFormat="false" ht="12.75" hidden="false" customHeight="false" outlineLevel="0" collapsed="false">
      <c r="A61" s="0" t="s">
        <v>147</v>
      </c>
      <c r="D61" s="10"/>
      <c r="E61" s="7"/>
      <c r="F61" s="88"/>
    </row>
    <row r="62" customFormat="false" ht="12.75" hidden="false" customHeight="false" outlineLevel="0" collapsed="false">
      <c r="B62" s="50" t="n">
        <v>856</v>
      </c>
      <c r="C62" s="2" t="n">
        <v>3.88</v>
      </c>
      <c r="D62" s="81"/>
      <c r="E62" s="82" t="s">
        <v>148</v>
      </c>
      <c r="F62" s="75" t="n">
        <v>0.0039</v>
      </c>
      <c r="G62" s="51" t="n">
        <f aca="false">1-0.00697</f>
        <v>0.99303</v>
      </c>
      <c r="H62" s="81"/>
      <c r="I62" s="50" t="n">
        <f aca="false">ROUND(+B62*G62,0)</f>
        <v>850</v>
      </c>
      <c r="J62" s="2" t="n">
        <f aca="false">ROUND(+C62/G62+F62,3)</f>
        <v>3.911</v>
      </c>
      <c r="L62" s="61"/>
      <c r="M62" s="62"/>
      <c r="N62" s="63"/>
      <c r="O62" s="3"/>
    </row>
    <row r="63" customFormat="false" ht="12.75" hidden="false" customHeight="false" outlineLevel="0" collapsed="false">
      <c r="B63" s="50" t="n">
        <v>0</v>
      </c>
      <c r="C63" s="2" t="n">
        <v>3.895</v>
      </c>
      <c r="D63" s="81"/>
      <c r="E63" s="82" t="s">
        <v>149</v>
      </c>
      <c r="F63" s="75" t="n">
        <v>0.0388</v>
      </c>
      <c r="G63" s="51" t="n">
        <f aca="false">1-0.00697</f>
        <v>0.99303</v>
      </c>
      <c r="H63" s="81"/>
      <c r="I63" s="50" t="n">
        <f aca="false">ROUND(+B63*G63,0)</f>
        <v>0</v>
      </c>
      <c r="J63" s="2" t="n">
        <f aca="false">ROUND(+C63/G63+F63,3)</f>
        <v>3.961</v>
      </c>
      <c r="L63" s="61"/>
      <c r="M63" s="62"/>
      <c r="N63" s="63"/>
      <c r="O63" s="3"/>
    </row>
    <row r="64" customFormat="false" ht="12.75" hidden="false" customHeight="false" outlineLevel="0" collapsed="false">
      <c r="D64" s="81"/>
      <c r="E64" s="82"/>
      <c r="F64" s="75"/>
      <c r="H64" s="81"/>
      <c r="L64" s="61"/>
      <c r="M64" s="62"/>
      <c r="N64" s="63"/>
      <c r="O64" s="3"/>
    </row>
    <row r="65" customFormat="false" ht="12.75" hidden="false" customHeight="false" outlineLevel="0" collapsed="false">
      <c r="B65" s="50" t="n">
        <v>0</v>
      </c>
      <c r="C65" s="2" t="n">
        <f aca="false">+J62</f>
        <v>3.911</v>
      </c>
      <c r="D65" s="81"/>
      <c r="E65" s="82" t="s">
        <v>150</v>
      </c>
      <c r="F65" s="75" t="n">
        <v>0.0192</v>
      </c>
      <c r="G65" s="51" t="n">
        <f aca="false">1-0.02902</f>
        <v>0.97098</v>
      </c>
      <c r="H65" s="81"/>
      <c r="I65" s="50" t="n">
        <f aca="false">ROUND(+B65*G65,0)</f>
        <v>0</v>
      </c>
      <c r="J65" s="2" t="n">
        <f aca="false">ROUND(+C65/G65+F65,3)</f>
        <v>4.047</v>
      </c>
      <c r="L65" s="61"/>
      <c r="M65" s="62"/>
      <c r="N65" s="63"/>
      <c r="O65" s="3"/>
    </row>
    <row r="66" customFormat="false" ht="12.75" hidden="false" customHeight="false" outlineLevel="0" collapsed="false">
      <c r="B66" s="50" t="n">
        <v>0</v>
      </c>
      <c r="C66" s="2" t="n">
        <v>3.95</v>
      </c>
      <c r="D66" s="81"/>
      <c r="E66" s="82" t="s">
        <v>150</v>
      </c>
      <c r="F66" s="75" t="n">
        <v>0.0192</v>
      </c>
      <c r="G66" s="51" t="n">
        <f aca="false">1-0.02902</f>
        <v>0.97098</v>
      </c>
      <c r="H66" s="81"/>
      <c r="I66" s="50" t="n">
        <f aca="false">ROUND(+B66*G66,0)</f>
        <v>0</v>
      </c>
      <c r="J66" s="2" t="n">
        <f aca="false">ROUND(+C66/G66+F66,3)</f>
        <v>4.087</v>
      </c>
      <c r="L66" s="61"/>
      <c r="M66" s="62"/>
      <c r="N66" s="63"/>
      <c r="O66" s="3"/>
    </row>
    <row r="67" customFormat="false" ht="12.75" hidden="false" customHeight="false" outlineLevel="0" collapsed="false">
      <c r="D67" s="10"/>
      <c r="E67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7"/>
  <sheetViews>
    <sheetView showFormulas="false" showGridLines="true" showRowColHeaders="true" showZeros="true" rightToLeft="false" tabSelected="false" showOutlineSymbols="true" defaultGridColor="true" view="normal" topLeftCell="A102" colorId="64" zoomScale="100" zoomScaleNormal="100" zoomScalePageLayoutView="100" workbookViewId="0">
      <selection pane="topLeft" activeCell="A110" activeCellId="0" sqref="A1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50" width="10.28"/>
    <col collapsed="false" customWidth="true" hidden="false" outlineLevel="0" max="3" min="3" style="2" width="13.28"/>
    <col collapsed="false" customWidth="true" hidden="false" outlineLevel="0" max="5" min="5" style="0" width="14.14"/>
    <col collapsed="false" customWidth="true" hidden="false" outlineLevel="0" max="6" min="6" style="0" width="13.85"/>
    <col collapsed="false" customWidth="true" hidden="false" outlineLevel="0" max="7" min="7" style="0" width="14.14"/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21" t="s">
        <v>151</v>
      </c>
    </row>
    <row r="3" customFormat="false" ht="12.75" hidden="false" customHeight="false" outlineLevel="0" collapsed="false">
      <c r="A3" s="0" t="n">
        <v>0.05</v>
      </c>
      <c r="C3" s="2" t="s">
        <v>152</v>
      </c>
      <c r="D3" s="0" t="n">
        <v>0.014</v>
      </c>
      <c r="E3" s="0" t="s">
        <v>153</v>
      </c>
      <c r="F3" s="0" t="n">
        <v>0.0096</v>
      </c>
    </row>
    <row r="4" customFormat="false" ht="12.75" hidden="false" customHeight="false" outlineLevel="0" collapsed="false">
      <c r="A4" s="0" t="n">
        <v>0.0022</v>
      </c>
      <c r="C4" s="2" t="s">
        <v>154</v>
      </c>
      <c r="D4" s="0" t="n">
        <v>0.0103</v>
      </c>
    </row>
    <row r="5" customFormat="false" ht="12.75" hidden="false" customHeight="false" outlineLevel="0" collapsed="false">
      <c r="C5" s="2" t="s">
        <v>155</v>
      </c>
      <c r="D5" s="0" t="n">
        <v>0.0622</v>
      </c>
    </row>
    <row r="6" customFormat="false" ht="12.75" hidden="false" customHeight="false" outlineLevel="0" collapsed="false">
      <c r="E6" s="0" t="s">
        <v>96</v>
      </c>
    </row>
    <row r="7" customFormat="false" ht="12.75" hidden="false" customHeight="false" outlineLevel="0" collapsed="false">
      <c r="A7" s="89" t="s">
        <v>156</v>
      </c>
      <c r="B7" s="90"/>
      <c r="C7" s="91" t="s">
        <v>96</v>
      </c>
      <c r="D7" s="89" t="s">
        <v>157</v>
      </c>
      <c r="E7" s="89" t="s">
        <v>158</v>
      </c>
      <c r="F7" s="89" t="s">
        <v>159</v>
      </c>
      <c r="G7" s="89"/>
      <c r="H7" s="89"/>
      <c r="I7" s="89"/>
    </row>
    <row r="8" customFormat="false" ht="12.75" hidden="false" customHeight="false" outlineLevel="0" collapsed="false">
      <c r="A8" s="89" t="s">
        <v>102</v>
      </c>
      <c r="B8" s="90" t="n">
        <v>0</v>
      </c>
      <c r="C8" s="91" t="n">
        <v>0</v>
      </c>
      <c r="D8" s="89" t="n">
        <v>0</v>
      </c>
      <c r="E8" s="92" t="n">
        <f aca="false">+B8*C8</f>
        <v>0</v>
      </c>
      <c r="F8" s="92" t="n">
        <f aca="false">+B8*D8</f>
        <v>0</v>
      </c>
      <c r="G8" s="89"/>
      <c r="H8" s="89"/>
      <c r="I8" s="89"/>
    </row>
    <row r="9" customFormat="false" ht="12.75" hidden="false" customHeight="false" outlineLevel="0" collapsed="false">
      <c r="A9" s="89" t="s">
        <v>102</v>
      </c>
      <c r="B9" s="90" t="n">
        <v>0</v>
      </c>
      <c r="C9" s="91" t="n">
        <v>0</v>
      </c>
      <c r="D9" s="89" t="n">
        <v>0</v>
      </c>
      <c r="E9" s="92" t="n">
        <f aca="false">+B9*C9</f>
        <v>0</v>
      </c>
      <c r="F9" s="92" t="n">
        <f aca="false">+B9*D9</f>
        <v>0</v>
      </c>
      <c r="G9" s="89"/>
      <c r="H9" s="89"/>
      <c r="I9" s="89"/>
    </row>
    <row r="10" customFormat="false" ht="12.75" hidden="false" customHeight="false" outlineLevel="0" collapsed="false">
      <c r="A10" s="89" t="s">
        <v>160</v>
      </c>
      <c r="B10" s="90" t="n">
        <v>0</v>
      </c>
      <c r="C10" s="91" t="n">
        <v>0</v>
      </c>
      <c r="D10" s="89" t="n">
        <v>0</v>
      </c>
      <c r="E10" s="92" t="n">
        <f aca="false">+B10*C10</f>
        <v>0</v>
      </c>
      <c r="F10" s="92" t="n">
        <f aca="false">+B10*D10</f>
        <v>0</v>
      </c>
      <c r="G10" s="89"/>
      <c r="H10" s="89"/>
      <c r="I10" s="89"/>
    </row>
    <row r="11" customFormat="false" ht="12.75" hidden="false" customHeight="false" outlineLevel="0" collapsed="false">
      <c r="A11" s="89" t="s">
        <v>161</v>
      </c>
      <c r="B11" s="90" t="n">
        <v>0</v>
      </c>
      <c r="C11" s="91" t="n">
        <v>0</v>
      </c>
      <c r="D11" s="89" t="n">
        <v>0</v>
      </c>
      <c r="E11" s="92" t="n">
        <f aca="false">+B11*C11</f>
        <v>0</v>
      </c>
      <c r="F11" s="92" t="n">
        <f aca="false">+B11*D11</f>
        <v>0</v>
      </c>
      <c r="G11" s="89"/>
      <c r="H11" s="89"/>
      <c r="I11" s="89"/>
    </row>
    <row r="12" customFormat="false" ht="12.75" hidden="false" customHeight="false" outlineLevel="0" collapsed="false">
      <c r="A12" s="89" t="s">
        <v>162</v>
      </c>
      <c r="B12" s="90" t="n">
        <v>0</v>
      </c>
      <c r="C12" s="91" t="n">
        <v>0</v>
      </c>
      <c r="D12" s="89" t="n">
        <v>0</v>
      </c>
      <c r="E12" s="92" t="n">
        <f aca="false">+B12*C12</f>
        <v>0</v>
      </c>
      <c r="F12" s="92" t="n">
        <f aca="false">+B12*D12</f>
        <v>0</v>
      </c>
      <c r="G12" s="89"/>
      <c r="H12" s="89"/>
      <c r="I12" s="89"/>
    </row>
    <row r="13" customFormat="false" ht="12.75" hidden="false" customHeight="false" outlineLevel="0" collapsed="false">
      <c r="A13" s="89" t="s">
        <v>162</v>
      </c>
      <c r="B13" s="90" t="n">
        <v>0</v>
      </c>
      <c r="C13" s="91" t="n">
        <v>0</v>
      </c>
      <c r="D13" s="89" t="n">
        <v>0</v>
      </c>
      <c r="E13" s="92" t="n">
        <f aca="false">+B13*C13</f>
        <v>0</v>
      </c>
      <c r="F13" s="92" t="n">
        <f aca="false">+B13*D13</f>
        <v>0</v>
      </c>
      <c r="G13" s="89"/>
      <c r="H13" s="89"/>
      <c r="I13" s="89"/>
    </row>
    <row r="14" customFormat="false" ht="12.75" hidden="false" customHeight="false" outlineLevel="0" collapsed="false">
      <c r="A14" s="89" t="s">
        <v>162</v>
      </c>
      <c r="B14" s="90" t="n">
        <v>0</v>
      </c>
      <c r="C14" s="91" t="n">
        <v>0</v>
      </c>
      <c r="D14" s="89" t="n">
        <v>0</v>
      </c>
      <c r="E14" s="92" t="n">
        <f aca="false">+B14*C14</f>
        <v>0</v>
      </c>
      <c r="F14" s="92" t="n">
        <f aca="false">+B14*D14</f>
        <v>0</v>
      </c>
      <c r="G14" s="89"/>
      <c r="H14" s="89"/>
      <c r="I14" s="89"/>
    </row>
    <row r="15" customFormat="false" ht="12.75" hidden="false" customHeight="false" outlineLevel="0" collapsed="false">
      <c r="A15" s="89" t="s">
        <v>162</v>
      </c>
      <c r="B15" s="90" t="n">
        <v>0</v>
      </c>
      <c r="C15" s="91" t="n">
        <v>0</v>
      </c>
      <c r="D15" s="89" t="n">
        <v>0</v>
      </c>
      <c r="E15" s="92" t="n">
        <f aca="false">+B15*C15</f>
        <v>0</v>
      </c>
      <c r="F15" s="92" t="n">
        <f aca="false">+B15*D15</f>
        <v>0</v>
      </c>
      <c r="G15" s="89"/>
      <c r="H15" s="89"/>
      <c r="I15" s="89"/>
    </row>
    <row r="16" customFormat="false" ht="12.75" hidden="false" customHeight="false" outlineLevel="0" collapsed="false">
      <c r="A16" s="89" t="s">
        <v>161</v>
      </c>
      <c r="B16" s="90" t="n">
        <v>0</v>
      </c>
      <c r="C16" s="91" t="n">
        <v>0</v>
      </c>
      <c r="D16" s="89" t="n">
        <v>0</v>
      </c>
      <c r="E16" s="92" t="n">
        <f aca="false">+B16*C16</f>
        <v>0</v>
      </c>
      <c r="F16" s="92" t="n">
        <f aca="false">+B16*D16</f>
        <v>0</v>
      </c>
      <c r="G16" s="89"/>
      <c r="H16" s="89"/>
      <c r="I16" s="89"/>
    </row>
    <row r="17" customFormat="false" ht="12.75" hidden="false" customHeight="false" outlineLevel="0" collapsed="false">
      <c r="A17" s="89" t="s">
        <v>160</v>
      </c>
      <c r="B17" s="90" t="n">
        <v>0</v>
      </c>
      <c r="C17" s="91" t="n">
        <v>0</v>
      </c>
      <c r="D17" s="89" t="n">
        <v>0</v>
      </c>
      <c r="E17" s="92" t="n">
        <f aca="false">+B17*C17</f>
        <v>0</v>
      </c>
      <c r="F17" s="92" t="n">
        <f aca="false">+B17*D17</f>
        <v>0</v>
      </c>
      <c r="G17" s="89"/>
      <c r="H17" s="89"/>
      <c r="I17" s="89"/>
    </row>
    <row r="18" customFormat="false" ht="12.75" hidden="false" customHeight="false" outlineLevel="0" collapsed="false">
      <c r="A18" s="89" t="s">
        <v>160</v>
      </c>
      <c r="B18" s="90" t="n">
        <v>0</v>
      </c>
      <c r="C18" s="91" t="n">
        <v>0</v>
      </c>
      <c r="D18" s="89" t="n">
        <v>0</v>
      </c>
      <c r="E18" s="92" t="n">
        <f aca="false">+B18*C18</f>
        <v>0</v>
      </c>
      <c r="F18" s="92" t="n">
        <f aca="false">+B18*D18</f>
        <v>0</v>
      </c>
      <c r="G18" s="89"/>
      <c r="H18" s="89"/>
      <c r="I18" s="89"/>
    </row>
    <row r="19" customFormat="false" ht="12.75" hidden="false" customHeight="false" outlineLevel="0" collapsed="false">
      <c r="A19" s="89"/>
      <c r="B19" s="90"/>
      <c r="C19" s="91"/>
      <c r="D19" s="89"/>
      <c r="E19" s="92"/>
      <c r="F19" s="92"/>
      <c r="G19" s="89"/>
      <c r="H19" s="89"/>
      <c r="I19" s="89"/>
    </row>
    <row r="20" customFormat="false" ht="12.75" hidden="false" customHeight="false" outlineLevel="0" collapsed="false">
      <c r="A20" s="89" t="s">
        <v>163</v>
      </c>
      <c r="B20" s="90" t="n">
        <v>0</v>
      </c>
      <c r="C20" s="91" t="n">
        <v>0</v>
      </c>
      <c r="D20" s="89" t="n">
        <v>0</v>
      </c>
      <c r="E20" s="92" t="n">
        <f aca="false">+B20*C20</f>
        <v>0</v>
      </c>
      <c r="F20" s="92" t="n">
        <f aca="false">+B20*D20</f>
        <v>0</v>
      </c>
      <c r="G20" s="89"/>
      <c r="H20" s="89"/>
      <c r="I20" s="89"/>
    </row>
    <row r="21" customFormat="false" ht="12.75" hidden="false" customHeight="false" outlineLevel="0" collapsed="false">
      <c r="A21" s="89" t="s">
        <v>164</v>
      </c>
      <c r="B21" s="90" t="n">
        <v>0</v>
      </c>
      <c r="C21" s="91" t="n">
        <v>0</v>
      </c>
      <c r="D21" s="89" t="n">
        <v>0</v>
      </c>
      <c r="E21" s="92" t="n">
        <f aca="false">+B21*C21</f>
        <v>0</v>
      </c>
      <c r="F21" s="92" t="n">
        <f aca="false">+B21*D21</f>
        <v>0</v>
      </c>
      <c r="G21" s="89"/>
      <c r="H21" s="89"/>
      <c r="I21" s="89"/>
    </row>
    <row r="22" customFormat="false" ht="12.75" hidden="false" customHeight="false" outlineLevel="0" collapsed="false">
      <c r="A22" s="89"/>
      <c r="B22" s="90"/>
      <c r="C22" s="91"/>
      <c r="D22" s="89"/>
      <c r="E22" s="92"/>
      <c r="F22" s="92"/>
      <c r="G22" s="89"/>
      <c r="H22" s="89"/>
      <c r="I22" s="89"/>
    </row>
    <row r="23" customFormat="false" ht="12.75" hidden="false" customHeight="false" outlineLevel="0" collapsed="false">
      <c r="A23" s="89" t="s">
        <v>165</v>
      </c>
      <c r="B23" s="90" t="n">
        <v>0</v>
      </c>
      <c r="C23" s="91" t="n">
        <v>0</v>
      </c>
      <c r="D23" s="89" t="n">
        <v>0</v>
      </c>
      <c r="E23" s="92" t="n">
        <f aca="false">+B23*C23</f>
        <v>0</v>
      </c>
      <c r="F23" s="92" t="n">
        <f aca="false">+B23*D23</f>
        <v>0</v>
      </c>
      <c r="G23" s="89"/>
      <c r="H23" s="89"/>
      <c r="I23" s="89"/>
    </row>
    <row r="24" customFormat="false" ht="12.75" hidden="false" customHeight="false" outlineLevel="0" collapsed="false">
      <c r="A24" s="89" t="s">
        <v>166</v>
      </c>
      <c r="B24" s="90" t="n">
        <v>0</v>
      </c>
      <c r="C24" s="91" t="n">
        <v>0</v>
      </c>
      <c r="D24" s="89" t="n">
        <v>0</v>
      </c>
      <c r="E24" s="92" t="n">
        <f aca="false">+B24*C24</f>
        <v>0</v>
      </c>
      <c r="F24" s="92" t="n">
        <f aca="false">+B24*D24</f>
        <v>0</v>
      </c>
      <c r="G24" s="89"/>
      <c r="H24" s="89"/>
      <c r="I24" s="89"/>
    </row>
    <row r="25" customFormat="false" ht="12.75" hidden="false" customHeight="false" outlineLevel="0" collapsed="false">
      <c r="A25" s="89" t="s">
        <v>104</v>
      </c>
      <c r="B25" s="90" t="n">
        <v>0</v>
      </c>
      <c r="C25" s="91" t="n">
        <v>0</v>
      </c>
      <c r="D25" s="89" t="n">
        <v>0</v>
      </c>
      <c r="E25" s="92" t="n">
        <f aca="false">+B25*C25</f>
        <v>0</v>
      </c>
      <c r="F25" s="92" t="n">
        <f aca="false">+B25*D25</f>
        <v>0</v>
      </c>
      <c r="G25" s="89"/>
      <c r="H25" s="89"/>
      <c r="I25" s="89"/>
    </row>
    <row r="26" customFormat="false" ht="12.75" hidden="false" customHeight="false" outlineLevel="0" collapsed="false">
      <c r="A26" s="89" t="s">
        <v>104</v>
      </c>
      <c r="B26" s="90" t="n">
        <v>0</v>
      </c>
      <c r="C26" s="91" t="n">
        <v>0</v>
      </c>
      <c r="D26" s="89" t="n">
        <v>0</v>
      </c>
      <c r="E26" s="92" t="n">
        <f aca="false">+B26*C26</f>
        <v>0</v>
      </c>
      <c r="F26" s="92" t="n">
        <f aca="false">+B26*D26</f>
        <v>0</v>
      </c>
      <c r="G26" s="89"/>
      <c r="H26" s="89"/>
      <c r="I26" s="89"/>
    </row>
    <row r="27" customFormat="false" ht="12.75" hidden="false" customHeight="false" outlineLevel="0" collapsed="false">
      <c r="A27" s="89" t="s">
        <v>167</v>
      </c>
      <c r="B27" s="90" t="n">
        <v>0</v>
      </c>
      <c r="C27" s="91" t="n">
        <v>0</v>
      </c>
      <c r="D27" s="89" t="n">
        <v>0</v>
      </c>
      <c r="E27" s="92" t="n">
        <f aca="false">+B27*C27</f>
        <v>0</v>
      </c>
      <c r="F27" s="92" t="n">
        <f aca="false">+B27*D27</f>
        <v>0</v>
      </c>
      <c r="G27" s="89"/>
      <c r="H27" s="89"/>
      <c r="I27" s="89"/>
    </row>
    <row r="28" customFormat="false" ht="12.75" hidden="false" customHeight="false" outlineLevel="0" collapsed="false">
      <c r="A28" s="89"/>
      <c r="B28" s="90"/>
      <c r="C28" s="91"/>
      <c r="D28" s="89"/>
      <c r="E28" s="92"/>
      <c r="F28" s="92"/>
      <c r="G28" s="89"/>
      <c r="H28" s="89"/>
      <c r="I28" s="89"/>
    </row>
    <row r="29" customFormat="false" ht="12.75" hidden="false" customHeight="false" outlineLevel="0" collapsed="false">
      <c r="A29" s="89" t="s">
        <v>168</v>
      </c>
      <c r="B29" s="90" t="n">
        <v>0</v>
      </c>
      <c r="C29" s="91" t="n">
        <v>0</v>
      </c>
      <c r="D29" s="89" t="n">
        <v>0</v>
      </c>
      <c r="E29" s="92" t="n">
        <f aca="false">+B29*C29</f>
        <v>0</v>
      </c>
      <c r="F29" s="92" t="n">
        <f aca="false">+B29*D29</f>
        <v>0</v>
      </c>
      <c r="G29" s="89"/>
      <c r="H29" s="89"/>
      <c r="I29" s="89"/>
    </row>
    <row r="30" customFormat="false" ht="12.75" hidden="false" customHeight="false" outlineLevel="0" collapsed="false">
      <c r="A30" s="89" t="s">
        <v>169</v>
      </c>
      <c r="B30" s="90" t="n">
        <v>0</v>
      </c>
      <c r="C30" s="91" t="n">
        <v>0</v>
      </c>
      <c r="D30" s="89" t="n">
        <v>0</v>
      </c>
      <c r="E30" s="92" t="n">
        <f aca="false">+B30*C30</f>
        <v>0</v>
      </c>
      <c r="F30" s="92" t="n">
        <f aca="false">+B30*D30</f>
        <v>0</v>
      </c>
      <c r="G30" s="89"/>
      <c r="H30" s="89"/>
      <c r="I30" s="89"/>
    </row>
    <row r="31" customFormat="false" ht="12.75" hidden="false" customHeight="false" outlineLevel="0" collapsed="false">
      <c r="A31" s="89" t="s">
        <v>168</v>
      </c>
      <c r="B31" s="90" t="n">
        <v>0</v>
      </c>
      <c r="C31" s="91" t="n">
        <v>0</v>
      </c>
      <c r="D31" s="89" t="n">
        <v>0</v>
      </c>
      <c r="E31" s="92" t="n">
        <f aca="false">+B31*C31</f>
        <v>0</v>
      </c>
      <c r="F31" s="92" t="n">
        <f aca="false">+B31*D31</f>
        <v>0</v>
      </c>
      <c r="G31" s="89"/>
      <c r="H31" s="89"/>
      <c r="I31" s="89"/>
    </row>
    <row r="32" customFormat="false" ht="12.75" hidden="false" customHeight="false" outlineLevel="0" collapsed="false">
      <c r="A32" s="89" t="s">
        <v>169</v>
      </c>
      <c r="B32" s="90" t="n">
        <v>0</v>
      </c>
      <c r="C32" s="91" t="n">
        <v>0</v>
      </c>
      <c r="D32" s="89" t="n">
        <v>0</v>
      </c>
      <c r="E32" s="92" t="n">
        <f aca="false">+B32*C32</f>
        <v>0</v>
      </c>
      <c r="F32" s="92" t="n">
        <f aca="false">+B32*D32</f>
        <v>0</v>
      </c>
      <c r="G32" s="89"/>
      <c r="H32" s="89"/>
      <c r="I32" s="89"/>
    </row>
    <row r="33" customFormat="false" ht="12.75" hidden="false" customHeight="false" outlineLevel="0" collapsed="false">
      <c r="A33" s="89"/>
      <c r="B33" s="90"/>
      <c r="C33" s="91"/>
      <c r="D33" s="89"/>
      <c r="E33" s="92"/>
      <c r="F33" s="92"/>
      <c r="G33" s="89"/>
      <c r="H33" s="89"/>
      <c r="I33" s="89"/>
    </row>
    <row r="34" customFormat="false" ht="12.75" hidden="false" customHeight="false" outlineLevel="0" collapsed="false">
      <c r="A34" s="89" t="s">
        <v>170</v>
      </c>
      <c r="B34" s="90" t="n">
        <v>0</v>
      </c>
      <c r="C34" s="91" t="n">
        <v>0</v>
      </c>
      <c r="D34" s="89" t="n">
        <v>0</v>
      </c>
      <c r="E34" s="92" t="n">
        <f aca="false">+B34*C34</f>
        <v>0</v>
      </c>
      <c r="F34" s="92" t="n">
        <f aca="false">+B34*D34</f>
        <v>0</v>
      </c>
      <c r="G34" s="89"/>
      <c r="H34" s="89"/>
      <c r="I34" s="89"/>
    </row>
    <row r="35" customFormat="false" ht="12.75" hidden="false" customHeight="false" outlineLevel="0" collapsed="false">
      <c r="A35" s="89" t="s">
        <v>105</v>
      </c>
      <c r="B35" s="90" t="n">
        <v>0</v>
      </c>
      <c r="C35" s="91" t="n">
        <v>0</v>
      </c>
      <c r="D35" s="89" t="n">
        <v>0</v>
      </c>
      <c r="E35" s="92" t="n">
        <f aca="false">+B35*C35</f>
        <v>0</v>
      </c>
      <c r="F35" s="92" t="n">
        <f aca="false">+B35*D35</f>
        <v>0</v>
      </c>
      <c r="G35" s="89"/>
      <c r="H35" s="89"/>
      <c r="I35" s="89"/>
    </row>
    <row r="36" customFormat="false" ht="12.75" hidden="false" customHeight="false" outlineLevel="0" collapsed="false">
      <c r="A36" s="89"/>
      <c r="B36" s="90"/>
      <c r="C36" s="91"/>
      <c r="D36" s="89"/>
      <c r="E36" s="92"/>
      <c r="F36" s="92"/>
      <c r="G36" s="89"/>
      <c r="H36" s="89"/>
      <c r="I36" s="89"/>
    </row>
    <row r="37" customFormat="false" ht="12.75" hidden="false" customHeight="false" outlineLevel="0" collapsed="false">
      <c r="A37" s="89" t="s">
        <v>171</v>
      </c>
      <c r="B37" s="90" t="n">
        <v>0</v>
      </c>
      <c r="C37" s="91" t="n">
        <v>0</v>
      </c>
      <c r="D37" s="89" t="n">
        <v>0.0125</v>
      </c>
      <c r="E37" s="92" t="n">
        <f aca="false">+B37*C37</f>
        <v>0</v>
      </c>
      <c r="F37" s="92" t="n">
        <f aca="false">+B37*D37</f>
        <v>0</v>
      </c>
      <c r="G37" s="89"/>
      <c r="H37" s="89"/>
      <c r="I37" s="89"/>
    </row>
    <row r="38" customFormat="false" ht="12.75" hidden="false" customHeight="false" outlineLevel="0" collapsed="false">
      <c r="A38" s="89" t="s">
        <v>171</v>
      </c>
      <c r="B38" s="90" t="n">
        <v>0</v>
      </c>
      <c r="C38" s="91" t="n">
        <v>0</v>
      </c>
      <c r="D38" s="89" t="n">
        <v>0</v>
      </c>
      <c r="E38" s="92" t="n">
        <f aca="false">+B38*C38</f>
        <v>0</v>
      </c>
      <c r="F38" s="92" t="n">
        <f aca="false">+B38*D38</f>
        <v>0</v>
      </c>
      <c r="G38" s="89"/>
      <c r="H38" s="89"/>
      <c r="I38" s="89"/>
    </row>
    <row r="39" customFormat="false" ht="12.75" hidden="false" customHeight="false" outlineLevel="0" collapsed="false">
      <c r="A39" s="89"/>
      <c r="B39" s="90"/>
      <c r="C39" s="91"/>
      <c r="D39" s="89"/>
      <c r="E39" s="92"/>
      <c r="F39" s="92"/>
      <c r="G39" s="89"/>
      <c r="H39" s="89"/>
      <c r="I39" s="89"/>
    </row>
    <row r="40" customFormat="false" ht="12.75" hidden="false" customHeight="false" outlineLevel="0" collapsed="false">
      <c r="A40" s="93" t="s">
        <v>172</v>
      </c>
      <c r="B40" s="94" t="n">
        <v>8237</v>
      </c>
      <c r="C40" s="95" t="n">
        <f aca="false">3.738+0.23</f>
        <v>3.968</v>
      </c>
      <c r="D40" s="96" t="n">
        <v>0</v>
      </c>
      <c r="E40" s="97" t="n">
        <f aca="false">+B40*C40</f>
        <v>32684.416</v>
      </c>
      <c r="F40" s="97" t="n">
        <f aca="false">+B40*D40</f>
        <v>0</v>
      </c>
      <c r="G40" s="96"/>
      <c r="H40" s="98"/>
      <c r="I40" s="99"/>
    </row>
    <row r="41" customFormat="false" ht="12.75" hidden="false" customHeight="false" outlineLevel="0" collapsed="false">
      <c r="A41" s="100" t="s">
        <v>173</v>
      </c>
      <c r="B41" s="90" t="n">
        <v>0</v>
      </c>
      <c r="C41" s="91" t="n">
        <v>0</v>
      </c>
      <c r="D41" s="101" t="n">
        <v>0</v>
      </c>
      <c r="E41" s="92" t="n">
        <f aca="false">+B41*C41</f>
        <v>0</v>
      </c>
      <c r="F41" s="92" t="n">
        <f aca="false">+B41*D41</f>
        <v>0</v>
      </c>
      <c r="G41" s="101"/>
      <c r="H41" s="102"/>
      <c r="I41" s="103"/>
    </row>
    <row r="42" customFormat="false" ht="12.75" hidden="false" customHeight="false" outlineLevel="0" collapsed="false">
      <c r="A42" s="100" t="s">
        <v>174</v>
      </c>
      <c r="B42" s="90" t="n">
        <v>-2524</v>
      </c>
      <c r="C42" s="91" t="n">
        <f aca="false">3.738+0.295</f>
        <v>4.033</v>
      </c>
      <c r="D42" s="101" t="n">
        <v>-0.0035</v>
      </c>
      <c r="E42" s="92" t="n">
        <f aca="false">+B42*C42</f>
        <v>-10179.292</v>
      </c>
      <c r="F42" s="92" t="n">
        <f aca="false">+B42*D42</f>
        <v>8.834</v>
      </c>
      <c r="G42" s="101"/>
      <c r="H42" s="102"/>
      <c r="I42" s="103"/>
    </row>
    <row r="43" customFormat="false" ht="12.75" hidden="false" customHeight="false" outlineLevel="0" collapsed="false">
      <c r="A43" s="100" t="s">
        <v>175</v>
      </c>
      <c r="B43" s="90" t="n">
        <f aca="false">ROUND(+B42/(1-0.02)-B42,0)</f>
        <v>-52</v>
      </c>
      <c r="C43" s="91" t="n">
        <v>0</v>
      </c>
      <c r="D43" s="101" t="n">
        <v>0</v>
      </c>
      <c r="E43" s="92" t="n">
        <f aca="false">+B43*C43</f>
        <v>-0</v>
      </c>
      <c r="F43" s="92" t="n">
        <f aca="false">+B43*D43</f>
        <v>-0</v>
      </c>
      <c r="G43" s="101"/>
      <c r="H43" s="102"/>
      <c r="I43" s="103"/>
    </row>
    <row r="44" customFormat="false" ht="12.75" hidden="false" customHeight="false" outlineLevel="0" collapsed="false">
      <c r="A44" s="100" t="s">
        <v>38</v>
      </c>
      <c r="B44" s="90" t="n">
        <v>0</v>
      </c>
      <c r="C44" s="91" t="n">
        <v>0</v>
      </c>
      <c r="D44" s="101" t="n">
        <v>0</v>
      </c>
      <c r="E44" s="92" t="n">
        <f aca="false">+B44*C44</f>
        <v>0</v>
      </c>
      <c r="F44" s="92" t="n">
        <f aca="false">+B44*D44</f>
        <v>0</v>
      </c>
      <c r="G44" s="101"/>
      <c r="H44" s="102"/>
      <c r="I44" s="103"/>
    </row>
    <row r="45" customFormat="false" ht="12.75" hidden="false" customHeight="false" outlineLevel="0" collapsed="false">
      <c r="A45" s="100" t="s">
        <v>176</v>
      </c>
      <c r="B45" s="90" t="n">
        <f aca="false">-6000+496</f>
        <v>-5504</v>
      </c>
      <c r="C45" s="91" t="n">
        <f aca="false">3.738+0.425</f>
        <v>4.163</v>
      </c>
      <c r="D45" s="101" t="n">
        <v>-0.0195</v>
      </c>
      <c r="E45" s="92" t="n">
        <f aca="false">+B45*C45</f>
        <v>-22913.152</v>
      </c>
      <c r="F45" s="92" t="n">
        <f aca="false">+B45*D45</f>
        <v>107.328</v>
      </c>
      <c r="G45" s="101"/>
      <c r="H45" s="102"/>
      <c r="I45" s="103"/>
    </row>
    <row r="46" customFormat="false" ht="12.75" hidden="false" customHeight="false" outlineLevel="0" collapsed="false">
      <c r="A46" s="100" t="s">
        <v>177</v>
      </c>
      <c r="B46" s="90" t="n">
        <v>0</v>
      </c>
      <c r="C46" s="91" t="n">
        <v>0</v>
      </c>
      <c r="D46" s="101"/>
      <c r="E46" s="92" t="n">
        <f aca="false">+B46*C46</f>
        <v>0</v>
      </c>
      <c r="F46" s="92" t="n">
        <f aca="false">+B46*D46</f>
        <v>0</v>
      </c>
      <c r="G46" s="101"/>
      <c r="H46" s="102"/>
      <c r="I46" s="103"/>
    </row>
    <row r="47" customFormat="false" ht="12.75" hidden="false" customHeight="false" outlineLevel="0" collapsed="false">
      <c r="A47" s="100" t="s">
        <v>178</v>
      </c>
      <c r="B47" s="90" t="n">
        <f aca="false">ROUND((+B45+B46)/(1-0.0081)-(+B45+B46),0)</f>
        <v>-45</v>
      </c>
      <c r="C47" s="91"/>
      <c r="D47" s="101" t="n">
        <v>0</v>
      </c>
      <c r="E47" s="92" t="n">
        <f aca="false">+B47*C47</f>
        <v>-0</v>
      </c>
      <c r="F47" s="92" t="n">
        <f aca="false">+B47*D47</f>
        <v>-0</v>
      </c>
      <c r="G47" s="101"/>
      <c r="H47" s="102"/>
      <c r="I47" s="103"/>
    </row>
    <row r="48" customFormat="false" ht="12.75" hidden="false" customHeight="false" outlineLevel="0" collapsed="false">
      <c r="A48" s="104" t="s">
        <v>179</v>
      </c>
      <c r="B48" s="105" t="n">
        <f aca="false">ROUND((+B45+B46+B47)/0.98-(B45+B46+B47),0)</f>
        <v>-113</v>
      </c>
      <c r="C48" s="106"/>
      <c r="D48" s="107" t="n">
        <v>0</v>
      </c>
      <c r="E48" s="108" t="n">
        <f aca="false">+B48*C48</f>
        <v>-0</v>
      </c>
      <c r="F48" s="108" t="n">
        <f aca="false">+B48*D48</f>
        <v>-0</v>
      </c>
      <c r="G48" s="107"/>
      <c r="H48" s="109"/>
      <c r="I48" s="110"/>
    </row>
    <row r="49" customFormat="false" ht="12.75" hidden="false" customHeight="false" outlineLevel="0" collapsed="false">
      <c r="A49" s="89"/>
      <c r="B49" s="90"/>
      <c r="C49" s="91"/>
      <c r="D49" s="89"/>
      <c r="E49" s="92"/>
      <c r="F49" s="92"/>
      <c r="G49" s="89"/>
      <c r="H49" s="111"/>
      <c r="I49" s="89"/>
    </row>
    <row r="50" customFormat="false" ht="12.75" hidden="false" customHeight="false" outlineLevel="0" collapsed="false">
      <c r="A50" s="89"/>
      <c r="B50" s="90"/>
      <c r="C50" s="91"/>
      <c r="D50" s="89"/>
      <c r="E50" s="92"/>
      <c r="F50" s="92"/>
      <c r="G50" s="89"/>
      <c r="H50" s="111"/>
      <c r="I50" s="89"/>
    </row>
    <row r="51" customFormat="false" ht="12.75" hidden="false" customHeight="false" outlineLevel="0" collapsed="false">
      <c r="A51" s="89" t="s">
        <v>176</v>
      </c>
      <c r="B51" s="90" t="n">
        <v>-496</v>
      </c>
      <c r="C51" s="91" t="n">
        <f aca="false">3.738+0.425</f>
        <v>4.163</v>
      </c>
      <c r="D51" s="89" t="n">
        <v>-0.0195</v>
      </c>
      <c r="E51" s="92" t="n">
        <f aca="false">+B51*C51</f>
        <v>-2064.848</v>
      </c>
      <c r="F51" s="92" t="n">
        <f aca="false">+B51*D51</f>
        <v>9.672</v>
      </c>
      <c r="G51" s="89"/>
      <c r="H51" s="111"/>
      <c r="I51" s="89"/>
    </row>
    <row r="52" customFormat="false" ht="12.75" hidden="false" customHeight="false" outlineLevel="0" collapsed="false">
      <c r="A52" s="89" t="s">
        <v>178</v>
      </c>
      <c r="B52" s="90" t="n">
        <f aca="false">ROUND(+B51/(1-0.0081)-B51,0)</f>
        <v>-4</v>
      </c>
      <c r="C52" s="91" t="n">
        <v>0</v>
      </c>
      <c r="D52" s="89" t="n">
        <v>0</v>
      </c>
      <c r="E52" s="92" t="n">
        <f aca="false">+B52*C52</f>
        <v>-0</v>
      </c>
      <c r="F52" s="92" t="n">
        <f aca="false">+B52*D52</f>
        <v>-0</v>
      </c>
      <c r="G52" s="89"/>
      <c r="H52" s="111"/>
      <c r="I52" s="89"/>
    </row>
    <row r="53" customFormat="false" ht="12.75" hidden="false" customHeight="false" outlineLevel="0" collapsed="false">
      <c r="A53" s="89" t="s">
        <v>180</v>
      </c>
      <c r="B53" s="90" t="n">
        <v>500</v>
      </c>
      <c r="C53" s="91" t="n">
        <f aca="false">3.95-0.04</f>
        <v>3.91</v>
      </c>
      <c r="D53" s="89" t="n">
        <v>0</v>
      </c>
      <c r="E53" s="92" t="n">
        <f aca="false">+B53*C53</f>
        <v>1955</v>
      </c>
      <c r="F53" s="92" t="n">
        <f aca="false">+B53*D53</f>
        <v>0</v>
      </c>
      <c r="G53" s="89"/>
      <c r="H53" s="111"/>
      <c r="I53" s="89"/>
    </row>
    <row r="54" customFormat="false" ht="12.75" hidden="false" customHeight="false" outlineLevel="0" collapsed="false">
      <c r="A54" s="112" t="s">
        <v>181</v>
      </c>
      <c r="B54" s="90" t="n">
        <f aca="false">SUM(B8:B53)</f>
        <v>-1</v>
      </c>
      <c r="C54" s="91"/>
      <c r="D54" s="89"/>
      <c r="E54" s="92" t="n">
        <f aca="false">SUM(E8:E53)</f>
        <v>-517.876000000002</v>
      </c>
      <c r="F54" s="92" t="n">
        <f aca="false">SUM(F8:F53)</f>
        <v>125.834</v>
      </c>
      <c r="G54" s="89"/>
      <c r="H54" s="89"/>
      <c r="I54" s="89"/>
    </row>
    <row r="55" customFormat="false" ht="12.75" hidden="false" customHeight="false" outlineLevel="0" collapsed="false">
      <c r="E55" s="113"/>
      <c r="F55" s="113"/>
    </row>
    <row r="56" customFormat="false" ht="12.75" hidden="false" customHeight="false" outlineLevel="0" collapsed="false">
      <c r="E56" s="113"/>
      <c r="F56" s="113"/>
    </row>
    <row r="57" customFormat="false" ht="12.75" hidden="false" customHeight="false" outlineLevel="0" collapsed="false">
      <c r="E57" s="113"/>
      <c r="F57" s="113"/>
    </row>
    <row r="58" customFormat="false" ht="12.75" hidden="false" customHeight="false" outlineLevel="0" collapsed="false">
      <c r="E58" s="113"/>
      <c r="F58" s="113"/>
    </row>
    <row r="59" customFormat="false" ht="15.75" hidden="false" customHeight="false" outlineLevel="0" collapsed="false">
      <c r="A59" s="114" t="s">
        <v>182</v>
      </c>
      <c r="B59" s="115"/>
      <c r="C59" s="116"/>
      <c r="D59" s="117"/>
      <c r="E59" s="118"/>
      <c r="F59" s="118"/>
      <c r="G59" s="117"/>
      <c r="H59" s="117"/>
      <c r="I59" s="117"/>
    </row>
    <row r="60" customFormat="false" ht="12.75" hidden="false" customHeight="false" outlineLevel="0" collapsed="false">
      <c r="A60" s="117" t="s">
        <v>183</v>
      </c>
      <c r="B60" s="115"/>
      <c r="C60" s="116"/>
      <c r="D60" s="117"/>
      <c r="E60" s="118"/>
      <c r="F60" s="118"/>
      <c r="G60" s="117"/>
      <c r="H60" s="117"/>
      <c r="I60" s="117"/>
    </row>
    <row r="61" customFormat="false" ht="12.75" hidden="false" customHeight="false" outlineLevel="0" collapsed="false">
      <c r="A61" s="117" t="s">
        <v>184</v>
      </c>
      <c r="B61" s="115" t="n">
        <v>6081</v>
      </c>
      <c r="C61" s="116" t="n">
        <v>3.95</v>
      </c>
      <c r="D61" s="117" t="n">
        <v>-0.0125</v>
      </c>
      <c r="E61" s="118" t="n">
        <f aca="false">+B61*C61</f>
        <v>24019.95</v>
      </c>
      <c r="F61" s="118" t="n">
        <f aca="false">+B61*D61</f>
        <v>-76.0125</v>
      </c>
      <c r="G61" s="117"/>
      <c r="H61" s="117"/>
      <c r="I61" s="117"/>
    </row>
    <row r="62" customFormat="false" ht="12.75" hidden="false" customHeight="false" outlineLevel="0" collapsed="false">
      <c r="A62" s="117" t="s">
        <v>185</v>
      </c>
      <c r="B62" s="115" t="n">
        <v>12059</v>
      </c>
      <c r="C62" s="116" t="n">
        <v>3.94</v>
      </c>
      <c r="D62" s="117" t="n">
        <v>-0.0125</v>
      </c>
      <c r="E62" s="118" t="n">
        <f aca="false">+B62*C62</f>
        <v>47512.46</v>
      </c>
      <c r="F62" s="118" t="n">
        <f aca="false">+B62*D62</f>
        <v>-150.7375</v>
      </c>
      <c r="G62" s="117"/>
      <c r="H62" s="117"/>
      <c r="I62" s="117"/>
    </row>
    <row r="63" customFormat="false" ht="12.75" hidden="false" customHeight="false" outlineLevel="0" collapsed="false">
      <c r="A63" s="117" t="s">
        <v>185</v>
      </c>
      <c r="B63" s="115" t="n">
        <v>0</v>
      </c>
      <c r="C63" s="116" t="n">
        <v>0</v>
      </c>
      <c r="D63" s="117" t="n">
        <v>-0.0125</v>
      </c>
      <c r="E63" s="118" t="n">
        <f aca="false">+B63*C63</f>
        <v>0</v>
      </c>
      <c r="F63" s="118" t="n">
        <f aca="false">+B63*D63</f>
        <v>-0</v>
      </c>
      <c r="G63" s="117"/>
      <c r="H63" s="117"/>
      <c r="I63" s="117"/>
    </row>
    <row r="64" customFormat="false" ht="12.75" hidden="false" customHeight="false" outlineLevel="0" collapsed="false">
      <c r="A64" s="117"/>
      <c r="B64" s="115"/>
      <c r="C64" s="116"/>
      <c r="D64" s="117"/>
      <c r="E64" s="118"/>
      <c r="F64" s="118"/>
      <c r="G64" s="117"/>
      <c r="H64" s="117"/>
      <c r="I64" s="117"/>
    </row>
    <row r="65" customFormat="false" ht="12.75" hidden="false" customHeight="false" outlineLevel="0" collapsed="false">
      <c r="A65" s="117" t="s">
        <v>186</v>
      </c>
      <c r="B65" s="115"/>
      <c r="C65" s="116"/>
      <c r="D65" s="117"/>
      <c r="E65" s="118"/>
      <c r="F65" s="118"/>
      <c r="G65" s="117"/>
      <c r="H65" s="117"/>
      <c r="I65" s="117"/>
    </row>
    <row r="66" customFormat="false" ht="12.75" hidden="false" customHeight="false" outlineLevel="0" collapsed="false">
      <c r="A66" s="117" t="s">
        <v>187</v>
      </c>
      <c r="B66" s="115" t="n">
        <v>0</v>
      </c>
      <c r="C66" s="116" t="n">
        <v>0</v>
      </c>
      <c r="D66" s="117" t="n">
        <v>-0.0125</v>
      </c>
      <c r="E66" s="118" t="n">
        <f aca="false">+B66*C66</f>
        <v>0</v>
      </c>
      <c r="F66" s="118" t="n">
        <f aca="false">+B66*D66</f>
        <v>-0</v>
      </c>
      <c r="G66" s="117"/>
      <c r="H66" s="117"/>
      <c r="I66" s="117"/>
    </row>
    <row r="67" customFormat="false" ht="12.75" hidden="false" customHeight="false" outlineLevel="0" collapsed="false">
      <c r="A67" s="117" t="s">
        <v>97</v>
      </c>
      <c r="B67" s="115" t="n">
        <f aca="false">ROUND(+B66/(1-0.0045)-B66,0)</f>
        <v>0</v>
      </c>
      <c r="C67" s="116"/>
      <c r="D67" s="117"/>
      <c r="E67" s="118"/>
      <c r="F67" s="118"/>
      <c r="G67" s="117"/>
      <c r="H67" s="117"/>
      <c r="I67" s="117"/>
    </row>
    <row r="68" customFormat="false" ht="12.75" hidden="false" customHeight="false" outlineLevel="0" collapsed="false">
      <c r="A68" s="117" t="s">
        <v>187</v>
      </c>
      <c r="B68" s="115" t="n">
        <v>0</v>
      </c>
      <c r="C68" s="116" t="n">
        <v>0</v>
      </c>
      <c r="D68" s="117" t="n">
        <v>-0.0125</v>
      </c>
      <c r="E68" s="118" t="n">
        <f aca="false">+B68*C68</f>
        <v>0</v>
      </c>
      <c r="F68" s="118" t="n">
        <f aca="false">+B68*D68</f>
        <v>-0</v>
      </c>
      <c r="G68" s="117"/>
      <c r="H68" s="117"/>
      <c r="I68" s="117"/>
    </row>
    <row r="69" customFormat="false" ht="12.75" hidden="false" customHeight="false" outlineLevel="0" collapsed="false">
      <c r="A69" s="117" t="s">
        <v>97</v>
      </c>
      <c r="B69" s="115" t="n">
        <f aca="false">ROUND(+B68/(1-0.0045)-B68,0)</f>
        <v>0</v>
      </c>
      <c r="C69" s="116"/>
      <c r="D69" s="117"/>
      <c r="E69" s="118"/>
      <c r="F69" s="118"/>
      <c r="G69" s="117"/>
      <c r="H69" s="117"/>
      <c r="I69" s="117"/>
    </row>
    <row r="70" customFormat="false" ht="12.75" hidden="false" customHeight="false" outlineLevel="0" collapsed="false">
      <c r="A70" s="117" t="s">
        <v>187</v>
      </c>
      <c r="B70" s="115" t="n">
        <v>0</v>
      </c>
      <c r="C70" s="116" t="n">
        <v>0</v>
      </c>
      <c r="D70" s="117" t="n">
        <v>-0.0125</v>
      </c>
      <c r="E70" s="118" t="n">
        <f aca="false">+B70*C70</f>
        <v>0</v>
      </c>
      <c r="F70" s="118" t="n">
        <f aca="false">+B70*D70</f>
        <v>-0</v>
      </c>
      <c r="G70" s="117"/>
      <c r="H70" s="117"/>
      <c r="I70" s="117"/>
    </row>
    <row r="71" customFormat="false" ht="12.75" hidden="false" customHeight="false" outlineLevel="0" collapsed="false">
      <c r="A71" s="117" t="s">
        <v>97</v>
      </c>
      <c r="B71" s="115" t="n">
        <f aca="false">ROUND(+B70/(1-0.0045)-B70,0)</f>
        <v>0</v>
      </c>
      <c r="C71" s="116"/>
      <c r="D71" s="117"/>
      <c r="E71" s="118"/>
      <c r="F71" s="118"/>
      <c r="G71" s="117"/>
      <c r="H71" s="117"/>
      <c r="I71" s="117"/>
    </row>
    <row r="72" customFormat="false" ht="12.75" hidden="false" customHeight="false" outlineLevel="0" collapsed="false">
      <c r="A72" s="117" t="s">
        <v>188</v>
      </c>
      <c r="B72" s="115" t="n">
        <v>0</v>
      </c>
      <c r="C72" s="116" t="n">
        <v>0</v>
      </c>
      <c r="D72" s="117" t="n">
        <v>-0.0125</v>
      </c>
      <c r="E72" s="118" t="n">
        <f aca="false">+B72*C72</f>
        <v>0</v>
      </c>
      <c r="F72" s="118" t="n">
        <f aca="false">+B72*D72</f>
        <v>-0</v>
      </c>
      <c r="G72" s="117"/>
      <c r="H72" s="117"/>
      <c r="I72" s="117"/>
    </row>
    <row r="73" customFormat="false" ht="12.75" hidden="false" customHeight="false" outlineLevel="0" collapsed="false">
      <c r="A73" s="117" t="s">
        <v>189</v>
      </c>
      <c r="B73" s="115" t="n">
        <v>0</v>
      </c>
      <c r="C73" s="116" t="n">
        <v>0</v>
      </c>
      <c r="D73" s="117" t="n">
        <v>-0.0125</v>
      </c>
      <c r="E73" s="118" t="n">
        <f aca="false">+B73*C73</f>
        <v>0</v>
      </c>
      <c r="F73" s="118" t="n">
        <f aca="false">+B73*D73</f>
        <v>-0</v>
      </c>
      <c r="G73" s="117"/>
      <c r="H73" s="117"/>
      <c r="I73" s="117"/>
    </row>
    <row r="74" customFormat="false" ht="12.75" hidden="false" customHeight="false" outlineLevel="0" collapsed="false">
      <c r="A74" s="117"/>
      <c r="B74" s="115"/>
      <c r="C74" s="116"/>
      <c r="D74" s="117"/>
      <c r="E74" s="118"/>
      <c r="F74" s="118"/>
      <c r="G74" s="117"/>
      <c r="H74" s="117"/>
      <c r="I74" s="117"/>
    </row>
    <row r="75" customFormat="false" ht="12.75" hidden="false" customHeight="false" outlineLevel="0" collapsed="false">
      <c r="A75" s="117" t="s">
        <v>190</v>
      </c>
      <c r="B75" s="115"/>
      <c r="C75" s="116"/>
      <c r="D75" s="117"/>
      <c r="E75" s="118"/>
      <c r="F75" s="118"/>
      <c r="G75" s="117"/>
      <c r="H75" s="117"/>
      <c r="I75" s="117"/>
    </row>
    <row r="76" customFormat="false" ht="12.75" hidden="false" customHeight="false" outlineLevel="0" collapsed="false">
      <c r="A76" s="117" t="s">
        <v>191</v>
      </c>
      <c r="B76" s="115" t="n">
        <v>0</v>
      </c>
      <c r="C76" s="116" t="n">
        <v>0</v>
      </c>
      <c r="D76" s="117" t="n">
        <v>-0.0125</v>
      </c>
      <c r="E76" s="118" t="n">
        <f aca="false">+B76*C76</f>
        <v>0</v>
      </c>
      <c r="F76" s="118" t="n">
        <f aca="false">+B76*D76</f>
        <v>-0</v>
      </c>
      <c r="G76" s="117"/>
      <c r="H76" s="117"/>
      <c r="I76" s="117"/>
    </row>
    <row r="77" customFormat="false" ht="12.75" hidden="false" customHeight="false" outlineLevel="0" collapsed="false">
      <c r="A77" s="117" t="s">
        <v>191</v>
      </c>
      <c r="B77" s="115" t="n">
        <v>0</v>
      </c>
      <c r="C77" s="116" t="n">
        <v>0</v>
      </c>
      <c r="D77" s="117" t="n">
        <v>-0.0125</v>
      </c>
      <c r="E77" s="118" t="n">
        <f aca="false">+B77*C77</f>
        <v>0</v>
      </c>
      <c r="F77" s="118" t="n">
        <f aca="false">+B77*D77</f>
        <v>-0</v>
      </c>
      <c r="G77" s="117"/>
      <c r="H77" s="117"/>
      <c r="I77" s="117"/>
    </row>
    <row r="78" customFormat="false" ht="12.75" hidden="false" customHeight="false" outlineLevel="0" collapsed="false">
      <c r="A78" s="117" t="s">
        <v>191</v>
      </c>
      <c r="B78" s="115" t="n">
        <v>0</v>
      </c>
      <c r="C78" s="116" t="n">
        <v>0</v>
      </c>
      <c r="D78" s="117" t="n">
        <v>-0.0125</v>
      </c>
      <c r="E78" s="118" t="n">
        <f aca="false">+B78*C78</f>
        <v>0</v>
      </c>
      <c r="F78" s="118" t="n">
        <f aca="false">+B78*D78</f>
        <v>-0</v>
      </c>
      <c r="G78" s="117"/>
      <c r="H78" s="117"/>
      <c r="I78" s="117"/>
    </row>
    <row r="79" customFormat="false" ht="12.75" hidden="false" customHeight="false" outlineLevel="0" collapsed="false">
      <c r="A79" s="117" t="s">
        <v>192</v>
      </c>
      <c r="B79" s="115" t="n">
        <v>0</v>
      </c>
      <c r="C79" s="116" t="n">
        <v>0</v>
      </c>
      <c r="D79" s="117" t="n">
        <v>-0.0125</v>
      </c>
      <c r="E79" s="118" t="n">
        <f aca="false">+B79*C79</f>
        <v>0</v>
      </c>
      <c r="F79" s="118" t="n">
        <f aca="false">+B79*D79</f>
        <v>-0</v>
      </c>
      <c r="G79" s="117"/>
      <c r="H79" s="117"/>
      <c r="I79" s="117"/>
    </row>
    <row r="80" customFormat="false" ht="12.75" hidden="false" customHeight="false" outlineLevel="0" collapsed="false">
      <c r="A80" s="117" t="s">
        <v>192</v>
      </c>
      <c r="B80" s="115" t="n">
        <v>0</v>
      </c>
      <c r="C80" s="116" t="n">
        <v>0</v>
      </c>
      <c r="D80" s="117" t="n">
        <v>-0.0125</v>
      </c>
      <c r="E80" s="118" t="n">
        <f aca="false">+B80*C80</f>
        <v>0</v>
      </c>
      <c r="F80" s="118" t="n">
        <f aca="false">+B80*D80</f>
        <v>-0</v>
      </c>
      <c r="G80" s="117"/>
      <c r="H80" s="117"/>
      <c r="I80" s="117"/>
    </row>
    <row r="81" customFormat="false" ht="12.75" hidden="false" customHeight="false" outlineLevel="0" collapsed="false">
      <c r="A81" s="117" t="s">
        <v>192</v>
      </c>
      <c r="B81" s="115" t="n">
        <v>0</v>
      </c>
      <c r="C81" s="116" t="n">
        <v>0</v>
      </c>
      <c r="D81" s="117" t="n">
        <v>-0.0125</v>
      </c>
      <c r="E81" s="118" t="n">
        <f aca="false">+B81*C81</f>
        <v>0</v>
      </c>
      <c r="F81" s="118" t="n">
        <f aca="false">+B81*D81</f>
        <v>-0</v>
      </c>
      <c r="G81" s="117"/>
      <c r="H81" s="117"/>
      <c r="I81" s="117"/>
    </row>
    <row r="82" customFormat="false" ht="12.75" hidden="false" customHeight="false" outlineLevel="0" collapsed="false">
      <c r="A82" s="117"/>
      <c r="B82" s="115"/>
      <c r="C82" s="116"/>
      <c r="D82" s="117"/>
      <c r="E82" s="118"/>
      <c r="F82" s="118"/>
      <c r="G82" s="117"/>
      <c r="H82" s="117"/>
      <c r="I82" s="117"/>
    </row>
    <row r="83" customFormat="false" ht="12.75" hidden="false" customHeight="false" outlineLevel="0" collapsed="false">
      <c r="A83" s="117"/>
      <c r="B83" s="115"/>
      <c r="C83" s="116"/>
      <c r="D83" s="117"/>
      <c r="E83" s="118"/>
      <c r="F83" s="118"/>
      <c r="G83" s="117"/>
      <c r="H83" s="117"/>
      <c r="I83" s="117"/>
    </row>
    <row r="84" customFormat="false" ht="13.5" hidden="false" customHeight="false" outlineLevel="0" collapsed="false">
      <c r="A84" s="117"/>
      <c r="B84" s="115"/>
      <c r="C84" s="116"/>
      <c r="D84" s="117"/>
      <c r="E84" s="118"/>
      <c r="F84" s="118"/>
      <c r="G84" s="117"/>
      <c r="H84" s="117"/>
      <c r="I84" s="117"/>
    </row>
    <row r="85" customFormat="false" ht="12.75" hidden="false" customHeight="false" outlineLevel="0" collapsed="false">
      <c r="A85" s="119" t="s">
        <v>193</v>
      </c>
      <c r="B85" s="120" t="n">
        <v>0</v>
      </c>
      <c r="C85" s="121" t="n">
        <v>0</v>
      </c>
      <c r="D85" s="122" t="n">
        <v>0</v>
      </c>
      <c r="E85" s="123" t="n">
        <f aca="false">+B85*C85</f>
        <v>0</v>
      </c>
      <c r="F85" s="123" t="n">
        <f aca="false">+B85*D85</f>
        <v>0</v>
      </c>
      <c r="G85" s="122"/>
      <c r="H85" s="122"/>
      <c r="I85" s="124"/>
    </row>
    <row r="86" customFormat="false" ht="12.75" hidden="false" customHeight="false" outlineLevel="0" collapsed="false">
      <c r="A86" s="125"/>
      <c r="B86" s="115" t="n">
        <v>0</v>
      </c>
      <c r="C86" s="116" t="n">
        <v>0</v>
      </c>
      <c r="D86" s="126" t="n">
        <v>0</v>
      </c>
      <c r="E86" s="118" t="n">
        <f aca="false">+B86*C86</f>
        <v>0</v>
      </c>
      <c r="F86" s="118" t="n">
        <f aca="false">+B86*D86</f>
        <v>0</v>
      </c>
      <c r="G86" s="126"/>
      <c r="H86" s="126"/>
      <c r="I86" s="127"/>
    </row>
    <row r="87" customFormat="false" ht="12.75" hidden="false" customHeight="false" outlineLevel="0" collapsed="false">
      <c r="A87" s="128" t="s">
        <v>194</v>
      </c>
      <c r="B87" s="129" t="n">
        <f aca="false">SUM(B85:B86)</f>
        <v>0</v>
      </c>
      <c r="C87" s="116"/>
      <c r="D87" s="126"/>
      <c r="E87" s="118"/>
      <c r="F87" s="118"/>
      <c r="G87" s="126"/>
      <c r="H87" s="126"/>
      <c r="I87" s="127"/>
    </row>
    <row r="88" customFormat="false" ht="12.75" hidden="false" customHeight="false" outlineLevel="0" collapsed="false">
      <c r="A88" s="125"/>
      <c r="B88" s="115"/>
      <c r="C88" s="116"/>
      <c r="D88" s="126"/>
      <c r="E88" s="118"/>
      <c r="F88" s="118"/>
      <c r="G88" s="126"/>
      <c r="H88" s="126" t="s">
        <v>195</v>
      </c>
      <c r="I88" s="127"/>
    </row>
    <row r="89" customFormat="false" ht="12.75" hidden="false" customHeight="false" outlineLevel="0" collapsed="false">
      <c r="A89" s="125" t="s">
        <v>196</v>
      </c>
      <c r="B89" s="115" t="n">
        <v>0</v>
      </c>
      <c r="C89" s="115" t="n">
        <f aca="false">ROUND(+B89/(1-0.0307)-B89,0)</f>
        <v>0</v>
      </c>
      <c r="D89" s="126" t="n">
        <v>-0.0118</v>
      </c>
      <c r="E89" s="118"/>
      <c r="F89" s="118" t="n">
        <f aca="false">+D89*B89</f>
        <v>-0</v>
      </c>
      <c r="G89" s="126"/>
      <c r="H89" s="126" t="n">
        <v>637172</v>
      </c>
      <c r="I89" s="127"/>
    </row>
    <row r="90" customFormat="false" ht="12.75" hidden="false" customHeight="false" outlineLevel="0" collapsed="false">
      <c r="A90" s="125" t="s">
        <v>197</v>
      </c>
      <c r="B90" s="115" t="n">
        <v>0</v>
      </c>
      <c r="C90" s="115" t="n">
        <f aca="false">ROUND(+B90/(1-0.0734)-B90,0)</f>
        <v>0</v>
      </c>
      <c r="D90" s="126" t="n">
        <v>-0.0539</v>
      </c>
      <c r="E90" s="118"/>
      <c r="F90" s="118" t="n">
        <f aca="false">+D90*B90</f>
        <v>-0</v>
      </c>
      <c r="G90" s="126"/>
      <c r="H90" s="126"/>
      <c r="I90" s="127"/>
    </row>
    <row r="91" customFormat="false" ht="12.75" hidden="false" customHeight="false" outlineLevel="0" collapsed="false">
      <c r="A91" s="125" t="s">
        <v>198</v>
      </c>
      <c r="B91" s="115" t="n">
        <v>0</v>
      </c>
      <c r="C91" s="115" t="n">
        <f aca="false">ROUND(+B91/(1-0.0707)-B91,0)</f>
        <v>0</v>
      </c>
      <c r="D91" s="126" t="n">
        <v>-0.0523</v>
      </c>
      <c r="E91" s="118"/>
      <c r="F91" s="118" t="n">
        <f aca="false">+D91*B91</f>
        <v>-0</v>
      </c>
      <c r="G91" s="126"/>
      <c r="H91" s="126"/>
      <c r="I91" s="127"/>
    </row>
    <row r="92" customFormat="false" ht="12.75" hidden="false" customHeight="false" outlineLevel="0" collapsed="false">
      <c r="A92" s="125" t="s">
        <v>199</v>
      </c>
      <c r="B92" s="115" t="n">
        <v>0</v>
      </c>
      <c r="C92" s="115" t="n">
        <f aca="false">ROUND(+B92/(1-0.0707)-B92,0)</f>
        <v>0</v>
      </c>
      <c r="D92" s="126" t="n">
        <v>-0.0523</v>
      </c>
      <c r="E92" s="118"/>
      <c r="F92" s="118" t="n">
        <f aca="false">+D92*B92</f>
        <v>-0</v>
      </c>
      <c r="G92" s="126"/>
      <c r="H92" s="126"/>
      <c r="I92" s="127"/>
    </row>
    <row r="93" customFormat="false" ht="12.75" hidden="false" customHeight="false" outlineLevel="0" collapsed="false">
      <c r="A93" s="125"/>
      <c r="B93" s="115" t="n">
        <f aca="false">SUM(B89:B92)</f>
        <v>0</v>
      </c>
      <c r="C93" s="115" t="n">
        <f aca="false">SUM(C89:C92)</f>
        <v>0</v>
      </c>
      <c r="D93" s="126"/>
      <c r="E93" s="118"/>
      <c r="F93" s="118"/>
      <c r="G93" s="126"/>
      <c r="H93" s="126"/>
      <c r="I93" s="127"/>
    </row>
    <row r="94" customFormat="false" ht="12.75" hidden="false" customHeight="false" outlineLevel="0" collapsed="false">
      <c r="A94" s="125"/>
      <c r="B94" s="129" t="n">
        <f aca="false">+B93+C93</f>
        <v>0</v>
      </c>
      <c r="C94" s="116"/>
      <c r="D94" s="126"/>
      <c r="E94" s="118"/>
      <c r="F94" s="118"/>
      <c r="G94" s="126"/>
      <c r="H94" s="126"/>
      <c r="I94" s="127"/>
    </row>
    <row r="95" customFormat="false" ht="13.5" hidden="false" customHeight="false" outlineLevel="0" collapsed="false">
      <c r="A95" s="130"/>
      <c r="B95" s="131"/>
      <c r="C95" s="132"/>
      <c r="D95" s="133"/>
      <c r="E95" s="134"/>
      <c r="F95" s="134"/>
      <c r="G95" s="133"/>
      <c r="H95" s="133"/>
      <c r="I95" s="135"/>
    </row>
    <row r="96" customFormat="false" ht="12.75" hidden="false" customHeight="false" outlineLevel="0" collapsed="false">
      <c r="A96" s="117"/>
      <c r="B96" s="115"/>
      <c r="C96" s="116"/>
      <c r="D96" s="117"/>
      <c r="E96" s="118"/>
      <c r="F96" s="118"/>
      <c r="G96" s="117"/>
      <c r="H96" s="117"/>
      <c r="I96" s="117"/>
    </row>
    <row r="97" customFormat="false" ht="13.5" hidden="false" customHeight="false" outlineLevel="0" collapsed="false">
      <c r="A97" s="117"/>
      <c r="B97" s="115"/>
      <c r="C97" s="116"/>
      <c r="D97" s="117"/>
      <c r="E97" s="118"/>
      <c r="F97" s="118"/>
      <c r="G97" s="117"/>
      <c r="H97" s="117"/>
      <c r="I97" s="117"/>
    </row>
    <row r="98" customFormat="false" ht="12.75" hidden="false" customHeight="false" outlineLevel="0" collapsed="false">
      <c r="A98" s="119" t="s">
        <v>200</v>
      </c>
      <c r="B98" s="120" t="n">
        <v>0</v>
      </c>
      <c r="C98" s="121" t="n">
        <v>0</v>
      </c>
      <c r="D98" s="122" t="n">
        <v>0</v>
      </c>
      <c r="E98" s="123" t="n">
        <f aca="false">+B98*C98</f>
        <v>0</v>
      </c>
      <c r="F98" s="123" t="n">
        <f aca="false">+B98*D98</f>
        <v>0</v>
      </c>
      <c r="G98" s="122"/>
      <c r="H98" s="122"/>
      <c r="I98" s="124"/>
    </row>
    <row r="99" customFormat="false" ht="12.75" hidden="false" customHeight="false" outlineLevel="0" collapsed="false">
      <c r="A99" s="125" t="s">
        <v>201</v>
      </c>
      <c r="B99" s="115" t="n">
        <v>0</v>
      </c>
      <c r="C99" s="116" t="n">
        <v>0</v>
      </c>
      <c r="D99" s="126" t="n">
        <v>0</v>
      </c>
      <c r="E99" s="118" t="n">
        <f aca="false">+B99*C99</f>
        <v>0</v>
      </c>
      <c r="F99" s="118" t="n">
        <f aca="false">+B99*D99</f>
        <v>0</v>
      </c>
      <c r="G99" s="126"/>
      <c r="H99" s="126"/>
      <c r="I99" s="127"/>
    </row>
    <row r="100" customFormat="false" ht="12.75" hidden="false" customHeight="false" outlineLevel="0" collapsed="false">
      <c r="A100" s="128" t="s">
        <v>202</v>
      </c>
      <c r="B100" s="129" t="n">
        <f aca="false">SUM(B98:B99)</f>
        <v>0</v>
      </c>
      <c r="C100" s="116"/>
      <c r="D100" s="126"/>
      <c r="E100" s="118"/>
      <c r="F100" s="118"/>
      <c r="G100" s="126"/>
      <c r="H100" s="126"/>
      <c r="I100" s="127"/>
    </row>
    <row r="101" customFormat="false" ht="12.75" hidden="false" customHeight="false" outlineLevel="0" collapsed="false">
      <c r="A101" s="125"/>
      <c r="B101" s="115"/>
      <c r="C101" s="116"/>
      <c r="D101" s="126"/>
      <c r="E101" s="118"/>
      <c r="F101" s="118"/>
      <c r="G101" s="126"/>
      <c r="H101" s="126" t="s">
        <v>195</v>
      </c>
      <c r="I101" s="127"/>
    </row>
    <row r="102" customFormat="false" ht="12.75" hidden="false" customHeight="false" outlineLevel="0" collapsed="false">
      <c r="A102" s="125" t="s">
        <v>196</v>
      </c>
      <c r="B102" s="115" t="n">
        <v>0</v>
      </c>
      <c r="C102" s="115" t="n">
        <f aca="false">ROUND(+B102/(1-0.0795)-B102,0)</f>
        <v>0</v>
      </c>
      <c r="D102" s="126" t="n">
        <v>-0.0576</v>
      </c>
      <c r="E102" s="118"/>
      <c r="F102" s="118" t="n">
        <f aca="false">+D102*B102</f>
        <v>-0</v>
      </c>
      <c r="G102" s="126"/>
      <c r="H102" s="126" t="n">
        <v>640171</v>
      </c>
      <c r="I102" s="127"/>
    </row>
    <row r="103" customFormat="false" ht="12.75" hidden="false" customHeight="false" outlineLevel="0" collapsed="false">
      <c r="A103" s="125" t="s">
        <v>197</v>
      </c>
      <c r="B103" s="115" t="n">
        <v>0</v>
      </c>
      <c r="C103" s="115" t="n">
        <f aca="false">ROUND(+B103/(1-0.0734)-B103,0)</f>
        <v>0</v>
      </c>
      <c r="D103" s="126" t="n">
        <v>-0.0539</v>
      </c>
      <c r="E103" s="118"/>
      <c r="F103" s="118" t="n">
        <f aca="false">+D103*B103</f>
        <v>-0</v>
      </c>
      <c r="G103" s="126"/>
      <c r="H103" s="126" t="n">
        <v>640179</v>
      </c>
      <c r="I103" s="127"/>
    </row>
    <row r="104" customFormat="false" ht="12.75" hidden="false" customHeight="false" outlineLevel="0" collapsed="false">
      <c r="A104" s="125" t="s">
        <v>203</v>
      </c>
      <c r="B104" s="115" t="n">
        <v>0</v>
      </c>
      <c r="C104" s="115" t="n">
        <f aca="false">ROUND(+B104/(1-0.0707)-B104,0)</f>
        <v>0</v>
      </c>
      <c r="D104" s="126" t="n">
        <v>-0.0523</v>
      </c>
      <c r="E104" s="118"/>
      <c r="F104" s="118" t="n">
        <f aca="false">+D104*B104</f>
        <v>-0</v>
      </c>
      <c r="G104" s="126"/>
      <c r="H104" s="126" t="n">
        <v>637224</v>
      </c>
      <c r="I104" s="127"/>
    </row>
    <row r="105" customFormat="false" ht="12.75" hidden="false" customHeight="false" outlineLevel="0" collapsed="false">
      <c r="A105" s="125" t="s">
        <v>199</v>
      </c>
      <c r="B105" s="115" t="n">
        <v>0</v>
      </c>
      <c r="C105" s="115" t="n">
        <f aca="false">ROUND(+B105/(1-0.0707)-B105,0)</f>
        <v>0</v>
      </c>
      <c r="D105" s="126" t="n">
        <v>-0.0523</v>
      </c>
      <c r="E105" s="118"/>
      <c r="F105" s="118" t="n">
        <f aca="false">+D105*B105</f>
        <v>-0</v>
      </c>
      <c r="G105" s="126"/>
      <c r="H105" s="126" t="n">
        <v>640151</v>
      </c>
      <c r="I105" s="127"/>
    </row>
    <row r="106" customFormat="false" ht="12.75" hidden="false" customHeight="false" outlineLevel="0" collapsed="false">
      <c r="A106" s="125" t="s">
        <v>204</v>
      </c>
      <c r="B106" s="115" t="n">
        <v>0</v>
      </c>
      <c r="C106" s="115" t="n">
        <f aca="false">ROUND(+B106/(1-0.0416)-B106,0)</f>
        <v>0</v>
      </c>
      <c r="D106" s="126" t="n">
        <v>-0.0366</v>
      </c>
      <c r="E106" s="118"/>
      <c r="F106" s="118" t="n">
        <f aca="false">+D106*B106</f>
        <v>-0</v>
      </c>
      <c r="G106" s="126"/>
      <c r="H106" s="126"/>
      <c r="I106" s="127"/>
    </row>
    <row r="107" customFormat="false" ht="12.75" hidden="false" customHeight="false" outlineLevel="0" collapsed="false">
      <c r="A107" s="125" t="s">
        <v>205</v>
      </c>
      <c r="B107" s="115" t="n">
        <v>0</v>
      </c>
      <c r="C107" s="115" t="n">
        <f aca="false">ROUND(+B107/(1-0.0795)-B107,0)</f>
        <v>0</v>
      </c>
      <c r="D107" s="126" t="n">
        <v>-0.1322</v>
      </c>
      <c r="E107" s="118"/>
      <c r="F107" s="118" t="n">
        <f aca="false">+D107*B107</f>
        <v>-0</v>
      </c>
      <c r="G107" s="126"/>
      <c r="H107" s="126" t="n">
        <v>712266</v>
      </c>
      <c r="I107" s="127"/>
    </row>
    <row r="108" customFormat="false" ht="12.75" hidden="false" customHeight="false" outlineLevel="0" collapsed="false">
      <c r="A108" s="125" t="s">
        <v>206</v>
      </c>
      <c r="B108" s="115"/>
      <c r="C108" s="115" t="n">
        <f aca="false">ROUND(+B108/(1-0.0734)-B108,0)</f>
        <v>0</v>
      </c>
      <c r="D108" s="126"/>
      <c r="E108" s="118"/>
      <c r="F108" s="118" t="n">
        <f aca="false">+D108*B108</f>
        <v>0</v>
      </c>
      <c r="G108" s="126"/>
      <c r="H108" s="126"/>
      <c r="I108" s="127"/>
    </row>
    <row r="109" customFormat="false" ht="12.75" hidden="false" customHeight="false" outlineLevel="0" collapsed="false">
      <c r="A109" s="125" t="s">
        <v>207</v>
      </c>
      <c r="B109" s="115"/>
      <c r="C109" s="115" t="n">
        <f aca="false">ROUND(+B109/(1-0.0707)-B109,0)</f>
        <v>0</v>
      </c>
      <c r="D109" s="126"/>
      <c r="E109" s="118"/>
      <c r="F109" s="118" t="n">
        <f aca="false">+D109*B109</f>
        <v>0</v>
      </c>
      <c r="G109" s="126"/>
      <c r="H109" s="126" t="n">
        <v>705541</v>
      </c>
      <c r="I109" s="127"/>
    </row>
    <row r="110" customFormat="false" ht="12.75" hidden="false" customHeight="false" outlineLevel="0" collapsed="false">
      <c r="A110" s="125" t="s">
        <v>208</v>
      </c>
      <c r="B110" s="115"/>
      <c r="C110" s="115" t="n">
        <f aca="false">ROUND(+B110/(1-0.0707)-B110,0)</f>
        <v>0</v>
      </c>
      <c r="D110" s="126"/>
      <c r="E110" s="118"/>
      <c r="F110" s="118" t="n">
        <f aca="false">+D110*B110</f>
        <v>0</v>
      </c>
      <c r="G110" s="126"/>
      <c r="H110" s="126" t="n">
        <v>705238</v>
      </c>
      <c r="I110" s="127"/>
    </row>
    <row r="111" customFormat="false" ht="12.75" hidden="false" customHeight="false" outlineLevel="0" collapsed="false">
      <c r="A111" s="125"/>
      <c r="B111" s="115" t="n">
        <f aca="false">SUM(B102:B110)</f>
        <v>0</v>
      </c>
      <c r="C111" s="115" t="n">
        <f aca="false">SUM(C102:C110)</f>
        <v>0</v>
      </c>
      <c r="D111" s="126"/>
      <c r="E111" s="118"/>
      <c r="F111" s="118"/>
      <c r="G111" s="126"/>
      <c r="H111" s="126"/>
      <c r="I111" s="127"/>
    </row>
    <row r="112" customFormat="false" ht="13.5" hidden="false" customHeight="false" outlineLevel="0" collapsed="false">
      <c r="A112" s="130"/>
      <c r="B112" s="136" t="n">
        <f aca="false">+B111+C111</f>
        <v>0</v>
      </c>
      <c r="C112" s="132"/>
      <c r="D112" s="133"/>
      <c r="E112" s="134"/>
      <c r="F112" s="134"/>
      <c r="G112" s="133"/>
      <c r="H112" s="133"/>
      <c r="I112" s="135"/>
    </row>
    <row r="113" customFormat="false" ht="12.75" hidden="false" customHeight="false" outlineLevel="0" collapsed="false">
      <c r="A113" s="117"/>
      <c r="B113" s="115"/>
      <c r="C113" s="116"/>
      <c r="D113" s="117"/>
      <c r="E113" s="118"/>
      <c r="F113" s="118"/>
      <c r="G113" s="117"/>
      <c r="H113" s="117"/>
      <c r="I113" s="117"/>
    </row>
    <row r="114" customFormat="false" ht="13.5" hidden="false" customHeight="false" outlineLevel="0" collapsed="false">
      <c r="A114" s="117"/>
      <c r="B114" s="115"/>
      <c r="C114" s="116"/>
      <c r="D114" s="117"/>
      <c r="E114" s="118"/>
      <c r="F114" s="118"/>
      <c r="G114" s="117"/>
      <c r="H114" s="117"/>
      <c r="I114" s="117"/>
    </row>
    <row r="115" customFormat="false" ht="12.75" hidden="false" customHeight="false" outlineLevel="0" collapsed="false">
      <c r="A115" s="119" t="s">
        <v>209</v>
      </c>
      <c r="B115" s="120" t="n">
        <v>5000</v>
      </c>
      <c r="C115" s="121" t="n">
        <v>4.24</v>
      </c>
      <c r="D115" s="122" t="n">
        <v>0</v>
      </c>
      <c r="E115" s="123" t="n">
        <f aca="false">+B115*C115</f>
        <v>21200</v>
      </c>
      <c r="F115" s="123" t="n">
        <f aca="false">+B115*D115</f>
        <v>0</v>
      </c>
      <c r="G115" s="122"/>
      <c r="H115" s="122"/>
      <c r="I115" s="124"/>
    </row>
    <row r="116" customFormat="false" ht="12.75" hidden="false" customHeight="false" outlineLevel="0" collapsed="false">
      <c r="A116" s="125" t="s">
        <v>210</v>
      </c>
      <c r="B116" s="115" t="n">
        <v>-5000</v>
      </c>
      <c r="C116" s="116" t="n">
        <v>4.5675</v>
      </c>
      <c r="D116" s="126" t="n">
        <v>0</v>
      </c>
      <c r="E116" s="118" t="n">
        <f aca="false">+B116*C116</f>
        <v>-22837.5</v>
      </c>
      <c r="F116" s="118" t="n">
        <f aca="false">+B116*D116</f>
        <v>-0</v>
      </c>
      <c r="G116" s="126"/>
      <c r="H116" s="126"/>
      <c r="I116" s="127"/>
    </row>
    <row r="117" customFormat="false" ht="12.75" hidden="false" customHeight="false" outlineLevel="0" collapsed="false">
      <c r="A117" s="125" t="s">
        <v>210</v>
      </c>
      <c r="B117" s="115" t="n">
        <v>5000</v>
      </c>
      <c r="C117" s="116" t="n">
        <v>4.6975</v>
      </c>
      <c r="D117" s="126" t="n">
        <v>0</v>
      </c>
      <c r="E117" s="118" t="n">
        <f aca="false">+B117*C117</f>
        <v>23487.5</v>
      </c>
      <c r="F117" s="118" t="n">
        <f aca="false">+B117*D117</f>
        <v>0</v>
      </c>
      <c r="G117" s="126"/>
      <c r="H117" s="126"/>
      <c r="I117" s="127"/>
    </row>
    <row r="118" customFormat="false" ht="12.75" hidden="false" customHeight="false" outlineLevel="0" collapsed="false">
      <c r="A118" s="125" t="s">
        <v>211</v>
      </c>
      <c r="B118" s="115" t="n">
        <v>0</v>
      </c>
      <c r="C118" s="116"/>
      <c r="D118" s="126" t="n">
        <v>0</v>
      </c>
      <c r="E118" s="118" t="n">
        <f aca="false">+B118*C118</f>
        <v>0</v>
      </c>
      <c r="F118" s="118" t="n">
        <f aca="false">+B118*D118</f>
        <v>0</v>
      </c>
      <c r="G118" s="126"/>
      <c r="H118" s="126"/>
      <c r="I118" s="127"/>
    </row>
    <row r="119" customFormat="false" ht="12.75" hidden="false" customHeight="false" outlineLevel="0" collapsed="false">
      <c r="A119" s="125" t="s">
        <v>212</v>
      </c>
      <c r="B119" s="115" t="n">
        <v>0</v>
      </c>
      <c r="C119" s="116"/>
      <c r="D119" s="126" t="n">
        <v>0</v>
      </c>
      <c r="E119" s="118" t="n">
        <f aca="false">+B119*C119</f>
        <v>0</v>
      </c>
      <c r="F119" s="118" t="n">
        <f aca="false">+B119*D119</f>
        <v>0</v>
      </c>
      <c r="G119" s="126"/>
      <c r="H119" s="126"/>
      <c r="I119" s="127"/>
    </row>
    <row r="120" customFormat="false" ht="12.75" hidden="false" customHeight="false" outlineLevel="0" collapsed="false">
      <c r="A120" s="125" t="s">
        <v>213</v>
      </c>
      <c r="B120" s="115" t="n">
        <v>0</v>
      </c>
      <c r="C120" s="116" t="n">
        <v>0</v>
      </c>
      <c r="D120" s="126" t="n">
        <v>0</v>
      </c>
      <c r="E120" s="118" t="n">
        <f aca="false">+B120*C120</f>
        <v>0</v>
      </c>
      <c r="F120" s="118" t="n">
        <f aca="false">+B120*D120</f>
        <v>0</v>
      </c>
      <c r="G120" s="126"/>
      <c r="H120" s="126"/>
      <c r="I120" s="127"/>
    </row>
    <row r="121" customFormat="false" ht="12.75" hidden="false" customHeight="false" outlineLevel="0" collapsed="false">
      <c r="A121" s="128" t="s">
        <v>214</v>
      </c>
      <c r="B121" s="129" t="n">
        <f aca="false">SUM(B115:B120)</f>
        <v>5000</v>
      </c>
      <c r="C121" s="116"/>
      <c r="D121" s="126"/>
      <c r="E121" s="118"/>
      <c r="F121" s="118"/>
      <c r="G121" s="126"/>
      <c r="H121" s="126"/>
      <c r="I121" s="127"/>
    </row>
    <row r="122" customFormat="false" ht="12.75" hidden="false" customHeight="false" outlineLevel="0" collapsed="false">
      <c r="A122" s="125"/>
      <c r="B122" s="115"/>
      <c r="C122" s="116"/>
      <c r="D122" s="126"/>
      <c r="E122" s="118"/>
      <c r="F122" s="118"/>
      <c r="G122" s="126"/>
      <c r="H122" s="126"/>
      <c r="I122" s="127"/>
    </row>
    <row r="123" customFormat="false" ht="12.75" hidden="false" customHeight="false" outlineLevel="0" collapsed="false">
      <c r="A123" s="125" t="s">
        <v>215</v>
      </c>
      <c r="B123" s="115" t="n">
        <v>0</v>
      </c>
      <c r="C123" s="115" t="n">
        <f aca="false">ROUND(+B123/(1-0.0884)-B123,0)</f>
        <v>0</v>
      </c>
      <c r="D123" s="126" t="n">
        <v>-0.0715</v>
      </c>
      <c r="E123" s="118"/>
      <c r="F123" s="118" t="n">
        <f aca="false">+D123*B123</f>
        <v>-0</v>
      </c>
      <c r="G123" s="126"/>
      <c r="H123" s="126" t="n">
        <v>640165</v>
      </c>
      <c r="I123" s="127"/>
    </row>
    <row r="124" customFormat="false" ht="12.75" hidden="false" customHeight="false" outlineLevel="0" collapsed="false">
      <c r="A124" s="125" t="s">
        <v>197</v>
      </c>
      <c r="B124" s="115" t="n">
        <v>0</v>
      </c>
      <c r="C124" s="115" t="n">
        <f aca="false">ROUND(+B124/(1-0.0823)-B124,0)</f>
        <v>0</v>
      </c>
      <c r="D124" s="126" t="n">
        <v>-0.1047</v>
      </c>
      <c r="E124" s="118"/>
      <c r="F124" s="118" t="n">
        <f aca="false">+D124*B124</f>
        <v>-0</v>
      </c>
      <c r="G124" s="126"/>
      <c r="H124" s="126" t="n">
        <v>735047</v>
      </c>
      <c r="I124" s="127"/>
    </row>
    <row r="125" customFormat="false" ht="12.75" hidden="false" customHeight="false" outlineLevel="0" collapsed="false">
      <c r="A125" s="125" t="s">
        <v>198</v>
      </c>
      <c r="B125" s="115" t="n">
        <v>0</v>
      </c>
      <c r="C125" s="115" t="n">
        <f aca="false">ROUND(+B125/(1-0.0796)-B125,0)</f>
        <v>0</v>
      </c>
      <c r="D125" s="126" t="n">
        <v>-0.0662</v>
      </c>
      <c r="E125" s="118"/>
      <c r="F125" s="118" t="n">
        <f aca="false">+D125*B125</f>
        <v>-0</v>
      </c>
      <c r="G125" s="126"/>
      <c r="H125" s="126" t="n">
        <v>637220</v>
      </c>
      <c r="I125" s="127"/>
    </row>
    <row r="126" customFormat="false" ht="12.75" hidden="false" customHeight="false" outlineLevel="0" collapsed="false">
      <c r="A126" s="125" t="s">
        <v>199</v>
      </c>
      <c r="B126" s="115" t="n">
        <v>5000</v>
      </c>
      <c r="C126" s="115" t="n">
        <f aca="false">ROUND(+B126/(1-0.0796)-B126,0)</f>
        <v>432</v>
      </c>
      <c r="D126" s="126" t="n">
        <v>-0.1016</v>
      </c>
      <c r="E126" s="118"/>
      <c r="F126" s="118" t="n">
        <f aca="false">+D126*B126</f>
        <v>-508</v>
      </c>
      <c r="G126" s="126"/>
      <c r="H126" s="137" t="n">
        <v>821199</v>
      </c>
      <c r="I126" s="127"/>
    </row>
    <row r="127" customFormat="false" ht="12.75" hidden="false" customHeight="false" outlineLevel="0" collapsed="false">
      <c r="A127" s="125" t="s">
        <v>204</v>
      </c>
      <c r="B127" s="115" t="n">
        <v>0</v>
      </c>
      <c r="C127" s="115" t="n">
        <f aca="false">ROUND(+B127/(1-0.0505)-B127,0)</f>
        <v>0</v>
      </c>
      <c r="D127" s="126" t="n">
        <v>-0.0814</v>
      </c>
      <c r="E127" s="118"/>
      <c r="F127" s="118" t="n">
        <f aca="false">+D127*B127</f>
        <v>-0</v>
      </c>
      <c r="G127" s="126"/>
      <c r="H127" s="137" t="n">
        <v>640187</v>
      </c>
      <c r="I127" s="127"/>
    </row>
    <row r="128" customFormat="false" ht="12.75" hidden="false" customHeight="false" outlineLevel="0" collapsed="false">
      <c r="A128" s="138" t="s">
        <v>216</v>
      </c>
      <c r="B128" s="115" t="n">
        <v>0</v>
      </c>
      <c r="C128" s="115" t="n">
        <f aca="false">ROUND(+B128/(1-0.0831)-B128,0)</f>
        <v>0</v>
      </c>
      <c r="D128" s="126" t="n">
        <v>-0.0632</v>
      </c>
      <c r="E128" s="118"/>
      <c r="F128" s="118" t="n">
        <f aca="false">+D128*B128</f>
        <v>-0</v>
      </c>
      <c r="G128" s="126"/>
      <c r="H128" s="126" t="n">
        <v>749874</v>
      </c>
      <c r="I128" s="127"/>
    </row>
    <row r="129" customFormat="false" ht="12.75" hidden="false" customHeight="false" outlineLevel="0" collapsed="false">
      <c r="A129" s="138" t="s">
        <v>217</v>
      </c>
      <c r="B129" s="115" t="n">
        <v>0</v>
      </c>
      <c r="C129" s="115" t="n">
        <f aca="false">ROUND(+B129/(1-0.077)-B129,0)</f>
        <v>0</v>
      </c>
      <c r="D129" s="126" t="n">
        <v>-0.0595</v>
      </c>
      <c r="E129" s="118"/>
      <c r="F129" s="118" t="n">
        <f aca="false">+D129*B129</f>
        <v>-0</v>
      </c>
      <c r="G129" s="126"/>
      <c r="H129" s="126" t="n">
        <v>749875</v>
      </c>
      <c r="I129" s="127"/>
    </row>
    <row r="130" customFormat="false" ht="12.75" hidden="false" customHeight="false" outlineLevel="0" collapsed="false">
      <c r="A130" s="138" t="s">
        <v>218</v>
      </c>
      <c r="B130" s="115" t="n">
        <v>0</v>
      </c>
      <c r="C130" s="115" t="n">
        <f aca="false">ROUND(+B130/(1-0.0743)-B130,0)</f>
        <v>0</v>
      </c>
      <c r="D130" s="126" t="n">
        <v>-0.0578</v>
      </c>
      <c r="E130" s="118"/>
      <c r="F130" s="118" t="n">
        <f aca="false">+D130*B130</f>
        <v>-0</v>
      </c>
      <c r="G130" s="126"/>
      <c r="H130" s="126" t="n">
        <v>749877</v>
      </c>
      <c r="I130" s="127"/>
    </row>
    <row r="131" customFormat="false" ht="12.75" hidden="false" customHeight="false" outlineLevel="0" collapsed="false">
      <c r="A131" s="138" t="s">
        <v>219</v>
      </c>
      <c r="B131" s="115" t="n">
        <v>0</v>
      </c>
      <c r="C131" s="115" t="n">
        <f aca="false">ROUND(+B131/(1-0.0743)-B131,0)</f>
        <v>0</v>
      </c>
      <c r="D131" s="126" t="n">
        <v>-0.0578</v>
      </c>
      <c r="E131" s="118"/>
      <c r="F131" s="118" t="n">
        <f aca="false">+D131*B131</f>
        <v>-0</v>
      </c>
      <c r="G131" s="126"/>
      <c r="H131" s="126" t="n">
        <v>749878</v>
      </c>
      <c r="I131" s="127"/>
    </row>
    <row r="132" customFormat="false" ht="12.75" hidden="false" customHeight="false" outlineLevel="0" collapsed="false">
      <c r="A132" s="138" t="s">
        <v>220</v>
      </c>
      <c r="B132" s="115" t="n">
        <v>0</v>
      </c>
      <c r="C132" s="115" t="n">
        <f aca="false">ROUND(+B132/(1-0.0452)-B132,0)</f>
        <v>0</v>
      </c>
      <c r="D132" s="126" t="n">
        <v>-0.0492</v>
      </c>
      <c r="E132" s="118"/>
      <c r="F132" s="118" t="n">
        <f aca="false">+D132*B132</f>
        <v>-0</v>
      </c>
      <c r="G132" s="126"/>
      <c r="H132" s="126" t="n">
        <v>749879</v>
      </c>
      <c r="I132" s="127"/>
    </row>
    <row r="133" customFormat="false" ht="12.75" hidden="false" customHeight="false" outlineLevel="0" collapsed="false">
      <c r="A133" s="125" t="s">
        <v>205</v>
      </c>
      <c r="B133" s="115" t="n">
        <v>0</v>
      </c>
      <c r="C133" s="115" t="n">
        <f aca="false">ROUND(+B133/(1-0.0884)-B133,0)</f>
        <v>0</v>
      </c>
      <c r="D133" s="126"/>
      <c r="E133" s="118"/>
      <c r="F133" s="118" t="n">
        <f aca="false">+D133*B133</f>
        <v>0</v>
      </c>
      <c r="G133" s="126"/>
      <c r="H133" s="126"/>
      <c r="I133" s="127"/>
    </row>
    <row r="134" customFormat="false" ht="12.75" hidden="false" customHeight="false" outlineLevel="0" collapsed="false">
      <c r="A134" s="125" t="s">
        <v>206</v>
      </c>
      <c r="B134" s="115" t="n">
        <v>0</v>
      </c>
      <c r="C134" s="115" t="n">
        <f aca="false">ROUND(+B134/(1-0.0823)-B134,0)</f>
        <v>0</v>
      </c>
      <c r="D134" s="126"/>
      <c r="E134" s="118"/>
      <c r="F134" s="118" t="n">
        <f aca="false">+D134*B134</f>
        <v>0</v>
      </c>
      <c r="G134" s="126"/>
      <c r="H134" s="126" t="n">
        <v>640178</v>
      </c>
      <c r="I134" s="127"/>
    </row>
    <row r="135" customFormat="false" ht="12.75" hidden="false" customHeight="false" outlineLevel="0" collapsed="false">
      <c r="A135" s="125" t="s">
        <v>207</v>
      </c>
      <c r="B135" s="115"/>
      <c r="C135" s="115" t="n">
        <f aca="false">ROUND(+B135/(1-0.0796)-B135,0)</f>
        <v>0</v>
      </c>
      <c r="D135" s="126"/>
      <c r="E135" s="118"/>
      <c r="F135" s="118" t="n">
        <f aca="false">+D135*B135</f>
        <v>0</v>
      </c>
      <c r="G135" s="126"/>
      <c r="H135" s="126"/>
      <c r="I135" s="127"/>
    </row>
    <row r="136" customFormat="false" ht="12.75" hidden="false" customHeight="false" outlineLevel="0" collapsed="false">
      <c r="A136" s="125" t="s">
        <v>208</v>
      </c>
      <c r="B136" s="115"/>
      <c r="C136" s="115" t="n">
        <f aca="false">ROUND(+B136/(1-0.0796)-B136,0)</f>
        <v>0</v>
      </c>
      <c r="D136" s="126"/>
      <c r="E136" s="118"/>
      <c r="F136" s="118" t="n">
        <f aca="false">+D136*B136</f>
        <v>0</v>
      </c>
      <c r="G136" s="126"/>
      <c r="H136" s="126"/>
      <c r="I136" s="127"/>
    </row>
    <row r="137" customFormat="false" ht="12.75" hidden="false" customHeight="false" outlineLevel="0" collapsed="false">
      <c r="A137" s="125"/>
      <c r="B137" s="115" t="n">
        <f aca="false">SUM(B123:B136)</f>
        <v>5000</v>
      </c>
      <c r="C137" s="115" t="n">
        <f aca="false">SUM(C123:C136)</f>
        <v>432</v>
      </c>
      <c r="D137" s="126"/>
      <c r="E137" s="118"/>
      <c r="F137" s="118"/>
      <c r="G137" s="126"/>
      <c r="H137" s="126"/>
      <c r="I137" s="127"/>
    </row>
    <row r="138" customFormat="false" ht="13.5" hidden="false" customHeight="false" outlineLevel="0" collapsed="false">
      <c r="A138" s="130" t="s">
        <v>221</v>
      </c>
      <c r="B138" s="136" t="n">
        <f aca="false">+B137+C137</f>
        <v>5432</v>
      </c>
      <c r="C138" s="132"/>
      <c r="D138" s="133"/>
      <c r="E138" s="134"/>
      <c r="F138" s="134"/>
      <c r="G138" s="133"/>
      <c r="H138" s="133"/>
      <c r="I138" s="135"/>
    </row>
    <row r="139" customFormat="false" ht="12.75" hidden="false" customHeight="false" outlineLevel="0" collapsed="false">
      <c r="A139" s="117"/>
      <c r="B139" s="115"/>
      <c r="C139" s="116"/>
      <c r="D139" s="117"/>
      <c r="E139" s="118"/>
      <c r="F139" s="118"/>
      <c r="G139" s="117"/>
      <c r="H139" s="117"/>
      <c r="I139" s="117"/>
    </row>
    <row r="140" customFormat="false" ht="12.75" hidden="false" customHeight="false" outlineLevel="0" collapsed="false">
      <c r="A140" s="117" t="s">
        <v>222</v>
      </c>
      <c r="B140" s="115" t="n">
        <f aca="false">+B137-B121</f>
        <v>0</v>
      </c>
      <c r="C140" s="116"/>
      <c r="D140" s="117"/>
      <c r="E140" s="118"/>
      <c r="F140" s="118"/>
      <c r="G140" s="117"/>
      <c r="H140" s="117"/>
      <c r="I140" s="117"/>
    </row>
    <row r="141" customFormat="false" ht="12.75" hidden="false" customHeight="false" outlineLevel="0" collapsed="false">
      <c r="A141" s="117"/>
      <c r="B141" s="115"/>
      <c r="C141" s="116"/>
      <c r="D141" s="117"/>
      <c r="E141" s="118"/>
      <c r="F141" s="118"/>
      <c r="G141" s="117"/>
      <c r="H141" s="117"/>
      <c r="I141" s="117"/>
    </row>
    <row r="142" customFormat="false" ht="12.75" hidden="false" customHeight="false" outlineLevel="0" collapsed="false">
      <c r="A142" s="117"/>
      <c r="B142" s="129"/>
      <c r="C142" s="116"/>
      <c r="D142" s="117"/>
      <c r="E142" s="118"/>
      <c r="F142" s="118"/>
      <c r="G142" s="117"/>
      <c r="H142" s="117"/>
      <c r="I142" s="117"/>
    </row>
    <row r="143" customFormat="false" ht="12.75" hidden="false" customHeight="false" outlineLevel="0" collapsed="false">
      <c r="A143" s="139" t="s">
        <v>223</v>
      </c>
      <c r="B143" s="115" t="n">
        <f aca="false">SUM(B138,B112,B94,B59:B84)</f>
        <v>23572</v>
      </c>
      <c r="C143" s="116"/>
      <c r="D143" s="117"/>
      <c r="E143" s="118" t="n">
        <f aca="false">SUM(E59:E142)</f>
        <v>93382.41</v>
      </c>
      <c r="F143" s="118" t="n">
        <f aca="false">SUM(F59:F142)</f>
        <v>-734.75</v>
      </c>
      <c r="G143" s="117"/>
      <c r="H143" s="117"/>
      <c r="I143" s="117"/>
    </row>
    <row r="144" customFormat="false" ht="12.75" hidden="false" customHeight="false" outlineLevel="0" collapsed="false">
      <c r="E144" s="113"/>
      <c r="F144" s="113"/>
    </row>
    <row r="145" customFormat="false" ht="12.75" hidden="false" customHeight="false" outlineLevel="0" collapsed="false">
      <c r="A145" s="0" t="s">
        <v>224</v>
      </c>
      <c r="B145" s="50" t="n">
        <f aca="false">+B54-B143</f>
        <v>-23573</v>
      </c>
      <c r="E145" s="113" t="n">
        <f aca="false">+E143-E54</f>
        <v>93900.286</v>
      </c>
      <c r="F145" s="113" t="n">
        <f aca="false">+F143-F54</f>
        <v>-860.584</v>
      </c>
      <c r="G145" s="140" t="n">
        <f aca="false">+F145+E145</f>
        <v>93039.702</v>
      </c>
    </row>
    <row r="147" customFormat="false" ht="12.75" hidden="false" customHeight="false" outlineLevel="0" collapsed="false">
      <c r="F147" s="21" t="s">
        <v>225</v>
      </c>
      <c r="G147" s="141" t="n">
        <f aca="false">+C157</f>
        <v>2855.33333333333</v>
      </c>
    </row>
    <row r="148" customFormat="false" ht="13.5" hidden="false" customHeight="false" outlineLevel="0" collapsed="false">
      <c r="F148" s="0" t="s">
        <v>226</v>
      </c>
      <c r="G148" s="142" t="n">
        <f aca="false">+G145-G147</f>
        <v>90184.3686666667</v>
      </c>
    </row>
    <row r="149" customFormat="false" ht="13.5" hidden="false" customHeight="false" outlineLevel="0" collapsed="false"/>
    <row r="152" customFormat="false" ht="12.75" hidden="false" customHeight="false" outlineLevel="0" collapsed="false">
      <c r="A152" s="0" t="s">
        <v>227</v>
      </c>
      <c r="B152" s="50" t="s">
        <v>23</v>
      </c>
      <c r="C152" s="2" t="n">
        <v>28199</v>
      </c>
    </row>
    <row r="153" customFormat="false" ht="12.75" hidden="false" customHeight="false" outlineLevel="0" collapsed="false">
      <c r="B153" s="50" t="s">
        <v>191</v>
      </c>
      <c r="C153" s="2" t="n">
        <v>2550</v>
      </c>
    </row>
    <row r="154" customFormat="false" ht="12.75" hidden="false" customHeight="false" outlineLevel="0" collapsed="false">
      <c r="B154" s="50" t="s">
        <v>228</v>
      </c>
      <c r="C154" s="2" t="n">
        <v>54171</v>
      </c>
    </row>
    <row r="155" customFormat="false" ht="12.75" hidden="false" customHeight="false" outlineLevel="0" collapsed="false">
      <c r="B155" s="50" t="s">
        <v>74</v>
      </c>
      <c r="C155" s="2" t="n">
        <v>740</v>
      </c>
    </row>
    <row r="156" customFormat="false" ht="12.75" hidden="false" customHeight="false" outlineLevel="0" collapsed="false">
      <c r="C156" s="2" t="n">
        <f aca="false">SUM(C152:C155)</f>
        <v>85660</v>
      </c>
    </row>
    <row r="157" customFormat="false" ht="12.75" hidden="false" customHeight="false" outlineLevel="0" collapsed="false">
      <c r="A157" s="0" t="s">
        <v>225</v>
      </c>
      <c r="C157" s="2" t="n">
        <f aca="false">+C156/30</f>
        <v>2855.33333333333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7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50" width="10.28"/>
    <col collapsed="false" customWidth="true" hidden="false" outlineLevel="0" max="3" min="3" style="2" width="13.28"/>
    <col collapsed="false" customWidth="true" hidden="false" outlineLevel="0" max="5" min="5" style="0" width="14.14"/>
    <col collapsed="false" customWidth="true" hidden="false" outlineLevel="0" max="6" min="6" style="0" width="13.85"/>
    <col collapsed="false" customWidth="true" hidden="false" outlineLevel="0" max="7" min="7" style="0" width="14.14"/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21" t="s">
        <v>229</v>
      </c>
    </row>
    <row r="3" customFormat="false" ht="12.75" hidden="false" customHeight="false" outlineLevel="0" collapsed="false">
      <c r="A3" s="0" t="n">
        <v>0.05</v>
      </c>
      <c r="C3" s="2" t="s">
        <v>152</v>
      </c>
      <c r="D3" s="0" t="n">
        <v>0.014</v>
      </c>
      <c r="E3" s="0" t="s">
        <v>153</v>
      </c>
      <c r="F3" s="0" t="n">
        <v>0.0096</v>
      </c>
    </row>
    <row r="4" customFormat="false" ht="12.75" hidden="false" customHeight="false" outlineLevel="0" collapsed="false">
      <c r="A4" s="0" t="n">
        <v>0.0022</v>
      </c>
      <c r="C4" s="2" t="s">
        <v>154</v>
      </c>
      <c r="D4" s="0" t="n">
        <v>0.0103</v>
      </c>
    </row>
    <row r="5" customFormat="false" ht="12.75" hidden="false" customHeight="false" outlineLevel="0" collapsed="false">
      <c r="C5" s="2" t="s">
        <v>155</v>
      </c>
      <c r="D5" s="0" t="n">
        <v>0.0622</v>
      </c>
    </row>
    <row r="6" customFormat="false" ht="12.75" hidden="false" customHeight="false" outlineLevel="0" collapsed="false">
      <c r="E6" s="0" t="s">
        <v>96</v>
      </c>
    </row>
    <row r="7" customFormat="false" ht="12.75" hidden="false" customHeight="false" outlineLevel="0" collapsed="false">
      <c r="A7" s="89" t="s">
        <v>156</v>
      </c>
      <c r="B7" s="90"/>
      <c r="C7" s="91" t="s">
        <v>96</v>
      </c>
      <c r="D7" s="89" t="s">
        <v>157</v>
      </c>
      <c r="E7" s="89" t="s">
        <v>158</v>
      </c>
      <c r="F7" s="89" t="s">
        <v>159</v>
      </c>
      <c r="G7" s="89"/>
      <c r="H7" s="89"/>
      <c r="I7" s="89"/>
    </row>
    <row r="8" customFormat="false" ht="12.75" hidden="false" customHeight="false" outlineLevel="0" collapsed="false">
      <c r="A8" s="89" t="s">
        <v>102</v>
      </c>
      <c r="B8" s="90" t="n">
        <v>10000</v>
      </c>
      <c r="C8" s="91" t="n">
        <v>3.835</v>
      </c>
      <c r="D8" s="89" t="n">
        <v>0</v>
      </c>
      <c r="E8" s="92" t="n">
        <f aca="false">+B8*C8</f>
        <v>38350</v>
      </c>
      <c r="F8" s="92" t="n">
        <f aca="false">+B8*D8</f>
        <v>0</v>
      </c>
      <c r="G8" s="89"/>
      <c r="H8" s="89"/>
      <c r="I8" s="89"/>
    </row>
    <row r="9" customFormat="false" ht="12.75" hidden="false" customHeight="false" outlineLevel="0" collapsed="false">
      <c r="A9" s="89" t="s">
        <v>102</v>
      </c>
      <c r="B9" s="90" t="n">
        <v>10000</v>
      </c>
      <c r="C9" s="91" t="n">
        <v>3.815</v>
      </c>
      <c r="D9" s="89" t="n">
        <v>0</v>
      </c>
      <c r="E9" s="92" t="n">
        <f aca="false">+B9*C9</f>
        <v>38150</v>
      </c>
      <c r="F9" s="92" t="n">
        <f aca="false">+B9*D9</f>
        <v>0</v>
      </c>
      <c r="G9" s="89"/>
      <c r="H9" s="89"/>
      <c r="I9" s="89"/>
    </row>
    <row r="10" customFormat="false" ht="12.75" hidden="false" customHeight="false" outlineLevel="0" collapsed="false">
      <c r="A10" s="89" t="s">
        <v>160</v>
      </c>
      <c r="B10" s="90" t="n">
        <v>7000</v>
      </c>
      <c r="C10" s="91" t="n">
        <v>3.85</v>
      </c>
      <c r="D10" s="89" t="n">
        <v>0</v>
      </c>
      <c r="E10" s="92" t="n">
        <f aca="false">+B10*C10</f>
        <v>26950</v>
      </c>
      <c r="F10" s="92" t="n">
        <f aca="false">+B10*D10</f>
        <v>0</v>
      </c>
      <c r="G10" s="89"/>
      <c r="H10" s="89"/>
      <c r="I10" s="89"/>
    </row>
    <row r="11" customFormat="false" ht="12.75" hidden="false" customHeight="false" outlineLevel="0" collapsed="false">
      <c r="A11" s="89" t="s">
        <v>161</v>
      </c>
      <c r="B11" s="90" t="n">
        <v>3000</v>
      </c>
      <c r="C11" s="91" t="n">
        <v>3.83</v>
      </c>
      <c r="D11" s="89" t="n">
        <v>0</v>
      </c>
      <c r="E11" s="92" t="n">
        <f aca="false">+B11*C11</f>
        <v>11490</v>
      </c>
      <c r="F11" s="92" t="n">
        <f aca="false">+B11*D11</f>
        <v>0</v>
      </c>
      <c r="G11" s="89"/>
      <c r="H11" s="89"/>
      <c r="I11" s="89"/>
    </row>
    <row r="12" customFormat="false" ht="12.75" hidden="false" customHeight="false" outlineLevel="0" collapsed="false">
      <c r="A12" s="89" t="s">
        <v>162</v>
      </c>
      <c r="B12" s="90" t="n">
        <v>0</v>
      </c>
      <c r="C12" s="91" t="n">
        <v>0</v>
      </c>
      <c r="D12" s="89" t="n">
        <v>0</v>
      </c>
      <c r="E12" s="92" t="n">
        <f aca="false">+B12*C12</f>
        <v>0</v>
      </c>
      <c r="F12" s="92" t="n">
        <f aca="false">+B12*D12</f>
        <v>0</v>
      </c>
      <c r="G12" s="89"/>
      <c r="H12" s="89"/>
      <c r="I12" s="89"/>
    </row>
    <row r="13" customFormat="false" ht="12.75" hidden="false" customHeight="false" outlineLevel="0" collapsed="false">
      <c r="A13" s="89" t="s">
        <v>162</v>
      </c>
      <c r="B13" s="90" t="n">
        <v>0</v>
      </c>
      <c r="C13" s="91" t="n">
        <v>0</v>
      </c>
      <c r="D13" s="89" t="n">
        <v>0</v>
      </c>
      <c r="E13" s="92" t="n">
        <f aca="false">+B13*C13</f>
        <v>0</v>
      </c>
      <c r="F13" s="92" t="n">
        <f aca="false">+B13*D13</f>
        <v>0</v>
      </c>
      <c r="G13" s="89"/>
      <c r="H13" s="89"/>
      <c r="I13" s="89"/>
    </row>
    <row r="14" customFormat="false" ht="12.75" hidden="false" customHeight="false" outlineLevel="0" collapsed="false">
      <c r="A14" s="89" t="s">
        <v>162</v>
      </c>
      <c r="B14" s="90" t="n">
        <v>0</v>
      </c>
      <c r="C14" s="91" t="n">
        <v>0</v>
      </c>
      <c r="D14" s="89" t="n">
        <v>0</v>
      </c>
      <c r="E14" s="92" t="n">
        <f aca="false">+B14*C14</f>
        <v>0</v>
      </c>
      <c r="F14" s="92" t="n">
        <f aca="false">+B14*D14</f>
        <v>0</v>
      </c>
      <c r="G14" s="89"/>
      <c r="H14" s="89"/>
      <c r="I14" s="89"/>
    </row>
    <row r="15" customFormat="false" ht="12.75" hidden="false" customHeight="false" outlineLevel="0" collapsed="false">
      <c r="A15" s="89" t="s">
        <v>162</v>
      </c>
      <c r="B15" s="90" t="n">
        <v>0</v>
      </c>
      <c r="C15" s="91" t="n">
        <v>0</v>
      </c>
      <c r="D15" s="89" t="n">
        <v>0</v>
      </c>
      <c r="E15" s="92" t="n">
        <f aca="false">+B15*C15</f>
        <v>0</v>
      </c>
      <c r="F15" s="92" t="n">
        <f aca="false">+B15*D15</f>
        <v>0</v>
      </c>
      <c r="G15" s="89"/>
      <c r="H15" s="89"/>
      <c r="I15" s="89"/>
    </row>
    <row r="16" customFormat="false" ht="12.75" hidden="false" customHeight="false" outlineLevel="0" collapsed="false">
      <c r="A16" s="89" t="s">
        <v>161</v>
      </c>
      <c r="B16" s="90" t="n">
        <v>0</v>
      </c>
      <c r="C16" s="91" t="n">
        <v>0</v>
      </c>
      <c r="D16" s="89" t="n">
        <v>0</v>
      </c>
      <c r="E16" s="92" t="n">
        <f aca="false">+B16*C16</f>
        <v>0</v>
      </c>
      <c r="F16" s="92" t="n">
        <f aca="false">+B16*D16</f>
        <v>0</v>
      </c>
      <c r="G16" s="89"/>
      <c r="H16" s="89"/>
      <c r="I16" s="89"/>
    </row>
    <row r="17" customFormat="false" ht="12.75" hidden="false" customHeight="false" outlineLevel="0" collapsed="false">
      <c r="A17" s="89" t="s">
        <v>160</v>
      </c>
      <c r="B17" s="90" t="n">
        <v>0</v>
      </c>
      <c r="C17" s="91" t="n">
        <v>0</v>
      </c>
      <c r="D17" s="89" t="n">
        <v>0</v>
      </c>
      <c r="E17" s="92" t="n">
        <f aca="false">+B17*C17</f>
        <v>0</v>
      </c>
      <c r="F17" s="92" t="n">
        <f aca="false">+B17*D17</f>
        <v>0</v>
      </c>
      <c r="G17" s="89"/>
      <c r="H17" s="89"/>
      <c r="I17" s="89"/>
    </row>
    <row r="18" customFormat="false" ht="12.75" hidden="false" customHeight="false" outlineLevel="0" collapsed="false">
      <c r="A18" s="89" t="s">
        <v>160</v>
      </c>
      <c r="B18" s="90" t="n">
        <v>0</v>
      </c>
      <c r="C18" s="91" t="n">
        <v>0</v>
      </c>
      <c r="D18" s="89" t="n">
        <v>0</v>
      </c>
      <c r="E18" s="92" t="n">
        <f aca="false">+B18*C18</f>
        <v>0</v>
      </c>
      <c r="F18" s="92" t="n">
        <f aca="false">+B18*D18</f>
        <v>0</v>
      </c>
      <c r="G18" s="89"/>
      <c r="H18" s="89"/>
      <c r="I18" s="89"/>
    </row>
    <row r="19" customFormat="false" ht="12.75" hidden="false" customHeight="false" outlineLevel="0" collapsed="false">
      <c r="A19" s="89"/>
      <c r="B19" s="90"/>
      <c r="C19" s="91"/>
      <c r="D19" s="89"/>
      <c r="E19" s="92"/>
      <c r="F19" s="92"/>
      <c r="G19" s="89"/>
      <c r="H19" s="89"/>
      <c r="I19" s="89"/>
    </row>
    <row r="20" customFormat="false" ht="12.75" hidden="false" customHeight="false" outlineLevel="0" collapsed="false">
      <c r="A20" s="89" t="s">
        <v>163</v>
      </c>
      <c r="B20" s="90" t="n">
        <v>434</v>
      </c>
      <c r="C20" s="91" t="n">
        <v>3.785</v>
      </c>
      <c r="D20" s="89" t="n">
        <v>0</v>
      </c>
      <c r="E20" s="92" t="n">
        <f aca="false">+B20*C20</f>
        <v>1642.69</v>
      </c>
      <c r="F20" s="92" t="n">
        <f aca="false">+B20*D20</f>
        <v>0</v>
      </c>
      <c r="G20" s="89"/>
      <c r="H20" s="89"/>
      <c r="I20" s="89"/>
    </row>
    <row r="21" customFormat="false" ht="12.75" hidden="false" customHeight="false" outlineLevel="0" collapsed="false">
      <c r="A21" s="89" t="s">
        <v>164</v>
      </c>
      <c r="B21" s="90" t="n">
        <v>0</v>
      </c>
      <c r="C21" s="91" t="n">
        <v>0</v>
      </c>
      <c r="D21" s="89" t="n">
        <v>0</v>
      </c>
      <c r="E21" s="92" t="n">
        <f aca="false">+B21*C21</f>
        <v>0</v>
      </c>
      <c r="F21" s="92" t="n">
        <f aca="false">+B21*D21</f>
        <v>0</v>
      </c>
      <c r="G21" s="89"/>
      <c r="H21" s="89"/>
      <c r="I21" s="89"/>
    </row>
    <row r="22" customFormat="false" ht="12.75" hidden="false" customHeight="false" outlineLevel="0" collapsed="false">
      <c r="A22" s="89"/>
      <c r="B22" s="90"/>
      <c r="C22" s="91"/>
      <c r="D22" s="89"/>
      <c r="E22" s="92"/>
      <c r="F22" s="92"/>
      <c r="G22" s="89"/>
      <c r="H22" s="89"/>
      <c r="I22" s="89"/>
    </row>
    <row r="23" customFormat="false" ht="12.75" hidden="false" customHeight="false" outlineLevel="0" collapsed="false">
      <c r="A23" s="89" t="s">
        <v>165</v>
      </c>
      <c r="B23" s="90" t="n">
        <v>0</v>
      </c>
      <c r="C23" s="91" t="n">
        <v>0</v>
      </c>
      <c r="D23" s="89" t="n">
        <v>0</v>
      </c>
      <c r="E23" s="92" t="n">
        <f aca="false">+B23*C23</f>
        <v>0</v>
      </c>
      <c r="F23" s="92" t="n">
        <f aca="false">+B23*D23</f>
        <v>0</v>
      </c>
      <c r="G23" s="89"/>
      <c r="H23" s="89"/>
      <c r="I23" s="89"/>
    </row>
    <row r="24" customFormat="false" ht="12.75" hidden="false" customHeight="false" outlineLevel="0" collapsed="false">
      <c r="A24" s="89" t="s">
        <v>166</v>
      </c>
      <c r="B24" s="90" t="n">
        <v>0</v>
      </c>
      <c r="C24" s="91" t="n">
        <v>0</v>
      </c>
      <c r="D24" s="89" t="n">
        <v>0</v>
      </c>
      <c r="E24" s="92" t="n">
        <f aca="false">+B24*C24</f>
        <v>0</v>
      </c>
      <c r="F24" s="92" t="n">
        <f aca="false">+B24*D24</f>
        <v>0</v>
      </c>
      <c r="G24" s="89"/>
      <c r="H24" s="89"/>
      <c r="I24" s="89"/>
    </row>
    <row r="25" customFormat="false" ht="12.75" hidden="false" customHeight="false" outlineLevel="0" collapsed="false">
      <c r="A25" s="89" t="s">
        <v>104</v>
      </c>
      <c r="B25" s="90" t="n">
        <v>0</v>
      </c>
      <c r="C25" s="91" t="n">
        <v>0</v>
      </c>
      <c r="D25" s="89" t="n">
        <v>0</v>
      </c>
      <c r="E25" s="92" t="n">
        <f aca="false">+B25*C25</f>
        <v>0</v>
      </c>
      <c r="F25" s="92" t="n">
        <f aca="false">+B25*D25</f>
        <v>0</v>
      </c>
      <c r="G25" s="89"/>
      <c r="H25" s="89"/>
      <c r="I25" s="89"/>
    </row>
    <row r="26" customFormat="false" ht="12.75" hidden="false" customHeight="false" outlineLevel="0" collapsed="false">
      <c r="A26" s="89" t="s">
        <v>104</v>
      </c>
      <c r="B26" s="90" t="n">
        <v>0</v>
      </c>
      <c r="C26" s="91" t="n">
        <v>0</v>
      </c>
      <c r="D26" s="89" t="n">
        <v>0</v>
      </c>
      <c r="E26" s="92" t="n">
        <f aca="false">+B26*C26</f>
        <v>0</v>
      </c>
      <c r="F26" s="92" t="n">
        <f aca="false">+B26*D26</f>
        <v>0</v>
      </c>
      <c r="G26" s="89"/>
      <c r="H26" s="89"/>
      <c r="I26" s="89"/>
    </row>
    <row r="27" customFormat="false" ht="12.75" hidden="false" customHeight="false" outlineLevel="0" collapsed="false">
      <c r="A27" s="89" t="s">
        <v>167</v>
      </c>
      <c r="B27" s="90" t="n">
        <v>0</v>
      </c>
      <c r="C27" s="91" t="n">
        <v>0</v>
      </c>
      <c r="D27" s="89" t="n">
        <v>0</v>
      </c>
      <c r="E27" s="92" t="n">
        <f aca="false">+B27*C27</f>
        <v>0</v>
      </c>
      <c r="F27" s="92" t="n">
        <f aca="false">+B27*D27</f>
        <v>0</v>
      </c>
      <c r="G27" s="89"/>
      <c r="H27" s="89"/>
      <c r="I27" s="89"/>
    </row>
    <row r="28" customFormat="false" ht="12.75" hidden="false" customHeight="false" outlineLevel="0" collapsed="false">
      <c r="A28" s="89"/>
      <c r="B28" s="90"/>
      <c r="C28" s="91"/>
      <c r="D28" s="89"/>
      <c r="E28" s="92"/>
      <c r="F28" s="92"/>
      <c r="G28" s="89"/>
      <c r="H28" s="89"/>
      <c r="I28" s="89"/>
    </row>
    <row r="29" customFormat="false" ht="12.75" hidden="false" customHeight="false" outlineLevel="0" collapsed="false">
      <c r="A29" s="89" t="s">
        <v>168</v>
      </c>
      <c r="B29" s="90" t="n">
        <v>5000</v>
      </c>
      <c r="C29" s="91" t="n">
        <v>3.79</v>
      </c>
      <c r="D29" s="89" t="n">
        <v>0</v>
      </c>
      <c r="E29" s="92" t="n">
        <f aca="false">+B29*C29</f>
        <v>18950</v>
      </c>
      <c r="F29" s="92" t="n">
        <f aca="false">+B29*D29</f>
        <v>0</v>
      </c>
      <c r="G29" s="89"/>
      <c r="H29" s="89"/>
      <c r="I29" s="89"/>
    </row>
    <row r="30" customFormat="false" ht="12.75" hidden="false" customHeight="false" outlineLevel="0" collapsed="false">
      <c r="A30" s="89" t="s">
        <v>169</v>
      </c>
      <c r="B30" s="90" t="n">
        <v>0</v>
      </c>
      <c r="C30" s="91" t="n">
        <v>0</v>
      </c>
      <c r="D30" s="89" t="n">
        <v>0</v>
      </c>
      <c r="E30" s="92" t="n">
        <f aca="false">+B30*C30</f>
        <v>0</v>
      </c>
      <c r="F30" s="92" t="n">
        <f aca="false">+B30*D30</f>
        <v>0</v>
      </c>
      <c r="G30" s="89"/>
      <c r="H30" s="89"/>
      <c r="I30" s="89"/>
    </row>
    <row r="31" customFormat="false" ht="12.75" hidden="false" customHeight="false" outlineLevel="0" collapsed="false">
      <c r="A31" s="89" t="s">
        <v>168</v>
      </c>
      <c r="B31" s="90" t="n">
        <v>0</v>
      </c>
      <c r="C31" s="91" t="n">
        <v>0</v>
      </c>
      <c r="D31" s="89" t="n">
        <v>0</v>
      </c>
      <c r="E31" s="92" t="n">
        <f aca="false">+B31*C31</f>
        <v>0</v>
      </c>
      <c r="F31" s="92" t="n">
        <f aca="false">+B31*D31</f>
        <v>0</v>
      </c>
      <c r="G31" s="89"/>
      <c r="H31" s="89"/>
      <c r="I31" s="89"/>
    </row>
    <row r="32" customFormat="false" ht="12.75" hidden="false" customHeight="false" outlineLevel="0" collapsed="false">
      <c r="A32" s="89" t="s">
        <v>169</v>
      </c>
      <c r="B32" s="90" t="n">
        <v>0</v>
      </c>
      <c r="C32" s="91" t="n">
        <v>0</v>
      </c>
      <c r="D32" s="89" t="n">
        <v>0</v>
      </c>
      <c r="E32" s="92" t="n">
        <f aca="false">+B32*C32</f>
        <v>0</v>
      </c>
      <c r="F32" s="92" t="n">
        <f aca="false">+B32*D32</f>
        <v>0</v>
      </c>
      <c r="G32" s="89"/>
      <c r="H32" s="89"/>
      <c r="I32" s="89"/>
    </row>
    <row r="33" customFormat="false" ht="12.75" hidden="false" customHeight="false" outlineLevel="0" collapsed="false">
      <c r="A33" s="89"/>
      <c r="B33" s="90"/>
      <c r="C33" s="91"/>
      <c r="D33" s="89"/>
      <c r="E33" s="92"/>
      <c r="F33" s="92"/>
      <c r="G33" s="89"/>
      <c r="H33" s="89"/>
      <c r="I33" s="89"/>
    </row>
    <row r="34" customFormat="false" ht="12.75" hidden="false" customHeight="false" outlineLevel="0" collapsed="false">
      <c r="A34" s="89" t="s">
        <v>170</v>
      </c>
      <c r="B34" s="90" t="n">
        <v>0</v>
      </c>
      <c r="C34" s="91" t="n">
        <v>0</v>
      </c>
      <c r="D34" s="89" t="n">
        <v>0</v>
      </c>
      <c r="E34" s="92" t="n">
        <f aca="false">+B34*C34</f>
        <v>0</v>
      </c>
      <c r="F34" s="92" t="n">
        <f aca="false">+B34*D34</f>
        <v>0</v>
      </c>
      <c r="G34" s="89"/>
      <c r="H34" s="89"/>
      <c r="I34" s="89"/>
    </row>
    <row r="35" customFormat="false" ht="12.75" hidden="false" customHeight="false" outlineLevel="0" collapsed="false">
      <c r="A35" s="89" t="s">
        <v>105</v>
      </c>
      <c r="B35" s="90" t="n">
        <v>0</v>
      </c>
      <c r="C35" s="91" t="n">
        <v>0</v>
      </c>
      <c r="D35" s="89" t="n">
        <v>0</v>
      </c>
      <c r="E35" s="92" t="n">
        <f aca="false">+B35*C35</f>
        <v>0</v>
      </c>
      <c r="F35" s="92" t="n">
        <f aca="false">+B35*D35</f>
        <v>0</v>
      </c>
      <c r="G35" s="89"/>
      <c r="H35" s="89"/>
      <c r="I35" s="89"/>
    </row>
    <row r="36" customFormat="false" ht="12.75" hidden="false" customHeight="false" outlineLevel="0" collapsed="false">
      <c r="A36" s="89"/>
      <c r="B36" s="90"/>
      <c r="C36" s="91"/>
      <c r="D36" s="89"/>
      <c r="E36" s="92"/>
      <c r="F36" s="92"/>
      <c r="G36" s="89"/>
      <c r="H36" s="89"/>
      <c r="I36" s="89"/>
    </row>
    <row r="37" customFormat="false" ht="12.75" hidden="false" customHeight="false" outlineLevel="0" collapsed="false">
      <c r="A37" s="89" t="s">
        <v>171</v>
      </c>
      <c r="B37" s="90" t="n">
        <v>0</v>
      </c>
      <c r="C37" s="91" t="n">
        <v>0</v>
      </c>
      <c r="D37" s="89" t="n">
        <v>0.0125</v>
      </c>
      <c r="E37" s="92" t="n">
        <f aca="false">+B37*C37</f>
        <v>0</v>
      </c>
      <c r="F37" s="92" t="n">
        <f aca="false">+B37*D37</f>
        <v>0</v>
      </c>
      <c r="G37" s="89"/>
      <c r="H37" s="89"/>
      <c r="I37" s="89"/>
    </row>
    <row r="38" customFormat="false" ht="12.75" hidden="false" customHeight="false" outlineLevel="0" collapsed="false">
      <c r="A38" s="89" t="s">
        <v>171</v>
      </c>
      <c r="B38" s="90" t="n">
        <v>0</v>
      </c>
      <c r="C38" s="91" t="n">
        <v>0</v>
      </c>
      <c r="D38" s="89" t="n">
        <v>0</v>
      </c>
      <c r="E38" s="92" t="n">
        <f aca="false">+B38*C38</f>
        <v>0</v>
      </c>
      <c r="F38" s="92" t="n">
        <f aca="false">+B38*D38</f>
        <v>0</v>
      </c>
      <c r="G38" s="89"/>
      <c r="H38" s="89"/>
      <c r="I38" s="89"/>
    </row>
    <row r="39" customFormat="false" ht="12.75" hidden="false" customHeight="false" outlineLevel="0" collapsed="false">
      <c r="A39" s="89"/>
      <c r="B39" s="90"/>
      <c r="C39" s="91"/>
      <c r="D39" s="89"/>
      <c r="E39" s="92"/>
      <c r="F39" s="92"/>
      <c r="G39" s="89"/>
      <c r="H39" s="89"/>
      <c r="I39" s="89"/>
    </row>
    <row r="40" customFormat="false" ht="12.75" hidden="false" customHeight="false" outlineLevel="0" collapsed="false">
      <c r="A40" s="93" t="s">
        <v>172</v>
      </c>
      <c r="B40" s="94" t="n">
        <v>8237</v>
      </c>
      <c r="C40" s="95" t="n">
        <f aca="false">3.738+0.23</f>
        <v>3.968</v>
      </c>
      <c r="D40" s="96" t="n">
        <v>0</v>
      </c>
      <c r="E40" s="97" t="n">
        <f aca="false">+B40*C40</f>
        <v>32684.416</v>
      </c>
      <c r="F40" s="97" t="n">
        <f aca="false">+B40*D40</f>
        <v>0</v>
      </c>
      <c r="G40" s="96"/>
      <c r="H40" s="98"/>
      <c r="I40" s="99"/>
    </row>
    <row r="41" customFormat="false" ht="12.75" hidden="false" customHeight="false" outlineLevel="0" collapsed="false">
      <c r="A41" s="100" t="s">
        <v>173</v>
      </c>
      <c r="B41" s="90" t="n">
        <v>-5144</v>
      </c>
      <c r="C41" s="91" t="n">
        <v>4.08</v>
      </c>
      <c r="D41" s="101" t="n">
        <v>0</v>
      </c>
      <c r="E41" s="92" t="n">
        <f aca="false">+B41*C41</f>
        <v>-20987.52</v>
      </c>
      <c r="F41" s="92" t="n">
        <f aca="false">+B41*D41</f>
        <v>-0</v>
      </c>
      <c r="G41" s="101"/>
      <c r="H41" s="102"/>
      <c r="I41" s="103"/>
    </row>
    <row r="42" customFormat="false" ht="12.75" hidden="false" customHeight="false" outlineLevel="0" collapsed="false">
      <c r="A42" s="100" t="s">
        <v>174</v>
      </c>
      <c r="B42" s="90" t="n">
        <v>-2524</v>
      </c>
      <c r="C42" s="91" t="n">
        <f aca="false">3.738+0.295</f>
        <v>4.033</v>
      </c>
      <c r="D42" s="101" t="n">
        <v>-0.0035</v>
      </c>
      <c r="E42" s="92" t="n">
        <f aca="false">+B42*C42</f>
        <v>-10179.292</v>
      </c>
      <c r="F42" s="92" t="n">
        <f aca="false">+B42*D42</f>
        <v>8.834</v>
      </c>
      <c r="G42" s="101"/>
      <c r="H42" s="102"/>
      <c r="I42" s="103"/>
    </row>
    <row r="43" customFormat="false" ht="12.75" hidden="false" customHeight="false" outlineLevel="0" collapsed="false">
      <c r="A43" s="100" t="s">
        <v>175</v>
      </c>
      <c r="B43" s="90" t="n">
        <f aca="false">ROUND(+B42/(1-0.02)-B42,0)</f>
        <v>-52</v>
      </c>
      <c r="C43" s="91" t="n">
        <v>0</v>
      </c>
      <c r="D43" s="101" t="n">
        <v>0</v>
      </c>
      <c r="E43" s="92" t="n">
        <f aca="false">+B43*C43</f>
        <v>-0</v>
      </c>
      <c r="F43" s="92" t="n">
        <f aca="false">+B43*D43</f>
        <v>-0</v>
      </c>
      <c r="G43" s="101"/>
      <c r="H43" s="102"/>
      <c r="I43" s="103"/>
    </row>
    <row r="44" customFormat="false" ht="12.75" hidden="false" customHeight="false" outlineLevel="0" collapsed="false">
      <c r="A44" s="100" t="s">
        <v>38</v>
      </c>
      <c r="B44" s="90" t="n">
        <v>0</v>
      </c>
      <c r="C44" s="91" t="n">
        <v>0</v>
      </c>
      <c r="D44" s="101" t="n">
        <v>0</v>
      </c>
      <c r="E44" s="92" t="n">
        <f aca="false">+B44*C44</f>
        <v>0</v>
      </c>
      <c r="F44" s="92" t="n">
        <f aca="false">+B44*D44</f>
        <v>0</v>
      </c>
      <c r="G44" s="101"/>
      <c r="H44" s="102"/>
      <c r="I44" s="103"/>
    </row>
    <row r="45" customFormat="false" ht="12.75" hidden="false" customHeight="false" outlineLevel="0" collapsed="false">
      <c r="A45" s="100" t="s">
        <v>176</v>
      </c>
      <c r="B45" s="90" t="n">
        <f aca="false">-6000+496</f>
        <v>-5504</v>
      </c>
      <c r="C45" s="91" t="n">
        <f aca="false">3.738+0.425</f>
        <v>4.163</v>
      </c>
      <c r="D45" s="101" t="n">
        <v>-0.0195</v>
      </c>
      <c r="E45" s="92" t="n">
        <f aca="false">+B45*C45</f>
        <v>-22913.152</v>
      </c>
      <c r="F45" s="92" t="n">
        <f aca="false">+B45*D45</f>
        <v>107.328</v>
      </c>
      <c r="G45" s="101"/>
      <c r="H45" s="102"/>
      <c r="I45" s="103"/>
    </row>
    <row r="46" customFormat="false" ht="12.75" hidden="false" customHeight="false" outlineLevel="0" collapsed="false">
      <c r="A46" s="100" t="s">
        <v>177</v>
      </c>
      <c r="B46" s="90" t="n">
        <v>5000</v>
      </c>
      <c r="C46" s="91" t="n">
        <v>4.14</v>
      </c>
      <c r="D46" s="101"/>
      <c r="E46" s="92" t="n">
        <f aca="false">+B46*C46</f>
        <v>20700</v>
      </c>
      <c r="F46" s="92" t="n">
        <f aca="false">+B46*D46</f>
        <v>0</v>
      </c>
      <c r="G46" s="101"/>
      <c r="H46" s="102"/>
      <c r="I46" s="103"/>
    </row>
    <row r="47" customFormat="false" ht="12.75" hidden="false" customHeight="false" outlineLevel="0" collapsed="false">
      <c r="A47" s="100" t="s">
        <v>178</v>
      </c>
      <c r="B47" s="90" t="n">
        <f aca="false">ROUND((+B45+B46)/(1-0.0081)-(+B45+B46),0)</f>
        <v>-4</v>
      </c>
      <c r="C47" s="91"/>
      <c r="D47" s="101" t="n">
        <v>0</v>
      </c>
      <c r="E47" s="92" t="n">
        <f aca="false">+B47*C47</f>
        <v>-0</v>
      </c>
      <c r="F47" s="92" t="n">
        <f aca="false">+B47*D47</f>
        <v>-0</v>
      </c>
      <c r="G47" s="101"/>
      <c r="H47" s="102"/>
      <c r="I47" s="103"/>
    </row>
    <row r="48" customFormat="false" ht="12.75" hidden="false" customHeight="false" outlineLevel="0" collapsed="false">
      <c r="A48" s="104" t="s">
        <v>179</v>
      </c>
      <c r="B48" s="105" t="n">
        <f aca="false">ROUND((+B45+B46+B47)/0.98-(B45+B46+B47),0)</f>
        <v>-10</v>
      </c>
      <c r="C48" s="106"/>
      <c r="D48" s="107" t="n">
        <v>0</v>
      </c>
      <c r="E48" s="108" t="n">
        <f aca="false">+B48*C48</f>
        <v>-0</v>
      </c>
      <c r="F48" s="108" t="n">
        <f aca="false">+B48*D48</f>
        <v>-0</v>
      </c>
      <c r="G48" s="107"/>
      <c r="H48" s="109"/>
      <c r="I48" s="110"/>
    </row>
    <row r="49" customFormat="false" ht="12.75" hidden="false" customHeight="false" outlineLevel="0" collapsed="false">
      <c r="A49" s="89"/>
      <c r="B49" s="90"/>
      <c r="C49" s="91"/>
      <c r="D49" s="89"/>
      <c r="E49" s="92"/>
      <c r="F49" s="92"/>
      <c r="G49" s="89"/>
      <c r="H49" s="111"/>
      <c r="I49" s="89"/>
    </row>
    <row r="50" customFormat="false" ht="12.75" hidden="false" customHeight="false" outlineLevel="0" collapsed="false">
      <c r="A50" s="89"/>
      <c r="B50" s="90"/>
      <c r="C50" s="91"/>
      <c r="D50" s="89"/>
      <c r="E50" s="92"/>
      <c r="F50" s="92"/>
      <c r="G50" s="89"/>
      <c r="H50" s="111"/>
      <c r="I50" s="89"/>
    </row>
    <row r="51" customFormat="false" ht="12.75" hidden="false" customHeight="false" outlineLevel="0" collapsed="false">
      <c r="A51" s="89" t="s">
        <v>176</v>
      </c>
      <c r="B51" s="90" t="n">
        <v>-496</v>
      </c>
      <c r="C51" s="91" t="n">
        <f aca="false">3.738+0.425</f>
        <v>4.163</v>
      </c>
      <c r="D51" s="89" t="n">
        <v>-0.0195</v>
      </c>
      <c r="E51" s="92" t="n">
        <f aca="false">+B51*C51</f>
        <v>-2064.848</v>
      </c>
      <c r="F51" s="92" t="n">
        <f aca="false">+B51*D51</f>
        <v>9.672</v>
      </c>
      <c r="G51" s="89"/>
      <c r="H51" s="111"/>
      <c r="I51" s="89"/>
    </row>
    <row r="52" customFormat="false" ht="12.75" hidden="false" customHeight="false" outlineLevel="0" collapsed="false">
      <c r="A52" s="89" t="s">
        <v>178</v>
      </c>
      <c r="B52" s="90" t="n">
        <f aca="false">ROUND(+B51/(1-0.0081)-B51,0)</f>
        <v>-4</v>
      </c>
      <c r="C52" s="91" t="n">
        <v>0</v>
      </c>
      <c r="D52" s="89" t="n">
        <v>0</v>
      </c>
      <c r="E52" s="92" t="n">
        <f aca="false">+B52*C52</f>
        <v>-0</v>
      </c>
      <c r="F52" s="92" t="n">
        <f aca="false">+B52*D52</f>
        <v>-0</v>
      </c>
      <c r="G52" s="89"/>
      <c r="H52" s="111"/>
      <c r="I52" s="89"/>
    </row>
    <row r="53" customFormat="false" ht="12.75" hidden="false" customHeight="false" outlineLevel="0" collapsed="false">
      <c r="A53" s="89" t="s">
        <v>180</v>
      </c>
      <c r="B53" s="90" t="n">
        <v>500</v>
      </c>
      <c r="C53" s="91" t="n">
        <f aca="false">3.95-0.04</f>
        <v>3.91</v>
      </c>
      <c r="D53" s="89" t="n">
        <v>0</v>
      </c>
      <c r="E53" s="92" t="n">
        <f aca="false">+B53*C53</f>
        <v>1955</v>
      </c>
      <c r="F53" s="92" t="n">
        <f aca="false">+B53*D53</f>
        <v>0</v>
      </c>
      <c r="G53" s="89"/>
      <c r="H53" s="111"/>
      <c r="I53" s="89"/>
    </row>
    <row r="54" customFormat="false" ht="12.75" hidden="false" customHeight="false" outlineLevel="0" collapsed="false">
      <c r="A54" s="112" t="s">
        <v>181</v>
      </c>
      <c r="B54" s="90" t="n">
        <f aca="false">SUM(B8:B53)</f>
        <v>35433</v>
      </c>
      <c r="C54" s="91"/>
      <c r="D54" s="89"/>
      <c r="E54" s="92" t="n">
        <f aca="false">SUM(E8:E53)</f>
        <v>134727.294</v>
      </c>
      <c r="F54" s="92" t="n">
        <f aca="false">SUM(F8:F53)</f>
        <v>125.834</v>
      </c>
      <c r="G54" s="89"/>
      <c r="H54" s="89"/>
      <c r="I54" s="89"/>
    </row>
    <row r="55" customFormat="false" ht="12.75" hidden="false" customHeight="false" outlineLevel="0" collapsed="false">
      <c r="E55" s="113"/>
      <c r="F55" s="113"/>
    </row>
    <row r="56" customFormat="false" ht="12.75" hidden="false" customHeight="false" outlineLevel="0" collapsed="false">
      <c r="E56" s="113"/>
      <c r="F56" s="113"/>
    </row>
    <row r="57" customFormat="false" ht="12.75" hidden="false" customHeight="false" outlineLevel="0" collapsed="false">
      <c r="E57" s="113"/>
      <c r="F57" s="113"/>
    </row>
    <row r="58" customFormat="false" ht="12.75" hidden="false" customHeight="false" outlineLevel="0" collapsed="false">
      <c r="E58" s="113"/>
      <c r="F58" s="113"/>
    </row>
    <row r="59" customFormat="false" ht="15.75" hidden="false" customHeight="false" outlineLevel="0" collapsed="false">
      <c r="A59" s="114" t="s">
        <v>182</v>
      </c>
      <c r="B59" s="115"/>
      <c r="C59" s="116"/>
      <c r="D59" s="117"/>
      <c r="E59" s="118"/>
      <c r="F59" s="118"/>
      <c r="G59" s="117"/>
      <c r="H59" s="117"/>
      <c r="I59" s="117"/>
    </row>
    <row r="60" customFormat="false" ht="12.75" hidden="false" customHeight="false" outlineLevel="0" collapsed="false">
      <c r="A60" s="117" t="s">
        <v>183</v>
      </c>
      <c r="B60" s="115"/>
      <c r="C60" s="116"/>
      <c r="D60" s="117"/>
      <c r="E60" s="118"/>
      <c r="F60" s="118"/>
      <c r="G60" s="117"/>
      <c r="H60" s="117"/>
      <c r="I60" s="117"/>
    </row>
    <row r="61" customFormat="false" ht="12.75" hidden="false" customHeight="false" outlineLevel="0" collapsed="false">
      <c r="A61" s="117" t="s">
        <v>184</v>
      </c>
      <c r="B61" s="115" t="n">
        <v>6081</v>
      </c>
      <c r="C61" s="116" t="n">
        <v>3.95</v>
      </c>
      <c r="D61" s="117" t="n">
        <v>-0.0125</v>
      </c>
      <c r="E61" s="118" t="n">
        <f aca="false">+B61*C61</f>
        <v>24019.95</v>
      </c>
      <c r="F61" s="118" t="n">
        <f aca="false">+B61*D61</f>
        <v>-76.0125</v>
      </c>
      <c r="G61" s="117"/>
      <c r="H61" s="117"/>
      <c r="I61" s="117"/>
    </row>
    <row r="62" customFormat="false" ht="12.75" hidden="false" customHeight="false" outlineLevel="0" collapsed="false">
      <c r="A62" s="117" t="s">
        <v>185</v>
      </c>
      <c r="B62" s="115" t="n">
        <v>12059</v>
      </c>
      <c r="C62" s="116" t="n">
        <v>3.94</v>
      </c>
      <c r="D62" s="117" t="n">
        <v>-0.0125</v>
      </c>
      <c r="E62" s="118" t="n">
        <f aca="false">+B62*C62</f>
        <v>47512.46</v>
      </c>
      <c r="F62" s="118" t="n">
        <f aca="false">+B62*D62</f>
        <v>-150.7375</v>
      </c>
      <c r="G62" s="117"/>
      <c r="H62" s="117"/>
      <c r="I62" s="117"/>
    </row>
    <row r="63" customFormat="false" ht="12.75" hidden="false" customHeight="false" outlineLevel="0" collapsed="false">
      <c r="A63" s="117" t="s">
        <v>185</v>
      </c>
      <c r="B63" s="115" t="n">
        <v>0</v>
      </c>
      <c r="C63" s="116" t="n">
        <v>0</v>
      </c>
      <c r="D63" s="117" t="n">
        <v>-0.0125</v>
      </c>
      <c r="E63" s="118" t="n">
        <f aca="false">+B63*C63</f>
        <v>0</v>
      </c>
      <c r="F63" s="118" t="n">
        <f aca="false">+B63*D63</f>
        <v>-0</v>
      </c>
      <c r="G63" s="117"/>
      <c r="H63" s="117"/>
      <c r="I63" s="117"/>
    </row>
    <row r="64" customFormat="false" ht="12.75" hidden="false" customHeight="false" outlineLevel="0" collapsed="false">
      <c r="A64" s="117"/>
      <c r="B64" s="115"/>
      <c r="C64" s="116"/>
      <c r="D64" s="117"/>
      <c r="E64" s="118"/>
      <c r="F64" s="118"/>
      <c r="G64" s="117"/>
      <c r="H64" s="117"/>
      <c r="I64" s="117"/>
    </row>
    <row r="65" customFormat="false" ht="12.75" hidden="false" customHeight="false" outlineLevel="0" collapsed="false">
      <c r="A65" s="117" t="s">
        <v>186</v>
      </c>
      <c r="B65" s="115"/>
      <c r="C65" s="116"/>
      <c r="D65" s="117"/>
      <c r="E65" s="118"/>
      <c r="F65" s="118"/>
      <c r="G65" s="117"/>
      <c r="H65" s="117"/>
      <c r="I65" s="117"/>
    </row>
    <row r="66" customFormat="false" ht="12.75" hidden="false" customHeight="false" outlineLevel="0" collapsed="false">
      <c r="A66" s="117" t="s">
        <v>187</v>
      </c>
      <c r="B66" s="115" t="n">
        <v>2500</v>
      </c>
      <c r="C66" s="116" t="n">
        <v>3.95</v>
      </c>
      <c r="D66" s="117" t="n">
        <v>-0.0125</v>
      </c>
      <c r="E66" s="118" t="n">
        <f aca="false">+B66*C66</f>
        <v>9875</v>
      </c>
      <c r="F66" s="118" t="n">
        <f aca="false">+B66*D66</f>
        <v>-31.25</v>
      </c>
      <c r="G66" s="117"/>
      <c r="H66" s="117"/>
      <c r="I66" s="117"/>
    </row>
    <row r="67" customFormat="false" ht="12.75" hidden="false" customHeight="false" outlineLevel="0" collapsed="false">
      <c r="A67" s="117" t="s">
        <v>97</v>
      </c>
      <c r="B67" s="115" t="n">
        <f aca="false">ROUND(+B66/(1-0.0045)-B66,0)</f>
        <v>11</v>
      </c>
      <c r="C67" s="116"/>
      <c r="D67" s="117"/>
      <c r="E67" s="118"/>
      <c r="F67" s="118"/>
      <c r="G67" s="117"/>
      <c r="H67" s="117"/>
      <c r="I67" s="117"/>
    </row>
    <row r="68" customFormat="false" ht="12.75" hidden="false" customHeight="false" outlineLevel="0" collapsed="false">
      <c r="A68" s="117" t="s">
        <v>187</v>
      </c>
      <c r="B68" s="115" t="n">
        <v>6320</v>
      </c>
      <c r="C68" s="116" t="n">
        <v>3.95</v>
      </c>
      <c r="D68" s="117" t="n">
        <v>-0.0125</v>
      </c>
      <c r="E68" s="118" t="n">
        <f aca="false">+B68*C68</f>
        <v>24964</v>
      </c>
      <c r="F68" s="118" t="n">
        <f aca="false">+B68*D68</f>
        <v>-79</v>
      </c>
      <c r="G68" s="117"/>
      <c r="H68" s="117"/>
      <c r="I68" s="117"/>
    </row>
    <row r="69" customFormat="false" ht="12.75" hidden="false" customHeight="false" outlineLevel="0" collapsed="false">
      <c r="A69" s="117" t="s">
        <v>97</v>
      </c>
      <c r="B69" s="115" t="n">
        <f aca="false">ROUND(+B68/(1-0.0045)-B68,0)</f>
        <v>29</v>
      </c>
      <c r="C69" s="116"/>
      <c r="D69" s="117"/>
      <c r="E69" s="118"/>
      <c r="F69" s="118"/>
      <c r="G69" s="117"/>
      <c r="H69" s="117"/>
      <c r="I69" s="117"/>
    </row>
    <row r="70" customFormat="false" ht="12.75" hidden="false" customHeight="false" outlineLevel="0" collapsed="false">
      <c r="A70" s="117" t="s">
        <v>187</v>
      </c>
      <c r="B70" s="115" t="n">
        <v>2987</v>
      </c>
      <c r="C70" s="116" t="n">
        <v>3.935</v>
      </c>
      <c r="D70" s="117" t="n">
        <v>-0.0125</v>
      </c>
      <c r="E70" s="118" t="n">
        <f aca="false">+B70*C70</f>
        <v>11753.845</v>
      </c>
      <c r="F70" s="118" t="n">
        <f aca="false">+B70*D70</f>
        <v>-37.3375</v>
      </c>
      <c r="G70" s="117"/>
      <c r="H70" s="117"/>
      <c r="I70" s="117"/>
    </row>
    <row r="71" customFormat="false" ht="12.75" hidden="false" customHeight="false" outlineLevel="0" collapsed="false">
      <c r="A71" s="117" t="s">
        <v>97</v>
      </c>
      <c r="B71" s="115" t="n">
        <f aca="false">ROUND(+B70/(1-0.0045)-B70,0)</f>
        <v>14</v>
      </c>
      <c r="C71" s="116"/>
      <c r="D71" s="117"/>
      <c r="E71" s="118"/>
      <c r="F71" s="118"/>
      <c r="G71" s="117"/>
      <c r="H71" s="117"/>
      <c r="I71" s="117"/>
    </row>
    <row r="72" customFormat="false" ht="12.75" hidden="false" customHeight="false" outlineLevel="0" collapsed="false">
      <c r="A72" s="117" t="s">
        <v>188</v>
      </c>
      <c r="B72" s="115" t="n">
        <v>0</v>
      </c>
      <c r="C72" s="116" t="n">
        <v>0</v>
      </c>
      <c r="D72" s="117" t="n">
        <v>-0.0125</v>
      </c>
      <c r="E72" s="118" t="n">
        <f aca="false">+B72*C72</f>
        <v>0</v>
      </c>
      <c r="F72" s="118" t="n">
        <f aca="false">+B72*D72</f>
        <v>-0</v>
      </c>
      <c r="G72" s="117"/>
      <c r="H72" s="117"/>
      <c r="I72" s="117"/>
    </row>
    <row r="73" customFormat="false" ht="12.75" hidden="false" customHeight="false" outlineLevel="0" collapsed="false">
      <c r="A73" s="117" t="s">
        <v>189</v>
      </c>
      <c r="B73" s="115" t="n">
        <v>0</v>
      </c>
      <c r="C73" s="116" t="n">
        <v>0</v>
      </c>
      <c r="D73" s="117" t="n">
        <v>-0.0125</v>
      </c>
      <c r="E73" s="118" t="n">
        <f aca="false">+B73*C73</f>
        <v>0</v>
      </c>
      <c r="F73" s="118" t="n">
        <f aca="false">+B73*D73</f>
        <v>-0</v>
      </c>
      <c r="G73" s="117"/>
      <c r="H73" s="117"/>
      <c r="I73" s="117"/>
    </row>
    <row r="74" customFormat="false" ht="12.75" hidden="false" customHeight="false" outlineLevel="0" collapsed="false">
      <c r="A74" s="117"/>
      <c r="B74" s="115"/>
      <c r="C74" s="116"/>
      <c r="D74" s="117"/>
      <c r="E74" s="118"/>
      <c r="F74" s="118"/>
      <c r="G74" s="117"/>
      <c r="H74" s="117"/>
      <c r="I74" s="117"/>
    </row>
    <row r="75" customFormat="false" ht="12.75" hidden="false" customHeight="false" outlineLevel="0" collapsed="false">
      <c r="A75" s="117" t="s">
        <v>190</v>
      </c>
      <c r="B75" s="115"/>
      <c r="C75" s="116"/>
      <c r="D75" s="117"/>
      <c r="E75" s="118"/>
      <c r="F75" s="118"/>
      <c r="G75" s="117"/>
      <c r="H75" s="117"/>
      <c r="I75" s="117"/>
    </row>
    <row r="76" customFormat="false" ht="12.75" hidden="false" customHeight="false" outlineLevel="0" collapsed="false">
      <c r="A76" s="117" t="s">
        <v>191</v>
      </c>
      <c r="B76" s="115" t="n">
        <v>0</v>
      </c>
      <c r="C76" s="116" t="n">
        <v>0</v>
      </c>
      <c r="D76" s="117" t="n">
        <v>-0.0125</v>
      </c>
      <c r="E76" s="118" t="n">
        <f aca="false">+B76*C76</f>
        <v>0</v>
      </c>
      <c r="F76" s="118" t="n">
        <f aca="false">+B76*D76</f>
        <v>-0</v>
      </c>
      <c r="G76" s="117"/>
      <c r="H76" s="117"/>
      <c r="I76" s="117"/>
    </row>
    <row r="77" customFormat="false" ht="12.75" hidden="false" customHeight="false" outlineLevel="0" collapsed="false">
      <c r="A77" s="117" t="s">
        <v>191</v>
      </c>
      <c r="B77" s="115" t="n">
        <v>0</v>
      </c>
      <c r="C77" s="116" t="n">
        <v>0</v>
      </c>
      <c r="D77" s="117" t="n">
        <v>-0.0125</v>
      </c>
      <c r="E77" s="118" t="n">
        <f aca="false">+B77*C77</f>
        <v>0</v>
      </c>
      <c r="F77" s="118" t="n">
        <f aca="false">+B77*D77</f>
        <v>-0</v>
      </c>
      <c r="G77" s="117"/>
      <c r="H77" s="117"/>
      <c r="I77" s="117"/>
    </row>
    <row r="78" customFormat="false" ht="12.75" hidden="false" customHeight="false" outlineLevel="0" collapsed="false">
      <c r="A78" s="117" t="s">
        <v>191</v>
      </c>
      <c r="B78" s="115" t="n">
        <v>0</v>
      </c>
      <c r="C78" s="116" t="n">
        <v>0</v>
      </c>
      <c r="D78" s="117" t="n">
        <v>-0.0125</v>
      </c>
      <c r="E78" s="118" t="n">
        <f aca="false">+B78*C78</f>
        <v>0</v>
      </c>
      <c r="F78" s="118" t="n">
        <f aca="false">+B78*D78</f>
        <v>-0</v>
      </c>
      <c r="G78" s="117"/>
      <c r="H78" s="117"/>
      <c r="I78" s="117"/>
    </row>
    <row r="79" customFormat="false" ht="12.75" hidden="false" customHeight="false" outlineLevel="0" collapsed="false">
      <c r="A79" s="117" t="s">
        <v>192</v>
      </c>
      <c r="B79" s="115" t="n">
        <v>0</v>
      </c>
      <c r="C79" s="116" t="n">
        <v>0</v>
      </c>
      <c r="D79" s="117" t="n">
        <v>-0.0125</v>
      </c>
      <c r="E79" s="118" t="n">
        <f aca="false">+B79*C79</f>
        <v>0</v>
      </c>
      <c r="F79" s="118" t="n">
        <f aca="false">+B79*D79</f>
        <v>-0</v>
      </c>
      <c r="G79" s="117"/>
      <c r="H79" s="117"/>
      <c r="I79" s="117"/>
    </row>
    <row r="80" customFormat="false" ht="12.75" hidden="false" customHeight="false" outlineLevel="0" collapsed="false">
      <c r="A80" s="117" t="s">
        <v>192</v>
      </c>
      <c r="B80" s="115" t="n">
        <v>0</v>
      </c>
      <c r="C80" s="116" t="n">
        <v>0</v>
      </c>
      <c r="D80" s="117" t="n">
        <v>-0.0125</v>
      </c>
      <c r="E80" s="118" t="n">
        <f aca="false">+B80*C80</f>
        <v>0</v>
      </c>
      <c r="F80" s="118" t="n">
        <f aca="false">+B80*D80</f>
        <v>-0</v>
      </c>
      <c r="G80" s="117"/>
      <c r="H80" s="117"/>
      <c r="I80" s="117"/>
    </row>
    <row r="81" customFormat="false" ht="12.75" hidden="false" customHeight="false" outlineLevel="0" collapsed="false">
      <c r="A81" s="117" t="s">
        <v>192</v>
      </c>
      <c r="B81" s="115" t="n">
        <v>0</v>
      </c>
      <c r="C81" s="116" t="n">
        <v>0</v>
      </c>
      <c r="D81" s="117" t="n">
        <v>-0.0125</v>
      </c>
      <c r="E81" s="118" t="n">
        <f aca="false">+B81*C81</f>
        <v>0</v>
      </c>
      <c r="F81" s="118" t="n">
        <f aca="false">+B81*D81</f>
        <v>-0</v>
      </c>
      <c r="G81" s="117"/>
      <c r="H81" s="117"/>
      <c r="I81" s="117"/>
    </row>
    <row r="82" customFormat="false" ht="12.75" hidden="false" customHeight="false" outlineLevel="0" collapsed="false">
      <c r="A82" s="117"/>
      <c r="B82" s="115"/>
      <c r="C82" s="116"/>
      <c r="D82" s="117"/>
      <c r="E82" s="118"/>
      <c r="F82" s="118"/>
      <c r="G82" s="117"/>
      <c r="H82" s="117"/>
      <c r="I82" s="117"/>
    </row>
    <row r="83" customFormat="false" ht="12.75" hidden="false" customHeight="false" outlineLevel="0" collapsed="false">
      <c r="A83" s="117"/>
      <c r="B83" s="115"/>
      <c r="C83" s="116"/>
      <c r="D83" s="117"/>
      <c r="E83" s="118"/>
      <c r="F83" s="118"/>
      <c r="G83" s="117"/>
      <c r="H83" s="117"/>
      <c r="I83" s="117"/>
    </row>
    <row r="84" customFormat="false" ht="13.5" hidden="false" customHeight="false" outlineLevel="0" collapsed="false">
      <c r="A84" s="117"/>
      <c r="B84" s="115"/>
      <c r="C84" s="116"/>
      <c r="D84" s="117"/>
      <c r="E84" s="118"/>
      <c r="F84" s="118"/>
      <c r="G84" s="117"/>
      <c r="H84" s="117"/>
      <c r="I84" s="117"/>
    </row>
    <row r="85" customFormat="false" ht="12.75" hidden="false" customHeight="false" outlineLevel="0" collapsed="false">
      <c r="A85" s="119" t="s">
        <v>193</v>
      </c>
      <c r="B85" s="120" t="n">
        <v>0</v>
      </c>
      <c r="C85" s="121" t="n">
        <v>0</v>
      </c>
      <c r="D85" s="122" t="n">
        <v>0</v>
      </c>
      <c r="E85" s="123" t="n">
        <f aca="false">+B85*C85</f>
        <v>0</v>
      </c>
      <c r="F85" s="123" t="n">
        <f aca="false">+B85*D85</f>
        <v>0</v>
      </c>
      <c r="G85" s="122"/>
      <c r="H85" s="122"/>
      <c r="I85" s="124"/>
    </row>
    <row r="86" customFormat="false" ht="12.75" hidden="false" customHeight="false" outlineLevel="0" collapsed="false">
      <c r="A86" s="125"/>
      <c r="B86" s="115" t="n">
        <v>0</v>
      </c>
      <c r="C86" s="116" t="n">
        <v>0</v>
      </c>
      <c r="D86" s="126" t="n">
        <v>0</v>
      </c>
      <c r="E86" s="118" t="n">
        <f aca="false">+B86*C86</f>
        <v>0</v>
      </c>
      <c r="F86" s="118" t="n">
        <f aca="false">+B86*D86</f>
        <v>0</v>
      </c>
      <c r="G86" s="126"/>
      <c r="H86" s="126"/>
      <c r="I86" s="127"/>
    </row>
    <row r="87" customFormat="false" ht="12.75" hidden="false" customHeight="false" outlineLevel="0" collapsed="false">
      <c r="A87" s="128" t="s">
        <v>194</v>
      </c>
      <c r="B87" s="129" t="n">
        <f aca="false">SUM(B85:B86)</f>
        <v>0</v>
      </c>
      <c r="C87" s="116"/>
      <c r="D87" s="126"/>
      <c r="E87" s="118"/>
      <c r="F87" s="118"/>
      <c r="G87" s="126"/>
      <c r="H87" s="126"/>
      <c r="I87" s="127"/>
    </row>
    <row r="88" customFormat="false" ht="12.75" hidden="false" customHeight="false" outlineLevel="0" collapsed="false">
      <c r="A88" s="125"/>
      <c r="B88" s="115"/>
      <c r="C88" s="116"/>
      <c r="D88" s="126"/>
      <c r="E88" s="118"/>
      <c r="F88" s="118"/>
      <c r="G88" s="126"/>
      <c r="H88" s="126" t="s">
        <v>195</v>
      </c>
      <c r="I88" s="127"/>
    </row>
    <row r="89" customFormat="false" ht="12.75" hidden="false" customHeight="false" outlineLevel="0" collapsed="false">
      <c r="A89" s="125" t="s">
        <v>196</v>
      </c>
      <c r="B89" s="115" t="n">
        <v>0</v>
      </c>
      <c r="C89" s="115" t="n">
        <f aca="false">ROUND(+B89/(1-0.0307)-B89,0)</f>
        <v>0</v>
      </c>
      <c r="D89" s="126" t="n">
        <v>-0.0118</v>
      </c>
      <c r="E89" s="118"/>
      <c r="F89" s="118" t="n">
        <f aca="false">+D89*B89</f>
        <v>-0</v>
      </c>
      <c r="G89" s="126"/>
      <c r="H89" s="126" t="n">
        <v>637172</v>
      </c>
      <c r="I89" s="127"/>
    </row>
    <row r="90" customFormat="false" ht="12.75" hidden="false" customHeight="false" outlineLevel="0" collapsed="false">
      <c r="A90" s="125" t="s">
        <v>197</v>
      </c>
      <c r="B90" s="115" t="n">
        <v>0</v>
      </c>
      <c r="C90" s="115" t="n">
        <f aca="false">ROUND(+B90/(1-0.0734)-B90,0)</f>
        <v>0</v>
      </c>
      <c r="D90" s="126" t="n">
        <v>-0.0539</v>
      </c>
      <c r="E90" s="118"/>
      <c r="F90" s="118" t="n">
        <f aca="false">+D90*B90</f>
        <v>-0</v>
      </c>
      <c r="G90" s="126"/>
      <c r="H90" s="126"/>
      <c r="I90" s="127"/>
    </row>
    <row r="91" customFormat="false" ht="12.75" hidden="false" customHeight="false" outlineLevel="0" collapsed="false">
      <c r="A91" s="125" t="s">
        <v>198</v>
      </c>
      <c r="B91" s="115" t="n">
        <v>0</v>
      </c>
      <c r="C91" s="115" t="n">
        <f aca="false">ROUND(+B91/(1-0.0707)-B91,0)</f>
        <v>0</v>
      </c>
      <c r="D91" s="126" t="n">
        <v>-0.0523</v>
      </c>
      <c r="E91" s="118"/>
      <c r="F91" s="118" t="n">
        <f aca="false">+D91*B91</f>
        <v>-0</v>
      </c>
      <c r="G91" s="126"/>
      <c r="H91" s="126"/>
      <c r="I91" s="127"/>
    </row>
    <row r="92" customFormat="false" ht="12.75" hidden="false" customHeight="false" outlineLevel="0" collapsed="false">
      <c r="A92" s="125" t="s">
        <v>199</v>
      </c>
      <c r="B92" s="115" t="n">
        <v>0</v>
      </c>
      <c r="C92" s="115" t="n">
        <f aca="false">ROUND(+B92/(1-0.0707)-B92,0)</f>
        <v>0</v>
      </c>
      <c r="D92" s="126" t="n">
        <v>-0.0523</v>
      </c>
      <c r="E92" s="118"/>
      <c r="F92" s="118" t="n">
        <f aca="false">+D92*B92</f>
        <v>-0</v>
      </c>
      <c r="G92" s="126"/>
      <c r="H92" s="126"/>
      <c r="I92" s="127"/>
    </row>
    <row r="93" customFormat="false" ht="12.75" hidden="false" customHeight="false" outlineLevel="0" collapsed="false">
      <c r="A93" s="125"/>
      <c r="B93" s="115" t="n">
        <f aca="false">SUM(B89:B92)</f>
        <v>0</v>
      </c>
      <c r="C93" s="115" t="n">
        <f aca="false">SUM(C89:C92)</f>
        <v>0</v>
      </c>
      <c r="D93" s="126"/>
      <c r="E93" s="118"/>
      <c r="F93" s="118"/>
      <c r="G93" s="126"/>
      <c r="H93" s="126"/>
      <c r="I93" s="127"/>
    </row>
    <row r="94" customFormat="false" ht="12.75" hidden="false" customHeight="false" outlineLevel="0" collapsed="false">
      <c r="A94" s="125"/>
      <c r="B94" s="129" t="n">
        <f aca="false">+B93+C93</f>
        <v>0</v>
      </c>
      <c r="C94" s="116"/>
      <c r="D94" s="126"/>
      <c r="E94" s="118"/>
      <c r="F94" s="118"/>
      <c r="G94" s="126"/>
      <c r="H94" s="126"/>
      <c r="I94" s="127"/>
    </row>
    <row r="95" customFormat="false" ht="13.5" hidden="false" customHeight="false" outlineLevel="0" collapsed="false">
      <c r="A95" s="130"/>
      <c r="B95" s="131"/>
      <c r="C95" s="132"/>
      <c r="D95" s="133"/>
      <c r="E95" s="134"/>
      <c r="F95" s="134"/>
      <c r="G95" s="133"/>
      <c r="H95" s="133"/>
      <c r="I95" s="135"/>
    </row>
    <row r="96" customFormat="false" ht="12.75" hidden="false" customHeight="false" outlineLevel="0" collapsed="false">
      <c r="A96" s="117"/>
      <c r="B96" s="115"/>
      <c r="C96" s="116"/>
      <c r="D96" s="117"/>
      <c r="E96" s="118"/>
      <c r="F96" s="118"/>
      <c r="G96" s="117"/>
      <c r="H96" s="117"/>
      <c r="I96" s="117"/>
    </row>
    <row r="97" customFormat="false" ht="13.5" hidden="false" customHeight="false" outlineLevel="0" collapsed="false">
      <c r="A97" s="117"/>
      <c r="B97" s="115"/>
      <c r="C97" s="116"/>
      <c r="D97" s="117"/>
      <c r="E97" s="118"/>
      <c r="F97" s="118"/>
      <c r="G97" s="117"/>
      <c r="H97" s="117"/>
      <c r="I97" s="117"/>
    </row>
    <row r="98" customFormat="false" ht="12.75" hidden="false" customHeight="false" outlineLevel="0" collapsed="false">
      <c r="A98" s="119" t="s">
        <v>200</v>
      </c>
      <c r="B98" s="120" t="n">
        <v>0</v>
      </c>
      <c r="C98" s="121" t="n">
        <v>0</v>
      </c>
      <c r="D98" s="122" t="n">
        <v>0</v>
      </c>
      <c r="E98" s="123" t="n">
        <f aca="false">+B98*C98</f>
        <v>0</v>
      </c>
      <c r="F98" s="123" t="n">
        <f aca="false">+B98*D98</f>
        <v>0</v>
      </c>
      <c r="G98" s="122"/>
      <c r="H98" s="122"/>
      <c r="I98" s="124"/>
    </row>
    <row r="99" customFormat="false" ht="12.75" hidden="false" customHeight="false" outlineLevel="0" collapsed="false">
      <c r="A99" s="125" t="s">
        <v>201</v>
      </c>
      <c r="B99" s="115" t="n">
        <v>0</v>
      </c>
      <c r="C99" s="116" t="n">
        <v>0</v>
      </c>
      <c r="D99" s="126" t="n">
        <v>0</v>
      </c>
      <c r="E99" s="118" t="n">
        <f aca="false">+B99*C99</f>
        <v>0</v>
      </c>
      <c r="F99" s="118" t="n">
        <f aca="false">+B99*D99</f>
        <v>0</v>
      </c>
      <c r="G99" s="126"/>
      <c r="H99" s="126"/>
      <c r="I99" s="127"/>
    </row>
    <row r="100" customFormat="false" ht="12.75" hidden="false" customHeight="false" outlineLevel="0" collapsed="false">
      <c r="A100" s="128" t="s">
        <v>202</v>
      </c>
      <c r="B100" s="129" t="n">
        <f aca="false">SUM(B98:B99)</f>
        <v>0</v>
      </c>
      <c r="C100" s="116"/>
      <c r="D100" s="126"/>
      <c r="E100" s="118"/>
      <c r="F100" s="118"/>
      <c r="G100" s="126"/>
      <c r="H100" s="126"/>
      <c r="I100" s="127"/>
    </row>
    <row r="101" customFormat="false" ht="12.75" hidden="false" customHeight="false" outlineLevel="0" collapsed="false">
      <c r="A101" s="125"/>
      <c r="B101" s="115"/>
      <c r="C101" s="116"/>
      <c r="D101" s="126"/>
      <c r="E101" s="118"/>
      <c r="F101" s="118"/>
      <c r="G101" s="126"/>
      <c r="H101" s="126" t="s">
        <v>195</v>
      </c>
      <c r="I101" s="127"/>
    </row>
    <row r="102" customFormat="false" ht="12.75" hidden="false" customHeight="false" outlineLevel="0" collapsed="false">
      <c r="A102" s="125" t="s">
        <v>196</v>
      </c>
      <c r="B102" s="115" t="n">
        <v>0</v>
      </c>
      <c r="C102" s="115" t="n">
        <f aca="false">ROUND(+B102/(1-0.0795)-B102,0)</f>
        <v>0</v>
      </c>
      <c r="D102" s="126" t="n">
        <v>-0.0576</v>
      </c>
      <c r="E102" s="118"/>
      <c r="F102" s="118" t="n">
        <f aca="false">+D102*B102</f>
        <v>-0</v>
      </c>
      <c r="G102" s="126"/>
      <c r="H102" s="126" t="n">
        <v>640171</v>
      </c>
      <c r="I102" s="127"/>
    </row>
    <row r="103" customFormat="false" ht="12.75" hidden="false" customHeight="false" outlineLevel="0" collapsed="false">
      <c r="A103" s="125" t="s">
        <v>197</v>
      </c>
      <c r="B103" s="115" t="n">
        <v>0</v>
      </c>
      <c r="C103" s="115" t="n">
        <f aca="false">ROUND(+B103/(1-0.0734)-B103,0)</f>
        <v>0</v>
      </c>
      <c r="D103" s="126" t="n">
        <v>-0.0539</v>
      </c>
      <c r="E103" s="118"/>
      <c r="F103" s="118" t="n">
        <f aca="false">+D103*B103</f>
        <v>-0</v>
      </c>
      <c r="G103" s="126"/>
      <c r="H103" s="126" t="n">
        <v>640179</v>
      </c>
      <c r="I103" s="127"/>
    </row>
    <row r="104" customFormat="false" ht="12.75" hidden="false" customHeight="false" outlineLevel="0" collapsed="false">
      <c r="A104" s="125" t="s">
        <v>203</v>
      </c>
      <c r="B104" s="115" t="n">
        <v>0</v>
      </c>
      <c r="C104" s="115" t="n">
        <f aca="false">ROUND(+B104/(1-0.0707)-B104,0)</f>
        <v>0</v>
      </c>
      <c r="D104" s="126" t="n">
        <v>-0.0523</v>
      </c>
      <c r="E104" s="118"/>
      <c r="F104" s="118" t="n">
        <f aca="false">+D104*B104</f>
        <v>-0</v>
      </c>
      <c r="G104" s="126"/>
      <c r="H104" s="126" t="n">
        <v>637224</v>
      </c>
      <c r="I104" s="127"/>
    </row>
    <row r="105" customFormat="false" ht="12.75" hidden="false" customHeight="false" outlineLevel="0" collapsed="false">
      <c r="A105" s="125" t="s">
        <v>199</v>
      </c>
      <c r="B105" s="115" t="n">
        <v>0</v>
      </c>
      <c r="C105" s="115" t="n">
        <f aca="false">ROUND(+B105/(1-0.0707)-B105,0)</f>
        <v>0</v>
      </c>
      <c r="D105" s="126" t="n">
        <v>-0.0523</v>
      </c>
      <c r="E105" s="118"/>
      <c r="F105" s="118" t="n">
        <f aca="false">+D105*B105</f>
        <v>-0</v>
      </c>
      <c r="G105" s="126"/>
      <c r="H105" s="126" t="n">
        <v>640151</v>
      </c>
      <c r="I105" s="127"/>
    </row>
    <row r="106" customFormat="false" ht="12.75" hidden="false" customHeight="false" outlineLevel="0" collapsed="false">
      <c r="A106" s="125" t="s">
        <v>204</v>
      </c>
      <c r="B106" s="115" t="n">
        <v>0</v>
      </c>
      <c r="C106" s="115" t="n">
        <f aca="false">ROUND(+B106/(1-0.0416)-B106,0)</f>
        <v>0</v>
      </c>
      <c r="D106" s="126" t="n">
        <v>-0.0366</v>
      </c>
      <c r="E106" s="118"/>
      <c r="F106" s="118" t="n">
        <f aca="false">+D106*B106</f>
        <v>-0</v>
      </c>
      <c r="G106" s="126"/>
      <c r="H106" s="126"/>
      <c r="I106" s="127"/>
    </row>
    <row r="107" customFormat="false" ht="12.75" hidden="false" customHeight="false" outlineLevel="0" collapsed="false">
      <c r="A107" s="125" t="s">
        <v>205</v>
      </c>
      <c r="B107" s="115" t="n">
        <v>0</v>
      </c>
      <c r="C107" s="115" t="n">
        <f aca="false">ROUND(+B107/(1-0.0795)-B107,0)</f>
        <v>0</v>
      </c>
      <c r="D107" s="126" t="n">
        <v>-0.1322</v>
      </c>
      <c r="E107" s="118"/>
      <c r="F107" s="118" t="n">
        <f aca="false">+D107*B107</f>
        <v>-0</v>
      </c>
      <c r="G107" s="126"/>
      <c r="H107" s="126" t="n">
        <v>712266</v>
      </c>
      <c r="I107" s="127"/>
    </row>
    <row r="108" customFormat="false" ht="12.75" hidden="false" customHeight="false" outlineLevel="0" collapsed="false">
      <c r="A108" s="125" t="s">
        <v>206</v>
      </c>
      <c r="B108" s="115"/>
      <c r="C108" s="115" t="n">
        <f aca="false">ROUND(+B108/(1-0.0734)-B108,0)</f>
        <v>0</v>
      </c>
      <c r="D108" s="126"/>
      <c r="E108" s="118"/>
      <c r="F108" s="118" t="n">
        <f aca="false">+D108*B108</f>
        <v>0</v>
      </c>
      <c r="G108" s="126"/>
      <c r="H108" s="126"/>
      <c r="I108" s="127"/>
    </row>
    <row r="109" customFormat="false" ht="12.75" hidden="false" customHeight="false" outlineLevel="0" collapsed="false">
      <c r="A109" s="125" t="s">
        <v>207</v>
      </c>
      <c r="B109" s="115"/>
      <c r="C109" s="115" t="n">
        <f aca="false">ROUND(+B109/(1-0.0707)-B109,0)</f>
        <v>0</v>
      </c>
      <c r="D109" s="126"/>
      <c r="E109" s="118"/>
      <c r="F109" s="118" t="n">
        <f aca="false">+D109*B109</f>
        <v>0</v>
      </c>
      <c r="G109" s="126"/>
      <c r="H109" s="126" t="n">
        <v>705541</v>
      </c>
      <c r="I109" s="127"/>
    </row>
    <row r="110" customFormat="false" ht="12.75" hidden="false" customHeight="false" outlineLevel="0" collapsed="false">
      <c r="A110" s="125" t="s">
        <v>208</v>
      </c>
      <c r="B110" s="115"/>
      <c r="C110" s="115" t="n">
        <f aca="false">ROUND(+B110/(1-0.0707)-B110,0)</f>
        <v>0</v>
      </c>
      <c r="D110" s="126"/>
      <c r="E110" s="118"/>
      <c r="F110" s="118" t="n">
        <f aca="false">+D110*B110</f>
        <v>0</v>
      </c>
      <c r="G110" s="126"/>
      <c r="H110" s="126" t="n">
        <v>705238</v>
      </c>
      <c r="I110" s="127"/>
    </row>
    <row r="111" customFormat="false" ht="12.75" hidden="false" customHeight="false" outlineLevel="0" collapsed="false">
      <c r="A111" s="125"/>
      <c r="B111" s="115" t="n">
        <f aca="false">SUM(B102:B110)</f>
        <v>0</v>
      </c>
      <c r="C111" s="115" t="n">
        <f aca="false">SUM(C102:C110)</f>
        <v>0</v>
      </c>
      <c r="D111" s="126"/>
      <c r="E111" s="118"/>
      <c r="F111" s="118"/>
      <c r="G111" s="126"/>
      <c r="H111" s="126"/>
      <c r="I111" s="127"/>
    </row>
    <row r="112" customFormat="false" ht="13.5" hidden="false" customHeight="false" outlineLevel="0" collapsed="false">
      <c r="A112" s="130"/>
      <c r="B112" s="136" t="n">
        <f aca="false">+B111+C111</f>
        <v>0</v>
      </c>
      <c r="C112" s="132"/>
      <c r="D112" s="133"/>
      <c r="E112" s="134"/>
      <c r="F112" s="134"/>
      <c r="G112" s="133"/>
      <c r="H112" s="133"/>
      <c r="I112" s="135"/>
    </row>
    <row r="113" customFormat="false" ht="12.75" hidden="false" customHeight="false" outlineLevel="0" collapsed="false">
      <c r="A113" s="117"/>
      <c r="B113" s="115"/>
      <c r="C113" s="116"/>
      <c r="D113" s="117"/>
      <c r="E113" s="118"/>
      <c r="F113" s="118"/>
      <c r="G113" s="117"/>
      <c r="H113" s="117"/>
      <c r="I113" s="117"/>
    </row>
    <row r="114" customFormat="false" ht="13.5" hidden="false" customHeight="false" outlineLevel="0" collapsed="false">
      <c r="A114" s="117"/>
      <c r="B114" s="115"/>
      <c r="C114" s="116"/>
      <c r="D114" s="117"/>
      <c r="E114" s="118"/>
      <c r="F114" s="118"/>
      <c r="G114" s="117"/>
      <c r="H114" s="117"/>
      <c r="I114" s="117"/>
    </row>
    <row r="115" customFormat="false" ht="12.75" hidden="false" customHeight="false" outlineLevel="0" collapsed="false">
      <c r="A115" s="119" t="s">
        <v>209</v>
      </c>
      <c r="B115" s="120" t="n">
        <v>5000</v>
      </c>
      <c r="C115" s="121" t="n">
        <v>4.24</v>
      </c>
      <c r="D115" s="122" t="n">
        <v>0</v>
      </c>
      <c r="E115" s="123" t="n">
        <f aca="false">+B115*C115</f>
        <v>21200</v>
      </c>
      <c r="F115" s="123" t="n">
        <f aca="false">+B115*D115</f>
        <v>0</v>
      </c>
      <c r="G115" s="122"/>
      <c r="H115" s="122"/>
      <c r="I115" s="124"/>
    </row>
    <row r="116" customFormat="false" ht="12.75" hidden="false" customHeight="false" outlineLevel="0" collapsed="false">
      <c r="A116" s="125" t="s">
        <v>210</v>
      </c>
      <c r="B116" s="115" t="n">
        <v>-5000</v>
      </c>
      <c r="C116" s="116" t="n">
        <v>4.5675</v>
      </c>
      <c r="D116" s="126" t="n">
        <v>0</v>
      </c>
      <c r="E116" s="118" t="n">
        <f aca="false">+B116*C116</f>
        <v>-22837.5</v>
      </c>
      <c r="F116" s="118" t="n">
        <f aca="false">+B116*D116</f>
        <v>-0</v>
      </c>
      <c r="G116" s="126"/>
      <c r="H116" s="126"/>
      <c r="I116" s="127"/>
    </row>
    <row r="117" customFormat="false" ht="12.75" hidden="false" customHeight="false" outlineLevel="0" collapsed="false">
      <c r="A117" s="125" t="s">
        <v>210</v>
      </c>
      <c r="B117" s="115" t="n">
        <v>5000</v>
      </c>
      <c r="C117" s="116" t="n">
        <v>4.6975</v>
      </c>
      <c r="D117" s="126" t="n">
        <v>0</v>
      </c>
      <c r="E117" s="118" t="n">
        <f aca="false">+B117*C117</f>
        <v>23487.5</v>
      </c>
      <c r="F117" s="118" t="n">
        <f aca="false">+B117*D117</f>
        <v>0</v>
      </c>
      <c r="G117" s="126"/>
      <c r="H117" s="126"/>
      <c r="I117" s="127"/>
    </row>
    <row r="118" customFormat="false" ht="12.75" hidden="false" customHeight="false" outlineLevel="0" collapsed="false">
      <c r="A118" s="125" t="s">
        <v>211</v>
      </c>
      <c r="B118" s="115" t="n">
        <v>0</v>
      </c>
      <c r="C118" s="116"/>
      <c r="D118" s="126" t="n">
        <v>0</v>
      </c>
      <c r="E118" s="118" t="n">
        <f aca="false">+B118*C118</f>
        <v>0</v>
      </c>
      <c r="F118" s="118" t="n">
        <f aca="false">+B118*D118</f>
        <v>0</v>
      </c>
      <c r="G118" s="126"/>
      <c r="H118" s="126"/>
      <c r="I118" s="127"/>
    </row>
    <row r="119" customFormat="false" ht="12.75" hidden="false" customHeight="false" outlineLevel="0" collapsed="false">
      <c r="A119" s="125" t="s">
        <v>212</v>
      </c>
      <c r="B119" s="115" t="n">
        <v>0</v>
      </c>
      <c r="C119" s="116"/>
      <c r="D119" s="126" t="n">
        <v>0</v>
      </c>
      <c r="E119" s="118" t="n">
        <f aca="false">+B119*C119</f>
        <v>0</v>
      </c>
      <c r="F119" s="118" t="n">
        <f aca="false">+B119*D119</f>
        <v>0</v>
      </c>
      <c r="G119" s="126"/>
      <c r="H119" s="126"/>
      <c r="I119" s="127"/>
    </row>
    <row r="120" customFormat="false" ht="12.75" hidden="false" customHeight="false" outlineLevel="0" collapsed="false">
      <c r="A120" s="125" t="s">
        <v>213</v>
      </c>
      <c r="B120" s="115" t="n">
        <v>0</v>
      </c>
      <c r="C120" s="116" t="n">
        <v>0</v>
      </c>
      <c r="D120" s="126" t="n">
        <v>0</v>
      </c>
      <c r="E120" s="118" t="n">
        <f aca="false">+B120*C120</f>
        <v>0</v>
      </c>
      <c r="F120" s="118" t="n">
        <f aca="false">+B120*D120</f>
        <v>0</v>
      </c>
      <c r="G120" s="126"/>
      <c r="H120" s="126"/>
      <c r="I120" s="127"/>
    </row>
    <row r="121" customFormat="false" ht="12.75" hidden="false" customHeight="false" outlineLevel="0" collapsed="false">
      <c r="A121" s="128" t="s">
        <v>214</v>
      </c>
      <c r="B121" s="129" t="n">
        <f aca="false">SUM(B115:B120)</f>
        <v>5000</v>
      </c>
      <c r="C121" s="116"/>
      <c r="D121" s="126"/>
      <c r="E121" s="118"/>
      <c r="F121" s="118"/>
      <c r="G121" s="126"/>
      <c r="H121" s="126"/>
      <c r="I121" s="127"/>
    </row>
    <row r="122" customFormat="false" ht="12.75" hidden="false" customHeight="false" outlineLevel="0" collapsed="false">
      <c r="A122" s="125"/>
      <c r="B122" s="115"/>
      <c r="C122" s="116"/>
      <c r="D122" s="126"/>
      <c r="E122" s="118"/>
      <c r="F122" s="118"/>
      <c r="G122" s="126"/>
      <c r="H122" s="126"/>
      <c r="I122" s="127"/>
    </row>
    <row r="123" customFormat="false" ht="12.75" hidden="false" customHeight="false" outlineLevel="0" collapsed="false">
      <c r="A123" s="125" t="s">
        <v>215</v>
      </c>
      <c r="B123" s="115" t="n">
        <v>0</v>
      </c>
      <c r="C123" s="115" t="n">
        <f aca="false">ROUND(+B123/(1-0.0884)-B123,0)</f>
        <v>0</v>
      </c>
      <c r="D123" s="126" t="n">
        <v>-0.0715</v>
      </c>
      <c r="E123" s="118"/>
      <c r="F123" s="118" t="n">
        <f aca="false">+D123*B123</f>
        <v>-0</v>
      </c>
      <c r="G123" s="126"/>
      <c r="H123" s="126" t="n">
        <v>640165</v>
      </c>
      <c r="I123" s="127"/>
    </row>
    <row r="124" customFormat="false" ht="12.75" hidden="false" customHeight="false" outlineLevel="0" collapsed="false">
      <c r="A124" s="125" t="s">
        <v>197</v>
      </c>
      <c r="B124" s="115" t="n">
        <v>398</v>
      </c>
      <c r="C124" s="115" t="n">
        <f aca="false">ROUND(+B124/(1-0.0823)-B124,0)</f>
        <v>36</v>
      </c>
      <c r="D124" s="126" t="n">
        <v>-0.1047</v>
      </c>
      <c r="E124" s="118"/>
      <c r="F124" s="118" t="n">
        <f aca="false">+D124*B124</f>
        <v>-41.6706</v>
      </c>
      <c r="G124" s="126"/>
      <c r="H124" s="126" t="n">
        <v>735047</v>
      </c>
      <c r="I124" s="127"/>
    </row>
    <row r="125" customFormat="false" ht="12.75" hidden="false" customHeight="false" outlineLevel="0" collapsed="false">
      <c r="A125" s="125" t="s">
        <v>198</v>
      </c>
      <c r="B125" s="115" t="n">
        <v>0</v>
      </c>
      <c r="C125" s="115" t="n">
        <f aca="false">ROUND(+B125/(1-0.0796)-B125,0)</f>
        <v>0</v>
      </c>
      <c r="D125" s="126" t="n">
        <v>-0.0662</v>
      </c>
      <c r="E125" s="118"/>
      <c r="F125" s="118" t="n">
        <f aca="false">+D125*B125</f>
        <v>-0</v>
      </c>
      <c r="G125" s="126"/>
      <c r="H125" s="126" t="n">
        <v>637220</v>
      </c>
      <c r="I125" s="127"/>
    </row>
    <row r="126" customFormat="false" ht="12.75" hidden="false" customHeight="false" outlineLevel="0" collapsed="false">
      <c r="A126" s="125" t="s">
        <v>199</v>
      </c>
      <c r="B126" s="115" t="n">
        <v>4602</v>
      </c>
      <c r="C126" s="115" t="n">
        <f aca="false">ROUND(+B126/(1-0.0796)-B126,0)</f>
        <v>398</v>
      </c>
      <c r="D126" s="126" t="n">
        <v>-0.1016</v>
      </c>
      <c r="E126" s="118"/>
      <c r="F126" s="118" t="n">
        <f aca="false">+D126*B126</f>
        <v>-467.5632</v>
      </c>
      <c r="G126" s="126"/>
      <c r="H126" s="137" t="n">
        <v>821199</v>
      </c>
      <c r="I126" s="127"/>
    </row>
    <row r="127" customFormat="false" ht="12.75" hidden="false" customHeight="false" outlineLevel="0" collapsed="false">
      <c r="A127" s="125" t="s">
        <v>204</v>
      </c>
      <c r="B127" s="115" t="n">
        <v>0</v>
      </c>
      <c r="C127" s="115" t="n">
        <f aca="false">ROUND(+B127/(1-0.0505)-B127,0)</f>
        <v>0</v>
      </c>
      <c r="D127" s="126" t="n">
        <v>-0.0814</v>
      </c>
      <c r="E127" s="118"/>
      <c r="F127" s="118" t="n">
        <f aca="false">+D127*B127</f>
        <v>-0</v>
      </c>
      <c r="G127" s="126"/>
      <c r="H127" s="137" t="n">
        <v>640187</v>
      </c>
      <c r="I127" s="127"/>
    </row>
    <row r="128" customFormat="false" ht="12.75" hidden="false" customHeight="false" outlineLevel="0" collapsed="false">
      <c r="A128" s="138" t="s">
        <v>216</v>
      </c>
      <c r="B128" s="115" t="n">
        <v>0</v>
      </c>
      <c r="C128" s="115" t="n">
        <f aca="false">ROUND(+B128/(1-0.0831)-B128,0)</f>
        <v>0</v>
      </c>
      <c r="D128" s="126" t="n">
        <v>-0.0632</v>
      </c>
      <c r="E128" s="118"/>
      <c r="F128" s="118" t="n">
        <f aca="false">+D128*B128</f>
        <v>-0</v>
      </c>
      <c r="G128" s="126"/>
      <c r="H128" s="126" t="n">
        <v>749874</v>
      </c>
      <c r="I128" s="127"/>
    </row>
    <row r="129" customFormat="false" ht="12.75" hidden="false" customHeight="false" outlineLevel="0" collapsed="false">
      <c r="A129" s="138" t="s">
        <v>217</v>
      </c>
      <c r="B129" s="115" t="n">
        <v>0</v>
      </c>
      <c r="C129" s="115" t="n">
        <f aca="false">ROUND(+B129/(1-0.077)-B129,0)</f>
        <v>0</v>
      </c>
      <c r="D129" s="126" t="n">
        <v>-0.0595</v>
      </c>
      <c r="E129" s="118"/>
      <c r="F129" s="118" t="n">
        <f aca="false">+D129*B129</f>
        <v>-0</v>
      </c>
      <c r="G129" s="126"/>
      <c r="H129" s="126" t="n">
        <v>749875</v>
      </c>
      <c r="I129" s="127"/>
    </row>
    <row r="130" customFormat="false" ht="12.75" hidden="false" customHeight="false" outlineLevel="0" collapsed="false">
      <c r="A130" s="138" t="s">
        <v>218</v>
      </c>
      <c r="B130" s="115" t="n">
        <v>0</v>
      </c>
      <c r="C130" s="115" t="n">
        <f aca="false">ROUND(+B130/(1-0.0743)-B130,0)</f>
        <v>0</v>
      </c>
      <c r="D130" s="126" t="n">
        <v>-0.0578</v>
      </c>
      <c r="E130" s="118"/>
      <c r="F130" s="118" t="n">
        <f aca="false">+D130*B130</f>
        <v>-0</v>
      </c>
      <c r="G130" s="126"/>
      <c r="H130" s="126" t="n">
        <v>749877</v>
      </c>
      <c r="I130" s="127"/>
    </row>
    <row r="131" customFormat="false" ht="12.75" hidden="false" customHeight="false" outlineLevel="0" collapsed="false">
      <c r="A131" s="138" t="s">
        <v>219</v>
      </c>
      <c r="B131" s="115" t="n">
        <v>0</v>
      </c>
      <c r="C131" s="115" t="n">
        <f aca="false">ROUND(+B131/(1-0.0743)-B131,0)</f>
        <v>0</v>
      </c>
      <c r="D131" s="126" t="n">
        <v>-0.0578</v>
      </c>
      <c r="E131" s="118"/>
      <c r="F131" s="118" t="n">
        <f aca="false">+D131*B131</f>
        <v>-0</v>
      </c>
      <c r="G131" s="126"/>
      <c r="H131" s="126" t="n">
        <v>749878</v>
      </c>
      <c r="I131" s="127"/>
    </row>
    <row r="132" customFormat="false" ht="12.75" hidden="false" customHeight="false" outlineLevel="0" collapsed="false">
      <c r="A132" s="138" t="s">
        <v>220</v>
      </c>
      <c r="B132" s="115" t="n">
        <v>0</v>
      </c>
      <c r="C132" s="115" t="n">
        <f aca="false">ROUND(+B132/(1-0.0452)-B132,0)</f>
        <v>0</v>
      </c>
      <c r="D132" s="126" t="n">
        <v>-0.0492</v>
      </c>
      <c r="E132" s="118"/>
      <c r="F132" s="118" t="n">
        <f aca="false">+D132*B132</f>
        <v>-0</v>
      </c>
      <c r="G132" s="126"/>
      <c r="H132" s="126" t="n">
        <v>749879</v>
      </c>
      <c r="I132" s="127"/>
    </row>
    <row r="133" customFormat="false" ht="12.75" hidden="false" customHeight="false" outlineLevel="0" collapsed="false">
      <c r="A133" s="125" t="s">
        <v>205</v>
      </c>
      <c r="B133" s="115" t="n">
        <v>0</v>
      </c>
      <c r="C133" s="115" t="n">
        <f aca="false">ROUND(+B133/(1-0.0884)-B133,0)</f>
        <v>0</v>
      </c>
      <c r="D133" s="126"/>
      <c r="E133" s="118"/>
      <c r="F133" s="118" t="n">
        <f aca="false">+D133*B133</f>
        <v>0</v>
      </c>
      <c r="G133" s="126"/>
      <c r="H133" s="126"/>
      <c r="I133" s="127"/>
    </row>
    <row r="134" customFormat="false" ht="12.75" hidden="false" customHeight="false" outlineLevel="0" collapsed="false">
      <c r="A134" s="125" t="s">
        <v>206</v>
      </c>
      <c r="B134" s="115" t="n">
        <v>0</v>
      </c>
      <c r="C134" s="115" t="n">
        <f aca="false">ROUND(+B134/(1-0.0823)-B134,0)</f>
        <v>0</v>
      </c>
      <c r="D134" s="126"/>
      <c r="E134" s="118"/>
      <c r="F134" s="118" t="n">
        <f aca="false">+D134*B134</f>
        <v>0</v>
      </c>
      <c r="G134" s="126"/>
      <c r="H134" s="126" t="n">
        <v>640178</v>
      </c>
      <c r="I134" s="127"/>
    </row>
    <row r="135" customFormat="false" ht="12.75" hidden="false" customHeight="false" outlineLevel="0" collapsed="false">
      <c r="A135" s="125" t="s">
        <v>207</v>
      </c>
      <c r="B135" s="115"/>
      <c r="C135" s="115" t="n">
        <f aca="false">ROUND(+B135/(1-0.0796)-B135,0)</f>
        <v>0</v>
      </c>
      <c r="D135" s="126"/>
      <c r="E135" s="118"/>
      <c r="F135" s="118" t="n">
        <f aca="false">+D135*B135</f>
        <v>0</v>
      </c>
      <c r="G135" s="126"/>
      <c r="H135" s="126"/>
      <c r="I135" s="127"/>
    </row>
    <row r="136" customFormat="false" ht="12.75" hidden="false" customHeight="false" outlineLevel="0" collapsed="false">
      <c r="A136" s="125" t="s">
        <v>208</v>
      </c>
      <c r="B136" s="115"/>
      <c r="C136" s="115" t="n">
        <f aca="false">ROUND(+B136/(1-0.0796)-B136,0)</f>
        <v>0</v>
      </c>
      <c r="D136" s="126"/>
      <c r="E136" s="118"/>
      <c r="F136" s="118" t="n">
        <f aca="false">+D136*B136</f>
        <v>0</v>
      </c>
      <c r="G136" s="126"/>
      <c r="H136" s="126"/>
      <c r="I136" s="127"/>
    </row>
    <row r="137" customFormat="false" ht="12.75" hidden="false" customHeight="false" outlineLevel="0" collapsed="false">
      <c r="A137" s="125"/>
      <c r="B137" s="115" t="n">
        <f aca="false">SUM(B123:B136)</f>
        <v>5000</v>
      </c>
      <c r="C137" s="115" t="n">
        <f aca="false">SUM(C123:C136)</f>
        <v>434</v>
      </c>
      <c r="D137" s="126"/>
      <c r="E137" s="118"/>
      <c r="F137" s="118"/>
      <c r="G137" s="126"/>
      <c r="H137" s="126"/>
      <c r="I137" s="127"/>
    </row>
    <row r="138" customFormat="false" ht="13.5" hidden="false" customHeight="false" outlineLevel="0" collapsed="false">
      <c r="A138" s="130" t="s">
        <v>221</v>
      </c>
      <c r="B138" s="136" t="n">
        <f aca="false">+B137+C137</f>
        <v>5434</v>
      </c>
      <c r="C138" s="132"/>
      <c r="D138" s="133"/>
      <c r="E138" s="134"/>
      <c r="F138" s="134"/>
      <c r="G138" s="133"/>
      <c r="H138" s="133"/>
      <c r="I138" s="135"/>
    </row>
    <row r="139" customFormat="false" ht="12.75" hidden="false" customHeight="false" outlineLevel="0" collapsed="false">
      <c r="A139" s="117"/>
      <c r="B139" s="115"/>
      <c r="C139" s="116"/>
      <c r="D139" s="117"/>
      <c r="E139" s="118"/>
      <c r="F139" s="118"/>
      <c r="G139" s="117"/>
      <c r="H139" s="117"/>
      <c r="I139" s="117"/>
    </row>
    <row r="140" customFormat="false" ht="12.75" hidden="false" customHeight="false" outlineLevel="0" collapsed="false">
      <c r="A140" s="117" t="s">
        <v>222</v>
      </c>
      <c r="B140" s="115" t="n">
        <f aca="false">+B137-B121</f>
        <v>0</v>
      </c>
      <c r="C140" s="116"/>
      <c r="D140" s="117"/>
      <c r="E140" s="118"/>
      <c r="F140" s="118"/>
      <c r="G140" s="117"/>
      <c r="H140" s="117"/>
      <c r="I140" s="117"/>
    </row>
    <row r="141" customFormat="false" ht="12.75" hidden="false" customHeight="false" outlineLevel="0" collapsed="false">
      <c r="A141" s="117"/>
      <c r="B141" s="115"/>
      <c r="C141" s="116"/>
      <c r="D141" s="117"/>
      <c r="E141" s="118"/>
      <c r="F141" s="118"/>
      <c r="G141" s="117"/>
      <c r="H141" s="117"/>
      <c r="I141" s="117"/>
    </row>
    <row r="142" customFormat="false" ht="12.75" hidden="false" customHeight="false" outlineLevel="0" collapsed="false">
      <c r="A142" s="117"/>
      <c r="B142" s="129"/>
      <c r="C142" s="116"/>
      <c r="D142" s="117"/>
      <c r="E142" s="118"/>
      <c r="F142" s="118"/>
      <c r="G142" s="117"/>
      <c r="H142" s="117"/>
      <c r="I142" s="117"/>
    </row>
    <row r="143" customFormat="false" ht="12.75" hidden="false" customHeight="false" outlineLevel="0" collapsed="false">
      <c r="A143" s="139" t="s">
        <v>223</v>
      </c>
      <c r="B143" s="115" t="n">
        <f aca="false">SUM(B138,B112,B94,B59:B84)</f>
        <v>35435</v>
      </c>
      <c r="C143" s="116"/>
      <c r="D143" s="117"/>
      <c r="E143" s="118" t="n">
        <f aca="false">SUM(E59:E142)</f>
        <v>139975.255</v>
      </c>
      <c r="F143" s="118" t="n">
        <f aca="false">SUM(F59:F142)</f>
        <v>-883.5713</v>
      </c>
      <c r="G143" s="117"/>
      <c r="H143" s="117"/>
      <c r="I143" s="117"/>
    </row>
    <row r="144" customFormat="false" ht="12.75" hidden="false" customHeight="false" outlineLevel="0" collapsed="false">
      <c r="E144" s="113"/>
      <c r="F144" s="113"/>
    </row>
    <row r="145" customFormat="false" ht="12.75" hidden="false" customHeight="false" outlineLevel="0" collapsed="false">
      <c r="A145" s="0" t="s">
        <v>224</v>
      </c>
      <c r="B145" s="50" t="n">
        <f aca="false">+B54-B143</f>
        <v>-2</v>
      </c>
      <c r="E145" s="113" t="n">
        <f aca="false">+E143-E54</f>
        <v>5247.96100000001</v>
      </c>
      <c r="F145" s="113" t="n">
        <f aca="false">+F143-F54</f>
        <v>-1009.4053</v>
      </c>
      <c r="G145" s="140" t="n">
        <f aca="false">+F145+E145</f>
        <v>4238.55570000001</v>
      </c>
    </row>
    <row r="147" customFormat="false" ht="12.75" hidden="false" customHeight="false" outlineLevel="0" collapsed="false">
      <c r="F147" s="21" t="s">
        <v>225</v>
      </c>
      <c r="G147" s="141" t="n">
        <f aca="false">+C157</f>
        <v>2855.33333333333</v>
      </c>
    </row>
    <row r="148" customFormat="false" ht="13.5" hidden="false" customHeight="false" outlineLevel="0" collapsed="false">
      <c r="F148" s="0" t="s">
        <v>226</v>
      </c>
      <c r="G148" s="142" t="n">
        <f aca="false">+G145-G147</f>
        <v>1383.22236666668</v>
      </c>
    </row>
    <row r="149" customFormat="false" ht="13.5" hidden="false" customHeight="false" outlineLevel="0" collapsed="false"/>
    <row r="152" customFormat="false" ht="12.75" hidden="false" customHeight="false" outlineLevel="0" collapsed="false">
      <c r="A152" s="0" t="s">
        <v>227</v>
      </c>
      <c r="B152" s="50" t="s">
        <v>23</v>
      </c>
      <c r="C152" s="2" t="n">
        <v>28199</v>
      </c>
    </row>
    <row r="153" customFormat="false" ht="12.75" hidden="false" customHeight="false" outlineLevel="0" collapsed="false">
      <c r="B153" s="50" t="s">
        <v>191</v>
      </c>
      <c r="C153" s="2" t="n">
        <v>2550</v>
      </c>
    </row>
    <row r="154" customFormat="false" ht="12.75" hidden="false" customHeight="false" outlineLevel="0" collapsed="false">
      <c r="B154" s="50" t="s">
        <v>228</v>
      </c>
      <c r="C154" s="2" t="n">
        <v>54171</v>
      </c>
    </row>
    <row r="155" customFormat="false" ht="12.75" hidden="false" customHeight="false" outlineLevel="0" collapsed="false">
      <c r="B155" s="50" t="s">
        <v>74</v>
      </c>
      <c r="C155" s="2" t="n">
        <v>740</v>
      </c>
    </row>
    <row r="156" customFormat="false" ht="12.75" hidden="false" customHeight="false" outlineLevel="0" collapsed="false">
      <c r="C156" s="2" t="n">
        <f aca="false">SUM(C152:C155)</f>
        <v>85660</v>
      </c>
    </row>
    <row r="157" customFormat="false" ht="12.75" hidden="false" customHeight="false" outlineLevel="0" collapsed="false">
      <c r="A157" s="0" t="s">
        <v>225</v>
      </c>
      <c r="C157" s="2" t="n">
        <f aca="false">+C156/30</f>
        <v>2855.33333333333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7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A3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50" width="10.28"/>
    <col collapsed="false" customWidth="true" hidden="false" outlineLevel="0" max="3" min="3" style="2" width="13.28"/>
    <col collapsed="false" customWidth="true" hidden="false" outlineLevel="0" max="5" min="5" style="0" width="14.14"/>
    <col collapsed="false" customWidth="true" hidden="false" outlineLevel="0" max="6" min="6" style="0" width="13.85"/>
    <col collapsed="false" customWidth="true" hidden="false" outlineLevel="0" max="7" min="7" style="0" width="14.14"/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21" t="s">
        <v>230</v>
      </c>
    </row>
    <row r="3" customFormat="false" ht="12.75" hidden="false" customHeight="false" outlineLevel="0" collapsed="false">
      <c r="A3" s="0" t="n">
        <v>0.05</v>
      </c>
      <c r="C3" s="2" t="s">
        <v>152</v>
      </c>
      <c r="D3" s="0" t="n">
        <v>0.014</v>
      </c>
      <c r="E3" s="0" t="s">
        <v>153</v>
      </c>
      <c r="F3" s="0" t="n">
        <v>0.0096</v>
      </c>
    </row>
    <row r="4" customFormat="false" ht="12.75" hidden="false" customHeight="false" outlineLevel="0" collapsed="false">
      <c r="A4" s="0" t="n">
        <v>0.0022</v>
      </c>
      <c r="C4" s="2" t="s">
        <v>154</v>
      </c>
      <c r="D4" s="0" t="n">
        <v>0.0103</v>
      </c>
    </row>
    <row r="5" customFormat="false" ht="12.75" hidden="false" customHeight="false" outlineLevel="0" collapsed="false">
      <c r="C5" s="2" t="s">
        <v>155</v>
      </c>
      <c r="D5" s="0" t="n">
        <v>0.0622</v>
      </c>
    </row>
    <row r="6" customFormat="false" ht="12.75" hidden="false" customHeight="false" outlineLevel="0" collapsed="false">
      <c r="E6" s="0" t="s">
        <v>96</v>
      </c>
    </row>
    <row r="7" customFormat="false" ht="12.75" hidden="false" customHeight="false" outlineLevel="0" collapsed="false">
      <c r="A7" s="89" t="s">
        <v>156</v>
      </c>
      <c r="B7" s="90"/>
      <c r="C7" s="91" t="s">
        <v>96</v>
      </c>
      <c r="D7" s="89" t="s">
        <v>157</v>
      </c>
      <c r="E7" s="89" t="s">
        <v>158</v>
      </c>
      <c r="F7" s="89" t="s">
        <v>159</v>
      </c>
      <c r="G7" s="89"/>
      <c r="H7" s="89"/>
      <c r="I7" s="89"/>
    </row>
    <row r="8" customFormat="false" ht="12.75" hidden="false" customHeight="false" outlineLevel="0" collapsed="false">
      <c r="A8" s="89" t="s">
        <v>102</v>
      </c>
      <c r="B8" s="90" t="n">
        <v>10000</v>
      </c>
      <c r="C8" s="91" t="n">
        <v>3.545</v>
      </c>
      <c r="D8" s="89" t="n">
        <v>0</v>
      </c>
      <c r="E8" s="92" t="n">
        <f aca="false">+B8*C8</f>
        <v>35450</v>
      </c>
      <c r="F8" s="92" t="n">
        <f aca="false">+B8*D8</f>
        <v>0</v>
      </c>
      <c r="G8" s="89"/>
      <c r="H8" s="89"/>
      <c r="I8" s="89"/>
    </row>
    <row r="9" customFormat="false" ht="12.75" hidden="false" customHeight="false" outlineLevel="0" collapsed="false">
      <c r="A9" s="89" t="s">
        <v>102</v>
      </c>
      <c r="B9" s="90" t="n">
        <v>10000</v>
      </c>
      <c r="C9" s="91" t="n">
        <v>3.53</v>
      </c>
      <c r="D9" s="89" t="n">
        <v>0</v>
      </c>
      <c r="E9" s="92" t="n">
        <f aca="false">+B9*C9</f>
        <v>35300</v>
      </c>
      <c r="F9" s="92" t="n">
        <f aca="false">+B9*D9</f>
        <v>0</v>
      </c>
      <c r="G9" s="89"/>
      <c r="H9" s="89"/>
      <c r="I9" s="89"/>
    </row>
    <row r="10" customFormat="false" ht="12.75" hidden="false" customHeight="false" outlineLevel="0" collapsed="false">
      <c r="A10" s="89" t="s">
        <v>162</v>
      </c>
      <c r="B10" s="90" t="n">
        <v>5000</v>
      </c>
      <c r="C10" s="91" t="n">
        <v>3.545</v>
      </c>
      <c r="D10" s="89" t="n">
        <v>0</v>
      </c>
      <c r="E10" s="92" t="n">
        <f aca="false">+B10*C10</f>
        <v>17725</v>
      </c>
      <c r="F10" s="92" t="n">
        <f aca="false">+B10*D10</f>
        <v>0</v>
      </c>
      <c r="G10" s="89"/>
      <c r="H10" s="89"/>
      <c r="I10" s="89"/>
    </row>
    <row r="11" customFormat="false" ht="12.75" hidden="false" customHeight="false" outlineLevel="0" collapsed="false">
      <c r="A11" s="89" t="s">
        <v>161</v>
      </c>
      <c r="B11" s="90" t="n">
        <v>3185</v>
      </c>
      <c r="C11" s="91" t="n">
        <v>3.565</v>
      </c>
      <c r="D11" s="89" t="n">
        <v>0</v>
      </c>
      <c r="E11" s="92" t="n">
        <f aca="false">+B11*C11</f>
        <v>11354.525</v>
      </c>
      <c r="F11" s="92" t="n">
        <f aca="false">+B11*D11</f>
        <v>0</v>
      </c>
      <c r="G11" s="89"/>
      <c r="H11" s="89"/>
      <c r="I11" s="89"/>
    </row>
    <row r="12" customFormat="false" ht="12.75" hidden="false" customHeight="false" outlineLevel="0" collapsed="false">
      <c r="A12" s="89" t="s">
        <v>162</v>
      </c>
      <c r="B12" s="90" t="n">
        <v>5000</v>
      </c>
      <c r="C12" s="91" t="n">
        <v>3.62</v>
      </c>
      <c r="D12" s="89" t="n">
        <v>0</v>
      </c>
      <c r="E12" s="92" t="n">
        <f aca="false">+B12*C12</f>
        <v>18100</v>
      </c>
      <c r="F12" s="92" t="n">
        <f aca="false">+B12*D12</f>
        <v>0</v>
      </c>
      <c r="G12" s="89"/>
      <c r="H12" s="89"/>
      <c r="I12" s="89"/>
    </row>
    <row r="13" customFormat="false" ht="12.75" hidden="false" customHeight="false" outlineLevel="0" collapsed="false">
      <c r="A13" s="89" t="s">
        <v>162</v>
      </c>
      <c r="B13" s="90" t="n">
        <v>5000</v>
      </c>
      <c r="C13" s="91" t="n">
        <v>4.63</v>
      </c>
      <c r="D13" s="89" t="n">
        <v>0</v>
      </c>
      <c r="E13" s="92" t="n">
        <f aca="false">+B13*C13</f>
        <v>23150</v>
      </c>
      <c r="F13" s="92" t="n">
        <f aca="false">+B13*D13</f>
        <v>0</v>
      </c>
      <c r="G13" s="89"/>
      <c r="H13" s="89"/>
      <c r="I13" s="89"/>
    </row>
    <row r="14" customFormat="false" ht="12.75" hidden="false" customHeight="false" outlineLevel="0" collapsed="false">
      <c r="A14" s="89" t="s">
        <v>162</v>
      </c>
      <c r="B14" s="90" t="n">
        <v>5000</v>
      </c>
      <c r="C14" s="91" t="n">
        <v>4.67</v>
      </c>
      <c r="D14" s="89" t="n">
        <v>0</v>
      </c>
      <c r="E14" s="92" t="n">
        <f aca="false">+B14*C14</f>
        <v>23350</v>
      </c>
      <c r="F14" s="92" t="n">
        <f aca="false">+B14*D14</f>
        <v>0</v>
      </c>
      <c r="G14" s="89"/>
      <c r="H14" s="89"/>
      <c r="I14" s="89"/>
    </row>
    <row r="15" customFormat="false" ht="12.75" hidden="false" customHeight="false" outlineLevel="0" collapsed="false">
      <c r="A15" s="89" t="s">
        <v>162</v>
      </c>
      <c r="B15" s="90" t="n">
        <v>-10000</v>
      </c>
      <c r="C15" s="91" t="n">
        <v>4.65</v>
      </c>
      <c r="D15" s="89" t="n">
        <v>0</v>
      </c>
      <c r="E15" s="92" t="n">
        <f aca="false">+B15*C15</f>
        <v>-46500</v>
      </c>
      <c r="F15" s="92" t="n">
        <f aca="false">+B15*D15</f>
        <v>-0</v>
      </c>
      <c r="G15" s="89"/>
      <c r="H15" s="89"/>
      <c r="I15" s="89"/>
    </row>
    <row r="16" customFormat="false" ht="12.75" hidden="false" customHeight="false" outlineLevel="0" collapsed="false">
      <c r="A16" s="89" t="s">
        <v>161</v>
      </c>
      <c r="B16" s="90" t="n">
        <v>-3192</v>
      </c>
      <c r="C16" s="91" t="n">
        <v>3.74</v>
      </c>
      <c r="D16" s="89" t="n">
        <v>0</v>
      </c>
      <c r="E16" s="92" t="n">
        <f aca="false">+B16*C16</f>
        <v>-11938.08</v>
      </c>
      <c r="F16" s="92" t="n">
        <f aca="false">+B16*D16</f>
        <v>-0</v>
      </c>
      <c r="G16" s="89"/>
      <c r="H16" s="89"/>
      <c r="I16" s="89"/>
    </row>
    <row r="17" customFormat="false" ht="12.75" hidden="false" customHeight="false" outlineLevel="0" collapsed="false">
      <c r="A17" s="89" t="s">
        <v>160</v>
      </c>
      <c r="B17" s="90" t="n">
        <v>0</v>
      </c>
      <c r="C17" s="91" t="n">
        <v>0</v>
      </c>
      <c r="D17" s="89" t="n">
        <v>0</v>
      </c>
      <c r="E17" s="92" t="n">
        <f aca="false">+B17*C17</f>
        <v>0</v>
      </c>
      <c r="F17" s="92" t="n">
        <f aca="false">+B17*D17</f>
        <v>0</v>
      </c>
      <c r="G17" s="89"/>
      <c r="H17" s="89"/>
      <c r="I17" s="89"/>
    </row>
    <row r="18" customFormat="false" ht="12.75" hidden="false" customHeight="false" outlineLevel="0" collapsed="false">
      <c r="A18" s="89" t="s">
        <v>160</v>
      </c>
      <c r="B18" s="90" t="n">
        <v>0</v>
      </c>
      <c r="C18" s="91" t="n">
        <v>0</v>
      </c>
      <c r="D18" s="89" t="n">
        <v>0</v>
      </c>
      <c r="E18" s="92" t="n">
        <f aca="false">+B18*C18</f>
        <v>0</v>
      </c>
      <c r="F18" s="92" t="n">
        <f aca="false">+B18*D18</f>
        <v>0</v>
      </c>
      <c r="G18" s="89"/>
      <c r="H18" s="89"/>
      <c r="I18" s="89"/>
    </row>
    <row r="19" customFormat="false" ht="12.75" hidden="false" customHeight="false" outlineLevel="0" collapsed="false">
      <c r="A19" s="89" t="s">
        <v>231</v>
      </c>
      <c r="B19" s="90" t="n">
        <v>0</v>
      </c>
      <c r="C19" s="91" t="n">
        <v>0</v>
      </c>
      <c r="D19" s="89" t="n">
        <v>0.0125</v>
      </c>
      <c r="E19" s="92" t="n">
        <f aca="false">+B19*C19</f>
        <v>0</v>
      </c>
      <c r="F19" s="92" t="n">
        <f aca="false">+B19*D19</f>
        <v>0</v>
      </c>
      <c r="G19" s="89"/>
      <c r="H19" s="89"/>
      <c r="I19" s="89"/>
    </row>
    <row r="20" customFormat="false" ht="12.75" hidden="false" customHeight="false" outlineLevel="0" collapsed="false">
      <c r="A20" s="89" t="s">
        <v>231</v>
      </c>
      <c r="B20" s="90" t="n">
        <v>0</v>
      </c>
      <c r="C20" s="91" t="n">
        <v>0</v>
      </c>
      <c r="D20" s="89" t="n">
        <v>0.0125</v>
      </c>
      <c r="E20" s="92" t="n">
        <f aca="false">+B20*C20</f>
        <v>0</v>
      </c>
      <c r="F20" s="92" t="n">
        <f aca="false">+B20*D20</f>
        <v>0</v>
      </c>
      <c r="G20" s="89"/>
      <c r="H20" s="89"/>
      <c r="I20" s="89"/>
    </row>
    <row r="21" customFormat="false" ht="12.75" hidden="false" customHeight="false" outlineLevel="0" collapsed="false">
      <c r="A21" s="89"/>
      <c r="B21" s="90"/>
      <c r="C21" s="91"/>
      <c r="D21" s="89"/>
      <c r="E21" s="92"/>
      <c r="F21" s="92"/>
      <c r="G21" s="89"/>
      <c r="H21" s="89"/>
      <c r="I21" s="89"/>
    </row>
    <row r="22" customFormat="false" ht="12.75" hidden="false" customHeight="false" outlineLevel="0" collapsed="false">
      <c r="A22" s="89" t="s">
        <v>232</v>
      </c>
      <c r="B22" s="90" t="n">
        <v>0</v>
      </c>
      <c r="C22" s="91" t="n">
        <v>0</v>
      </c>
      <c r="D22" s="89" t="n">
        <v>0</v>
      </c>
      <c r="E22" s="92" t="n">
        <f aca="false">+B22*C22</f>
        <v>0</v>
      </c>
      <c r="F22" s="92" t="n">
        <f aca="false">+B22*D22</f>
        <v>0</v>
      </c>
      <c r="G22" s="89"/>
      <c r="H22" s="89"/>
      <c r="I22" s="89"/>
    </row>
    <row r="23" customFormat="false" ht="12.75" hidden="false" customHeight="false" outlineLevel="0" collapsed="false">
      <c r="A23" s="89" t="s">
        <v>164</v>
      </c>
      <c r="B23" s="90" t="n">
        <v>0</v>
      </c>
      <c r="C23" s="91" t="n">
        <v>0</v>
      </c>
      <c r="D23" s="89" t="n">
        <v>0</v>
      </c>
      <c r="E23" s="92" t="n">
        <f aca="false">+B23*C23</f>
        <v>0</v>
      </c>
      <c r="F23" s="92" t="n">
        <f aca="false">+B23*D23</f>
        <v>0</v>
      </c>
      <c r="G23" s="89"/>
      <c r="H23" s="89"/>
      <c r="I23" s="89"/>
    </row>
    <row r="24" customFormat="false" ht="12.75" hidden="false" customHeight="false" outlineLevel="0" collapsed="false">
      <c r="A24" s="89"/>
      <c r="B24" s="90"/>
      <c r="C24" s="91"/>
      <c r="D24" s="89"/>
      <c r="E24" s="92"/>
      <c r="F24" s="92"/>
      <c r="G24" s="89"/>
      <c r="H24" s="89"/>
      <c r="I24" s="89"/>
    </row>
    <row r="25" customFormat="false" ht="12.75" hidden="false" customHeight="false" outlineLevel="0" collapsed="false">
      <c r="A25" s="89" t="s">
        <v>165</v>
      </c>
      <c r="B25" s="90" t="n">
        <v>0</v>
      </c>
      <c r="C25" s="91" t="n">
        <v>0</v>
      </c>
      <c r="D25" s="89" t="n">
        <v>0</v>
      </c>
      <c r="E25" s="92" t="n">
        <f aca="false">+B25*C25</f>
        <v>0</v>
      </c>
      <c r="F25" s="92" t="n">
        <f aca="false">+B25*D25</f>
        <v>0</v>
      </c>
      <c r="G25" s="89"/>
      <c r="H25" s="89"/>
      <c r="I25" s="89"/>
    </row>
    <row r="26" customFormat="false" ht="12.75" hidden="false" customHeight="false" outlineLevel="0" collapsed="false">
      <c r="A26" s="89" t="s">
        <v>166</v>
      </c>
      <c r="B26" s="90" t="n">
        <v>0</v>
      </c>
      <c r="C26" s="91" t="n">
        <v>0</v>
      </c>
      <c r="D26" s="89" t="n">
        <v>0</v>
      </c>
      <c r="E26" s="92" t="n">
        <f aca="false">+B26*C26</f>
        <v>0</v>
      </c>
      <c r="F26" s="92" t="n">
        <f aca="false">+B26*D26</f>
        <v>0</v>
      </c>
      <c r="G26" s="89"/>
      <c r="H26" s="89"/>
      <c r="I26" s="89"/>
    </row>
    <row r="27" customFormat="false" ht="12.75" hidden="false" customHeight="false" outlineLevel="0" collapsed="false">
      <c r="A27" s="89" t="s">
        <v>104</v>
      </c>
      <c r="B27" s="90" t="n">
        <v>0</v>
      </c>
      <c r="C27" s="91" t="n">
        <v>0</v>
      </c>
      <c r="D27" s="89" t="n">
        <v>0</v>
      </c>
      <c r="E27" s="92" t="n">
        <f aca="false">+B27*C27</f>
        <v>0</v>
      </c>
      <c r="F27" s="92" t="n">
        <f aca="false">+B27*D27</f>
        <v>0</v>
      </c>
      <c r="G27" s="89"/>
      <c r="H27" s="89"/>
      <c r="I27" s="89"/>
    </row>
    <row r="28" customFormat="false" ht="12.75" hidden="false" customHeight="false" outlineLevel="0" collapsed="false">
      <c r="A28" s="89" t="s">
        <v>104</v>
      </c>
      <c r="B28" s="90" t="n">
        <v>0</v>
      </c>
      <c r="C28" s="91" t="n">
        <v>0</v>
      </c>
      <c r="D28" s="89" t="n">
        <v>0</v>
      </c>
      <c r="E28" s="92" t="n">
        <f aca="false">+B28*C28</f>
        <v>0</v>
      </c>
      <c r="F28" s="92" t="n">
        <f aca="false">+B28*D28</f>
        <v>0</v>
      </c>
      <c r="G28" s="89"/>
      <c r="H28" s="89"/>
      <c r="I28" s="89"/>
    </row>
    <row r="29" customFormat="false" ht="12.75" hidden="false" customHeight="false" outlineLevel="0" collapsed="false">
      <c r="A29" s="89" t="s">
        <v>167</v>
      </c>
      <c r="B29" s="90" t="n">
        <v>0</v>
      </c>
      <c r="C29" s="91" t="n">
        <v>0</v>
      </c>
      <c r="D29" s="89" t="n">
        <v>0</v>
      </c>
      <c r="E29" s="92" t="n">
        <f aca="false">+B29*C29</f>
        <v>0</v>
      </c>
      <c r="F29" s="92" t="n">
        <f aca="false">+B29*D29</f>
        <v>0</v>
      </c>
      <c r="G29" s="89"/>
      <c r="H29" s="89"/>
      <c r="I29" s="89"/>
    </row>
    <row r="30" customFormat="false" ht="12.75" hidden="false" customHeight="false" outlineLevel="0" collapsed="false">
      <c r="A30" s="89"/>
      <c r="B30" s="90"/>
      <c r="C30" s="91"/>
      <c r="D30" s="89"/>
      <c r="E30" s="92"/>
      <c r="F30" s="92"/>
      <c r="G30" s="89"/>
      <c r="H30" s="89"/>
      <c r="I30" s="89"/>
    </row>
    <row r="31" customFormat="false" ht="12.75" hidden="false" customHeight="false" outlineLevel="0" collapsed="false">
      <c r="A31" s="89" t="s">
        <v>233</v>
      </c>
      <c r="B31" s="90" t="n">
        <v>10000</v>
      </c>
      <c r="C31" s="91" t="n">
        <v>3.53</v>
      </c>
      <c r="D31" s="89" t="n">
        <v>0</v>
      </c>
      <c r="E31" s="92" t="n">
        <f aca="false">+B31*C31</f>
        <v>35300</v>
      </c>
      <c r="F31" s="92" t="n">
        <f aca="false">+B31*D31</f>
        <v>0</v>
      </c>
      <c r="G31" s="89"/>
      <c r="H31" s="89"/>
      <c r="I31" s="89"/>
    </row>
    <row r="32" customFormat="false" ht="12.75" hidden="false" customHeight="false" outlineLevel="0" collapsed="false">
      <c r="A32" s="89" t="s">
        <v>169</v>
      </c>
      <c r="B32" s="90" t="n">
        <v>-10000</v>
      </c>
      <c r="C32" s="91" t="n">
        <v>3.54</v>
      </c>
      <c r="D32" s="89" t="n">
        <v>0</v>
      </c>
      <c r="E32" s="92" t="n">
        <f aca="false">+B32*C32</f>
        <v>-35400</v>
      </c>
      <c r="F32" s="92" t="n">
        <f aca="false">+B32*D32</f>
        <v>-0</v>
      </c>
      <c r="G32" s="89"/>
      <c r="H32" s="89"/>
      <c r="I32" s="89"/>
    </row>
    <row r="33" customFormat="false" ht="12.75" hidden="false" customHeight="false" outlineLevel="0" collapsed="false">
      <c r="A33" s="89" t="s">
        <v>168</v>
      </c>
      <c r="B33" s="90" t="n">
        <v>0</v>
      </c>
      <c r="C33" s="91" t="n">
        <v>0</v>
      </c>
      <c r="D33" s="89" t="n">
        <v>0</v>
      </c>
      <c r="E33" s="92" t="n">
        <f aca="false">+B33*C33</f>
        <v>0</v>
      </c>
      <c r="F33" s="92" t="n">
        <f aca="false">+B33*D33</f>
        <v>0</v>
      </c>
      <c r="G33" s="89"/>
      <c r="H33" s="89"/>
      <c r="I33" s="89"/>
    </row>
    <row r="34" customFormat="false" ht="12.75" hidden="false" customHeight="false" outlineLevel="0" collapsed="false">
      <c r="A34" s="89" t="s">
        <v>169</v>
      </c>
      <c r="B34" s="90" t="n">
        <v>0</v>
      </c>
      <c r="C34" s="91" t="n">
        <v>0</v>
      </c>
      <c r="D34" s="89" t="n">
        <v>0</v>
      </c>
      <c r="E34" s="92" t="n">
        <f aca="false">+B34*C34</f>
        <v>0</v>
      </c>
      <c r="F34" s="92" t="n">
        <f aca="false">+B34*D34</f>
        <v>0</v>
      </c>
      <c r="G34" s="89"/>
      <c r="H34" s="89"/>
      <c r="I34" s="89"/>
    </row>
    <row r="35" customFormat="false" ht="12.75" hidden="false" customHeight="false" outlineLevel="0" collapsed="false">
      <c r="A35" s="89"/>
      <c r="B35" s="90"/>
      <c r="C35" s="91"/>
      <c r="D35" s="89"/>
      <c r="E35" s="92"/>
      <c r="F35" s="92"/>
      <c r="G35" s="89"/>
      <c r="H35" s="89"/>
      <c r="I35" s="89"/>
    </row>
    <row r="36" customFormat="false" ht="12.75" hidden="false" customHeight="false" outlineLevel="0" collapsed="false">
      <c r="A36" s="89" t="s">
        <v>170</v>
      </c>
      <c r="B36" s="90" t="n">
        <v>10000</v>
      </c>
      <c r="C36" s="91" t="n">
        <v>3.82</v>
      </c>
      <c r="D36" s="89" t="n">
        <v>0</v>
      </c>
      <c r="E36" s="92" t="n">
        <f aca="false">+B36*C36</f>
        <v>38200</v>
      </c>
      <c r="F36" s="92" t="n">
        <f aca="false">+B36*D36</f>
        <v>0</v>
      </c>
      <c r="G36" s="89"/>
      <c r="H36" s="89"/>
      <c r="I36" s="89"/>
    </row>
    <row r="37" customFormat="false" ht="12.75" hidden="false" customHeight="false" outlineLevel="0" collapsed="false">
      <c r="A37" s="89" t="s">
        <v>105</v>
      </c>
      <c r="B37" s="90" t="n">
        <v>0</v>
      </c>
      <c r="C37" s="91" t="n">
        <v>0</v>
      </c>
      <c r="D37" s="89" t="n">
        <v>0</v>
      </c>
      <c r="E37" s="92" t="n">
        <f aca="false">+B37*C37</f>
        <v>0</v>
      </c>
      <c r="F37" s="92" t="n">
        <f aca="false">+B37*D37</f>
        <v>0</v>
      </c>
      <c r="G37" s="89"/>
      <c r="H37" s="89"/>
      <c r="I37" s="89"/>
    </row>
    <row r="38" customFormat="false" ht="12.75" hidden="false" customHeight="false" outlineLevel="0" collapsed="false">
      <c r="A38" s="89"/>
      <c r="B38" s="90"/>
      <c r="C38" s="91"/>
      <c r="D38" s="89"/>
      <c r="E38" s="92"/>
      <c r="F38" s="92"/>
      <c r="G38" s="89"/>
      <c r="H38" s="89"/>
      <c r="I38" s="89"/>
    </row>
    <row r="39" customFormat="false" ht="12.75" hidden="false" customHeight="false" outlineLevel="0" collapsed="false">
      <c r="A39" s="89" t="s">
        <v>171</v>
      </c>
      <c r="B39" s="90" t="n">
        <v>0</v>
      </c>
      <c r="C39" s="91" t="n">
        <v>0</v>
      </c>
      <c r="D39" s="89" t="n">
        <v>0.0125</v>
      </c>
      <c r="E39" s="92" t="n">
        <f aca="false">+B39*C39</f>
        <v>0</v>
      </c>
      <c r="F39" s="92" t="n">
        <f aca="false">+B39*D39</f>
        <v>0</v>
      </c>
      <c r="G39" s="89"/>
      <c r="H39" s="89"/>
      <c r="I39" s="89"/>
    </row>
    <row r="40" customFormat="false" ht="12.75" hidden="false" customHeight="false" outlineLevel="0" collapsed="false">
      <c r="A40" s="89" t="s">
        <v>171</v>
      </c>
      <c r="B40" s="90" t="n">
        <v>0</v>
      </c>
      <c r="C40" s="91" t="n">
        <v>0</v>
      </c>
      <c r="D40" s="89" t="n">
        <v>0</v>
      </c>
      <c r="E40" s="92" t="n">
        <f aca="false">+B40*C40</f>
        <v>0</v>
      </c>
      <c r="F40" s="92" t="n">
        <f aca="false">+B40*D40</f>
        <v>0</v>
      </c>
      <c r="G40" s="89"/>
      <c r="H40" s="89"/>
      <c r="I40" s="89"/>
    </row>
    <row r="41" customFormat="false" ht="12.75" hidden="false" customHeight="false" outlineLevel="0" collapsed="false">
      <c r="A41" s="89"/>
      <c r="B41" s="90"/>
      <c r="C41" s="91"/>
      <c r="D41" s="89"/>
      <c r="E41" s="92"/>
      <c r="F41" s="92"/>
      <c r="G41" s="89"/>
      <c r="H41" s="89"/>
      <c r="I41" s="89"/>
    </row>
    <row r="42" customFormat="false" ht="12.75" hidden="false" customHeight="false" outlineLevel="0" collapsed="false">
      <c r="A42" s="93" t="s">
        <v>172</v>
      </c>
      <c r="B42" s="94" t="n">
        <v>8237</v>
      </c>
      <c r="C42" s="95" t="n">
        <f aca="false">3.738+0.23</f>
        <v>3.968</v>
      </c>
      <c r="D42" s="96" t="n">
        <v>0</v>
      </c>
      <c r="E42" s="97" t="n">
        <f aca="false">+B42*C42</f>
        <v>32684.416</v>
      </c>
      <c r="F42" s="97" t="n">
        <f aca="false">+B42*D42</f>
        <v>0</v>
      </c>
      <c r="G42" s="96"/>
      <c r="H42" s="98"/>
      <c r="I42" s="99"/>
    </row>
    <row r="43" customFormat="false" ht="12.75" hidden="false" customHeight="false" outlineLevel="0" collapsed="false">
      <c r="A43" s="100" t="s">
        <v>1</v>
      </c>
      <c r="B43" s="90" t="n">
        <v>-5144</v>
      </c>
      <c r="C43" s="91" t="n">
        <v>3.915</v>
      </c>
      <c r="D43" s="101" t="n">
        <v>0</v>
      </c>
      <c r="E43" s="92" t="n">
        <f aca="false">+B43*C43</f>
        <v>-20138.76</v>
      </c>
      <c r="F43" s="92" t="n">
        <f aca="false">+B43*D43</f>
        <v>-0</v>
      </c>
      <c r="G43" s="101"/>
      <c r="H43" s="102"/>
      <c r="I43" s="103"/>
    </row>
    <row r="44" customFormat="false" ht="12.75" hidden="false" customHeight="false" outlineLevel="0" collapsed="false">
      <c r="A44" s="100" t="s">
        <v>174</v>
      </c>
      <c r="B44" s="90" t="n">
        <v>-2524</v>
      </c>
      <c r="C44" s="91" t="n">
        <f aca="false">3.738+0.295</f>
        <v>4.033</v>
      </c>
      <c r="D44" s="101" t="n">
        <v>-0.0035</v>
      </c>
      <c r="E44" s="92" t="n">
        <f aca="false">+B44*C44</f>
        <v>-10179.292</v>
      </c>
      <c r="F44" s="92" t="n">
        <f aca="false">+B44*D44</f>
        <v>8.834</v>
      </c>
      <c r="G44" s="101"/>
      <c r="H44" s="102"/>
      <c r="I44" s="103"/>
    </row>
    <row r="45" customFormat="false" ht="12.75" hidden="false" customHeight="false" outlineLevel="0" collapsed="false">
      <c r="A45" s="100" t="s">
        <v>175</v>
      </c>
      <c r="B45" s="90" t="n">
        <f aca="false">ROUND(+B44/(1-0.02)-B44,0)</f>
        <v>-52</v>
      </c>
      <c r="C45" s="91" t="n">
        <v>0</v>
      </c>
      <c r="D45" s="101" t="n">
        <v>0</v>
      </c>
      <c r="E45" s="92" t="n">
        <f aca="false">+B45*C45</f>
        <v>-0</v>
      </c>
      <c r="F45" s="92" t="n">
        <f aca="false">+B45*D45</f>
        <v>-0</v>
      </c>
      <c r="G45" s="101"/>
      <c r="H45" s="102"/>
      <c r="I45" s="103"/>
    </row>
    <row r="46" customFormat="false" ht="12.75" hidden="false" customHeight="false" outlineLevel="0" collapsed="false">
      <c r="A46" s="100" t="s">
        <v>38</v>
      </c>
      <c r="B46" s="90" t="n">
        <v>0</v>
      </c>
      <c r="C46" s="91" t="n">
        <v>0</v>
      </c>
      <c r="D46" s="101" t="n">
        <v>0</v>
      </c>
      <c r="E46" s="92" t="n">
        <f aca="false">+B46*C46</f>
        <v>0</v>
      </c>
      <c r="F46" s="92" t="n">
        <f aca="false">+B46*D46</f>
        <v>0</v>
      </c>
      <c r="G46" s="101"/>
      <c r="H46" s="102"/>
      <c r="I46" s="103"/>
    </row>
    <row r="47" customFormat="false" ht="12.75" hidden="false" customHeight="false" outlineLevel="0" collapsed="false">
      <c r="A47" s="100" t="s">
        <v>176</v>
      </c>
      <c r="B47" s="90" t="n">
        <f aca="false">-6000+496</f>
        <v>-5504</v>
      </c>
      <c r="C47" s="91" t="n">
        <f aca="false">3.738+0.425</f>
        <v>4.163</v>
      </c>
      <c r="D47" s="101" t="n">
        <v>-0.0195</v>
      </c>
      <c r="E47" s="92" t="n">
        <f aca="false">+B47*C47</f>
        <v>-22913.152</v>
      </c>
      <c r="F47" s="92" t="n">
        <f aca="false">+B47*D47</f>
        <v>107.328</v>
      </c>
      <c r="G47" s="101"/>
      <c r="H47" s="102"/>
      <c r="I47" s="103"/>
    </row>
    <row r="48" customFormat="false" ht="12.75" hidden="false" customHeight="false" outlineLevel="0" collapsed="false">
      <c r="A48" s="100" t="s">
        <v>176</v>
      </c>
      <c r="B48" s="90" t="n">
        <v>5000</v>
      </c>
      <c r="C48" s="91" t="n">
        <v>3.94</v>
      </c>
      <c r="D48" s="101"/>
      <c r="E48" s="92" t="n">
        <f aca="false">+B48*C48</f>
        <v>19700</v>
      </c>
      <c r="F48" s="92" t="n">
        <f aca="false">+B48*D48</f>
        <v>0</v>
      </c>
      <c r="G48" s="101"/>
      <c r="H48" s="102"/>
      <c r="I48" s="103"/>
    </row>
    <row r="49" customFormat="false" ht="12.75" hidden="false" customHeight="false" outlineLevel="0" collapsed="false">
      <c r="A49" s="100" t="s">
        <v>178</v>
      </c>
      <c r="B49" s="90" t="n">
        <f aca="false">ROUND((+B47+B48)/(1-0.0081)-(+B47+B48),0)</f>
        <v>-4</v>
      </c>
      <c r="C49" s="91"/>
      <c r="D49" s="101" t="n">
        <v>0</v>
      </c>
      <c r="E49" s="92" t="n">
        <f aca="false">+B49*C49</f>
        <v>-0</v>
      </c>
      <c r="F49" s="92" t="n">
        <f aca="false">+B49*D49</f>
        <v>-0</v>
      </c>
      <c r="G49" s="101"/>
      <c r="H49" s="102"/>
      <c r="I49" s="103"/>
    </row>
    <row r="50" customFormat="false" ht="12.75" hidden="false" customHeight="false" outlineLevel="0" collapsed="false">
      <c r="A50" s="104" t="s">
        <v>179</v>
      </c>
      <c r="B50" s="105" t="n">
        <f aca="false">ROUND((+B47+B48+B49)/0.98-(B47+B48+B49),0)</f>
        <v>-10</v>
      </c>
      <c r="C50" s="106"/>
      <c r="D50" s="107" t="n">
        <v>0</v>
      </c>
      <c r="E50" s="108" t="n">
        <f aca="false">+B50*C50</f>
        <v>-0</v>
      </c>
      <c r="F50" s="108" t="n">
        <f aca="false">+B50*D50</f>
        <v>-0</v>
      </c>
      <c r="G50" s="107"/>
      <c r="H50" s="109"/>
      <c r="I50" s="110"/>
    </row>
    <row r="51" customFormat="false" ht="12.75" hidden="false" customHeight="false" outlineLevel="0" collapsed="false">
      <c r="A51" s="89"/>
      <c r="B51" s="90"/>
      <c r="C51" s="91"/>
      <c r="D51" s="89"/>
      <c r="E51" s="92"/>
      <c r="F51" s="92"/>
      <c r="G51" s="89"/>
      <c r="H51" s="111"/>
      <c r="I51" s="89"/>
    </row>
    <row r="52" customFormat="false" ht="12.75" hidden="false" customHeight="false" outlineLevel="0" collapsed="false">
      <c r="A52" s="89"/>
      <c r="B52" s="90"/>
      <c r="C52" s="91"/>
      <c r="D52" s="89"/>
      <c r="E52" s="92"/>
      <c r="F52" s="92"/>
      <c r="G52" s="89"/>
      <c r="H52" s="111"/>
      <c r="I52" s="89"/>
    </row>
    <row r="53" customFormat="false" ht="12.75" hidden="false" customHeight="false" outlineLevel="0" collapsed="false">
      <c r="A53" s="89" t="s">
        <v>176</v>
      </c>
      <c r="B53" s="90" t="n">
        <v>-496</v>
      </c>
      <c r="C53" s="91" t="n">
        <f aca="false">3.738+0.425</f>
        <v>4.163</v>
      </c>
      <c r="D53" s="89" t="n">
        <v>-0.0195</v>
      </c>
      <c r="E53" s="92" t="n">
        <f aca="false">+B53*C53</f>
        <v>-2064.848</v>
      </c>
      <c r="F53" s="92" t="n">
        <f aca="false">+B53*D53</f>
        <v>9.672</v>
      </c>
      <c r="G53" s="89"/>
      <c r="H53" s="111"/>
      <c r="I53" s="89"/>
    </row>
    <row r="54" customFormat="false" ht="12.75" hidden="false" customHeight="false" outlineLevel="0" collapsed="false">
      <c r="A54" s="89" t="s">
        <v>178</v>
      </c>
      <c r="B54" s="90" t="n">
        <f aca="false">ROUND(+B53/(1-0.0081)-B53,0)</f>
        <v>-4</v>
      </c>
      <c r="C54" s="91" t="n">
        <v>0</v>
      </c>
      <c r="D54" s="89" t="n">
        <v>0</v>
      </c>
      <c r="E54" s="92" t="n">
        <f aca="false">+B54*C54</f>
        <v>-0</v>
      </c>
      <c r="F54" s="92" t="n">
        <f aca="false">+B54*D54</f>
        <v>-0</v>
      </c>
      <c r="G54" s="89"/>
      <c r="H54" s="111"/>
      <c r="I54" s="89"/>
    </row>
    <row r="55" customFormat="false" ht="12.75" hidden="false" customHeight="false" outlineLevel="0" collapsed="false">
      <c r="A55" s="89" t="s">
        <v>180</v>
      </c>
      <c r="B55" s="90" t="n">
        <v>500</v>
      </c>
      <c r="C55" s="91" t="n">
        <f aca="false">3.95-0.04</f>
        <v>3.91</v>
      </c>
      <c r="D55" s="89" t="n">
        <v>0</v>
      </c>
      <c r="E55" s="92" t="n">
        <f aca="false">+B55*C55</f>
        <v>1955</v>
      </c>
      <c r="F55" s="92" t="n">
        <f aca="false">+B55*D55</f>
        <v>0</v>
      </c>
      <c r="G55" s="89"/>
      <c r="H55" s="111"/>
      <c r="I55" s="89"/>
    </row>
    <row r="56" customFormat="false" ht="12.75" hidden="false" customHeight="false" outlineLevel="0" collapsed="false">
      <c r="A56" s="112" t="s">
        <v>181</v>
      </c>
      <c r="B56" s="90" t="n">
        <f aca="false">SUM(B8:B55)</f>
        <v>39992</v>
      </c>
      <c r="C56" s="91"/>
      <c r="D56" s="89"/>
      <c r="E56" s="92" t="n">
        <f aca="false">SUM(E8:E55)</f>
        <v>143134.809</v>
      </c>
      <c r="F56" s="92" t="n">
        <f aca="false">SUM(F8:F55)</f>
        <v>125.834</v>
      </c>
      <c r="G56" s="89"/>
      <c r="H56" s="89"/>
      <c r="I56" s="89"/>
    </row>
    <row r="57" customFormat="false" ht="12.75" hidden="false" customHeight="false" outlineLevel="0" collapsed="false">
      <c r="E57" s="113"/>
      <c r="F57" s="113"/>
    </row>
    <row r="58" customFormat="false" ht="12.75" hidden="false" customHeight="false" outlineLevel="0" collapsed="false">
      <c r="E58" s="113"/>
      <c r="F58" s="113"/>
    </row>
    <row r="59" customFormat="false" ht="12.75" hidden="false" customHeight="false" outlineLevel="0" collapsed="false">
      <c r="E59" s="113"/>
      <c r="F59" s="113"/>
    </row>
    <row r="60" customFormat="false" ht="12.75" hidden="false" customHeight="false" outlineLevel="0" collapsed="false">
      <c r="E60" s="113"/>
      <c r="F60" s="113"/>
    </row>
    <row r="61" customFormat="false" ht="15.75" hidden="false" customHeight="false" outlineLevel="0" collapsed="false">
      <c r="A61" s="114" t="s">
        <v>182</v>
      </c>
      <c r="B61" s="115"/>
      <c r="C61" s="116"/>
      <c r="D61" s="117"/>
      <c r="E61" s="118"/>
      <c r="F61" s="118"/>
      <c r="G61" s="117"/>
      <c r="H61" s="117"/>
      <c r="I61" s="117"/>
    </row>
    <row r="62" customFormat="false" ht="12.75" hidden="false" customHeight="false" outlineLevel="0" collapsed="false">
      <c r="A62" s="117" t="s">
        <v>183</v>
      </c>
      <c r="B62" s="115"/>
      <c r="C62" s="116"/>
      <c r="D62" s="117"/>
      <c r="E62" s="118"/>
      <c r="F62" s="118"/>
      <c r="G62" s="117"/>
      <c r="H62" s="117"/>
      <c r="I62" s="117"/>
    </row>
    <row r="63" customFormat="false" ht="12.75" hidden="false" customHeight="false" outlineLevel="0" collapsed="false">
      <c r="A63" s="117" t="s">
        <v>184</v>
      </c>
      <c r="B63" s="115" t="n">
        <v>6081</v>
      </c>
      <c r="C63" s="116" t="n">
        <v>3.71</v>
      </c>
      <c r="D63" s="117" t="n">
        <v>-0.0125</v>
      </c>
      <c r="E63" s="118" t="n">
        <f aca="false">+B63*C63</f>
        <v>22560.51</v>
      </c>
      <c r="F63" s="118" t="n">
        <f aca="false">+B63*D63</f>
        <v>-76.0125</v>
      </c>
      <c r="G63" s="117"/>
      <c r="H63" s="117"/>
      <c r="I63" s="117"/>
    </row>
    <row r="64" customFormat="false" ht="12.75" hidden="false" customHeight="false" outlineLevel="0" collapsed="false">
      <c r="A64" s="117" t="s">
        <v>185</v>
      </c>
      <c r="B64" s="115" t="n">
        <v>12059</v>
      </c>
      <c r="C64" s="116" t="n">
        <v>3.7</v>
      </c>
      <c r="D64" s="117" t="n">
        <v>-0.0125</v>
      </c>
      <c r="E64" s="118" t="n">
        <f aca="false">+B64*C64</f>
        <v>44618.3</v>
      </c>
      <c r="F64" s="118" t="n">
        <f aca="false">+B64*D64</f>
        <v>-150.7375</v>
      </c>
      <c r="G64" s="117"/>
      <c r="H64" s="117"/>
      <c r="I64" s="117"/>
    </row>
    <row r="65" customFormat="false" ht="12.75" hidden="false" customHeight="false" outlineLevel="0" collapsed="false">
      <c r="A65" s="117" t="s">
        <v>185</v>
      </c>
      <c r="B65" s="115" t="n">
        <v>0</v>
      </c>
      <c r="C65" s="116" t="n">
        <v>0</v>
      </c>
      <c r="D65" s="117" t="n">
        <v>-0.0125</v>
      </c>
      <c r="E65" s="118" t="n">
        <f aca="false">+B65*C65</f>
        <v>0</v>
      </c>
      <c r="F65" s="118" t="n">
        <f aca="false">+B65*D65</f>
        <v>-0</v>
      </c>
      <c r="G65" s="117"/>
      <c r="H65" s="117"/>
      <c r="I65" s="117"/>
    </row>
    <row r="66" customFormat="false" ht="12.75" hidden="false" customHeight="false" outlineLevel="0" collapsed="false">
      <c r="A66" s="117"/>
      <c r="B66" s="115"/>
      <c r="C66" s="116"/>
      <c r="D66" s="117"/>
      <c r="E66" s="118"/>
      <c r="F66" s="118"/>
      <c r="G66" s="117"/>
      <c r="H66" s="117"/>
      <c r="I66" s="117"/>
    </row>
    <row r="67" customFormat="false" ht="12.75" hidden="false" customHeight="false" outlineLevel="0" collapsed="false">
      <c r="A67" s="117" t="s">
        <v>186</v>
      </c>
      <c r="B67" s="115"/>
      <c r="C67" s="116"/>
      <c r="D67" s="117"/>
      <c r="E67" s="118"/>
      <c r="F67" s="118"/>
      <c r="G67" s="117"/>
      <c r="H67" s="117"/>
      <c r="I67" s="117"/>
    </row>
    <row r="68" customFormat="false" ht="12.75" hidden="false" customHeight="false" outlineLevel="0" collapsed="false">
      <c r="A68" s="117" t="s">
        <v>38</v>
      </c>
      <c r="B68" s="115" t="n">
        <v>10000</v>
      </c>
      <c r="C68" s="116" t="n">
        <v>3.695</v>
      </c>
      <c r="D68" s="117" t="n">
        <v>-0.0125</v>
      </c>
      <c r="E68" s="118" t="n">
        <f aca="false">+B68*C68</f>
        <v>36950</v>
      </c>
      <c r="F68" s="118" t="n">
        <f aca="false">+B68*D68</f>
        <v>-125</v>
      </c>
      <c r="G68" s="117"/>
      <c r="H68" s="117"/>
      <c r="I68" s="117"/>
    </row>
    <row r="69" customFormat="false" ht="12.75" hidden="false" customHeight="false" outlineLevel="0" collapsed="false">
      <c r="A69" s="117" t="s">
        <v>97</v>
      </c>
      <c r="B69" s="115" t="n">
        <f aca="false">ROUND(+B68/(1-0.0045)-B68,0)</f>
        <v>45</v>
      </c>
      <c r="C69" s="116"/>
      <c r="D69" s="117"/>
      <c r="E69" s="118"/>
      <c r="F69" s="118"/>
      <c r="G69" s="117"/>
      <c r="H69" s="117"/>
      <c r="I69" s="117"/>
    </row>
    <row r="70" customFormat="false" ht="12.75" hidden="false" customHeight="false" outlineLevel="0" collapsed="false">
      <c r="A70" s="117" t="s">
        <v>187</v>
      </c>
      <c r="B70" s="115" t="n">
        <v>1800</v>
      </c>
      <c r="C70" s="116" t="n">
        <v>3.695</v>
      </c>
      <c r="D70" s="117" t="n">
        <v>-0.0125</v>
      </c>
      <c r="E70" s="118" t="n">
        <f aca="false">+B70*C70</f>
        <v>6651</v>
      </c>
      <c r="F70" s="118" t="n">
        <f aca="false">+B70*D70</f>
        <v>-22.5</v>
      </c>
      <c r="G70" s="117"/>
      <c r="H70" s="117"/>
      <c r="I70" s="117"/>
    </row>
    <row r="71" customFormat="false" ht="12.75" hidden="false" customHeight="false" outlineLevel="0" collapsed="false">
      <c r="A71" s="117" t="s">
        <v>97</v>
      </c>
      <c r="B71" s="115" t="n">
        <f aca="false">ROUND(+B70/(1-0.0045)-B70,0)</f>
        <v>8</v>
      </c>
      <c r="C71" s="116"/>
      <c r="D71" s="117"/>
      <c r="E71" s="118"/>
      <c r="F71" s="118"/>
      <c r="G71" s="117"/>
      <c r="H71" s="117"/>
      <c r="I71" s="117"/>
    </row>
    <row r="72" customFormat="false" ht="12.75" hidden="false" customHeight="false" outlineLevel="0" collapsed="false">
      <c r="A72" s="117" t="s">
        <v>188</v>
      </c>
      <c r="B72" s="115" t="n">
        <v>0</v>
      </c>
      <c r="C72" s="116" t="n">
        <v>0</v>
      </c>
      <c r="D72" s="117" t="n">
        <v>-0.0125</v>
      </c>
      <c r="E72" s="118" t="n">
        <f aca="false">+B72*C72</f>
        <v>0</v>
      </c>
      <c r="F72" s="118" t="n">
        <f aca="false">+B72*D72</f>
        <v>-0</v>
      </c>
      <c r="G72" s="117"/>
      <c r="H72" s="117"/>
      <c r="I72" s="117"/>
    </row>
    <row r="73" customFormat="false" ht="12.75" hidden="false" customHeight="false" outlineLevel="0" collapsed="false">
      <c r="A73" s="117" t="s">
        <v>189</v>
      </c>
      <c r="B73" s="115" t="n">
        <v>0</v>
      </c>
      <c r="C73" s="116" t="n">
        <v>0</v>
      </c>
      <c r="D73" s="117" t="n">
        <v>-0.0125</v>
      </c>
      <c r="E73" s="118" t="n">
        <f aca="false">+B73*C73</f>
        <v>0</v>
      </c>
      <c r="F73" s="118" t="n">
        <f aca="false">+B73*D73</f>
        <v>-0</v>
      </c>
      <c r="G73" s="117"/>
      <c r="H73" s="117"/>
      <c r="I73" s="117"/>
    </row>
    <row r="74" customFormat="false" ht="12.75" hidden="false" customHeight="false" outlineLevel="0" collapsed="false">
      <c r="A74" s="117"/>
      <c r="B74" s="115"/>
      <c r="C74" s="116"/>
      <c r="D74" s="117"/>
      <c r="E74" s="118"/>
      <c r="F74" s="118"/>
      <c r="G74" s="117"/>
      <c r="H74" s="117"/>
      <c r="I74" s="117"/>
    </row>
    <row r="75" customFormat="false" ht="12.75" hidden="false" customHeight="false" outlineLevel="0" collapsed="false">
      <c r="A75" s="117" t="s">
        <v>190</v>
      </c>
      <c r="B75" s="115"/>
      <c r="C75" s="116"/>
      <c r="D75" s="117"/>
      <c r="E75" s="118"/>
      <c r="F75" s="118"/>
      <c r="G75" s="117"/>
      <c r="H75" s="117"/>
      <c r="I75" s="117"/>
    </row>
    <row r="76" customFormat="false" ht="12.75" hidden="false" customHeight="false" outlineLevel="0" collapsed="false">
      <c r="A76" s="117" t="s">
        <v>191</v>
      </c>
      <c r="B76" s="115" t="n">
        <v>0</v>
      </c>
      <c r="C76" s="116" t="n">
        <v>0</v>
      </c>
      <c r="D76" s="117" t="n">
        <v>-0.0125</v>
      </c>
      <c r="E76" s="118" t="n">
        <f aca="false">+B76*C76</f>
        <v>0</v>
      </c>
      <c r="F76" s="118" t="n">
        <f aca="false">+B76*D76</f>
        <v>-0</v>
      </c>
      <c r="G76" s="117"/>
      <c r="H76" s="117"/>
      <c r="I76" s="117"/>
    </row>
    <row r="77" customFormat="false" ht="12.75" hidden="false" customHeight="false" outlineLevel="0" collapsed="false">
      <c r="A77" s="117" t="s">
        <v>191</v>
      </c>
      <c r="B77" s="115" t="n">
        <v>0</v>
      </c>
      <c r="C77" s="116" t="n">
        <v>0</v>
      </c>
      <c r="D77" s="117" t="n">
        <v>-0.0125</v>
      </c>
      <c r="E77" s="118" t="n">
        <f aca="false">+B77*C77</f>
        <v>0</v>
      </c>
      <c r="F77" s="118" t="n">
        <f aca="false">+B77*D77</f>
        <v>-0</v>
      </c>
      <c r="G77" s="117"/>
      <c r="H77" s="117"/>
      <c r="I77" s="117"/>
    </row>
    <row r="78" customFormat="false" ht="12.75" hidden="false" customHeight="false" outlineLevel="0" collapsed="false">
      <c r="A78" s="117" t="s">
        <v>191</v>
      </c>
      <c r="B78" s="115" t="n">
        <v>0</v>
      </c>
      <c r="C78" s="116" t="n">
        <v>0</v>
      </c>
      <c r="D78" s="117" t="n">
        <v>-0.0125</v>
      </c>
      <c r="E78" s="118" t="n">
        <f aca="false">+B78*C78</f>
        <v>0</v>
      </c>
      <c r="F78" s="118" t="n">
        <f aca="false">+B78*D78</f>
        <v>-0</v>
      </c>
      <c r="G78" s="117"/>
      <c r="H78" s="117"/>
      <c r="I78" s="117"/>
    </row>
    <row r="79" customFormat="false" ht="12.75" hidden="false" customHeight="false" outlineLevel="0" collapsed="false">
      <c r="A79" s="117" t="s">
        <v>192</v>
      </c>
      <c r="B79" s="115" t="n">
        <v>0</v>
      </c>
      <c r="C79" s="116" t="n">
        <v>0</v>
      </c>
      <c r="D79" s="117" t="n">
        <v>-0.0125</v>
      </c>
      <c r="E79" s="118" t="n">
        <f aca="false">+B79*C79</f>
        <v>0</v>
      </c>
      <c r="F79" s="118" t="n">
        <f aca="false">+B79*D79</f>
        <v>-0</v>
      </c>
      <c r="G79" s="117"/>
      <c r="H79" s="117"/>
      <c r="I79" s="117"/>
    </row>
    <row r="80" customFormat="false" ht="12.75" hidden="false" customHeight="false" outlineLevel="0" collapsed="false">
      <c r="A80" s="117" t="s">
        <v>192</v>
      </c>
      <c r="B80" s="115" t="n">
        <v>0</v>
      </c>
      <c r="C80" s="116" t="n">
        <v>0</v>
      </c>
      <c r="D80" s="117" t="n">
        <v>-0.0125</v>
      </c>
      <c r="E80" s="118" t="n">
        <f aca="false">+B80*C80</f>
        <v>0</v>
      </c>
      <c r="F80" s="118" t="n">
        <f aca="false">+B80*D80</f>
        <v>-0</v>
      </c>
      <c r="G80" s="117"/>
      <c r="H80" s="117"/>
      <c r="I80" s="117"/>
    </row>
    <row r="81" customFormat="false" ht="12.75" hidden="false" customHeight="false" outlineLevel="0" collapsed="false">
      <c r="A81" s="117" t="s">
        <v>192</v>
      </c>
      <c r="B81" s="115" t="n">
        <v>0</v>
      </c>
      <c r="C81" s="116" t="n">
        <v>0</v>
      </c>
      <c r="D81" s="117" t="n">
        <v>-0.0125</v>
      </c>
      <c r="E81" s="118" t="n">
        <f aca="false">+B81*C81</f>
        <v>0</v>
      </c>
      <c r="F81" s="118" t="n">
        <f aca="false">+B81*D81</f>
        <v>-0</v>
      </c>
      <c r="G81" s="117"/>
      <c r="H81" s="117"/>
      <c r="I81" s="117"/>
    </row>
    <row r="82" customFormat="false" ht="12.75" hidden="false" customHeight="false" outlineLevel="0" collapsed="false">
      <c r="A82" s="117"/>
      <c r="B82" s="115"/>
      <c r="C82" s="116"/>
      <c r="D82" s="117"/>
      <c r="E82" s="118"/>
      <c r="F82" s="118"/>
      <c r="G82" s="117"/>
      <c r="H82" s="117"/>
      <c r="I82" s="117"/>
    </row>
    <row r="83" customFormat="false" ht="12.75" hidden="false" customHeight="false" outlineLevel="0" collapsed="false">
      <c r="A83" s="117"/>
      <c r="B83" s="115"/>
      <c r="C83" s="116"/>
      <c r="D83" s="117"/>
      <c r="E83" s="118"/>
      <c r="F83" s="118"/>
      <c r="G83" s="117"/>
      <c r="H83" s="117"/>
      <c r="I83" s="117"/>
    </row>
    <row r="84" customFormat="false" ht="13.5" hidden="false" customHeight="false" outlineLevel="0" collapsed="false">
      <c r="A84" s="117"/>
      <c r="B84" s="115"/>
      <c r="C84" s="116"/>
      <c r="D84" s="117"/>
      <c r="E84" s="118"/>
      <c r="F84" s="118"/>
      <c r="G84" s="117"/>
      <c r="H84" s="117"/>
      <c r="I84" s="117"/>
    </row>
    <row r="85" customFormat="false" ht="12.75" hidden="false" customHeight="false" outlineLevel="0" collapsed="false">
      <c r="A85" s="119" t="s">
        <v>193</v>
      </c>
      <c r="B85" s="120" t="n">
        <v>0</v>
      </c>
      <c r="C85" s="121" t="n">
        <v>0</v>
      </c>
      <c r="D85" s="122" t="n">
        <v>0</v>
      </c>
      <c r="E85" s="123" t="n">
        <f aca="false">+B85*C85</f>
        <v>0</v>
      </c>
      <c r="F85" s="123" t="n">
        <f aca="false">+B85*D85</f>
        <v>0</v>
      </c>
      <c r="G85" s="122"/>
      <c r="H85" s="122"/>
      <c r="I85" s="124"/>
    </row>
    <row r="86" customFormat="false" ht="12.75" hidden="false" customHeight="false" outlineLevel="0" collapsed="false">
      <c r="A86" s="125"/>
      <c r="B86" s="115" t="n">
        <v>0</v>
      </c>
      <c r="C86" s="116" t="n">
        <v>0</v>
      </c>
      <c r="D86" s="126" t="n">
        <v>0</v>
      </c>
      <c r="E86" s="118" t="n">
        <f aca="false">+B86*C86</f>
        <v>0</v>
      </c>
      <c r="F86" s="118" t="n">
        <f aca="false">+B86*D86</f>
        <v>0</v>
      </c>
      <c r="G86" s="126"/>
      <c r="H86" s="126"/>
      <c r="I86" s="127"/>
    </row>
    <row r="87" customFormat="false" ht="12.75" hidden="false" customHeight="false" outlineLevel="0" collapsed="false">
      <c r="A87" s="128" t="s">
        <v>194</v>
      </c>
      <c r="B87" s="129" t="n">
        <f aca="false">SUM(B85:B86)</f>
        <v>0</v>
      </c>
      <c r="C87" s="116"/>
      <c r="D87" s="126"/>
      <c r="E87" s="118"/>
      <c r="F87" s="118"/>
      <c r="G87" s="126"/>
      <c r="H87" s="126"/>
      <c r="I87" s="127"/>
    </row>
    <row r="88" customFormat="false" ht="12.75" hidden="false" customHeight="false" outlineLevel="0" collapsed="false">
      <c r="A88" s="125"/>
      <c r="B88" s="115"/>
      <c r="C88" s="116"/>
      <c r="D88" s="126"/>
      <c r="E88" s="118"/>
      <c r="F88" s="118"/>
      <c r="G88" s="126"/>
      <c r="H88" s="126" t="s">
        <v>195</v>
      </c>
      <c r="I88" s="127"/>
    </row>
    <row r="89" customFormat="false" ht="12.75" hidden="false" customHeight="false" outlineLevel="0" collapsed="false">
      <c r="A89" s="125" t="s">
        <v>196</v>
      </c>
      <c r="B89" s="115" t="n">
        <v>0</v>
      </c>
      <c r="C89" s="115" t="n">
        <f aca="false">ROUND(+B89/(1-0.0307)-B89,0)</f>
        <v>0</v>
      </c>
      <c r="D89" s="126" t="n">
        <v>-0.0118</v>
      </c>
      <c r="E89" s="118"/>
      <c r="F89" s="118" t="n">
        <f aca="false">+D89*B89</f>
        <v>-0</v>
      </c>
      <c r="G89" s="126"/>
      <c r="H89" s="126" t="n">
        <v>637172</v>
      </c>
      <c r="I89" s="127"/>
    </row>
    <row r="90" customFormat="false" ht="12.75" hidden="false" customHeight="false" outlineLevel="0" collapsed="false">
      <c r="A90" s="125" t="s">
        <v>197</v>
      </c>
      <c r="B90" s="115" t="n">
        <v>0</v>
      </c>
      <c r="C90" s="115" t="n">
        <f aca="false">ROUND(+B90/(1-0.0734)-B90,0)</f>
        <v>0</v>
      </c>
      <c r="D90" s="126" t="n">
        <v>-0.0539</v>
      </c>
      <c r="E90" s="118"/>
      <c r="F90" s="118" t="n">
        <f aca="false">+D90*B90</f>
        <v>-0</v>
      </c>
      <c r="G90" s="126"/>
      <c r="H90" s="126"/>
      <c r="I90" s="127"/>
    </row>
    <row r="91" customFormat="false" ht="12.75" hidden="false" customHeight="false" outlineLevel="0" collapsed="false">
      <c r="A91" s="125" t="s">
        <v>198</v>
      </c>
      <c r="B91" s="115" t="n">
        <v>0</v>
      </c>
      <c r="C91" s="115" t="n">
        <f aca="false">ROUND(+B91/(1-0.0707)-B91,0)</f>
        <v>0</v>
      </c>
      <c r="D91" s="126" t="n">
        <v>-0.0523</v>
      </c>
      <c r="E91" s="118"/>
      <c r="F91" s="118" t="n">
        <f aca="false">+D91*B91</f>
        <v>-0</v>
      </c>
      <c r="G91" s="126"/>
      <c r="H91" s="126"/>
      <c r="I91" s="127"/>
    </row>
    <row r="92" customFormat="false" ht="12.75" hidden="false" customHeight="false" outlineLevel="0" collapsed="false">
      <c r="A92" s="125" t="s">
        <v>199</v>
      </c>
      <c r="B92" s="115" t="n">
        <v>0</v>
      </c>
      <c r="C92" s="115" t="n">
        <f aca="false">ROUND(+B92/(1-0.0707)-B92,0)</f>
        <v>0</v>
      </c>
      <c r="D92" s="126" t="n">
        <v>-0.0523</v>
      </c>
      <c r="E92" s="118"/>
      <c r="F92" s="118" t="n">
        <f aca="false">+D92*B92</f>
        <v>-0</v>
      </c>
      <c r="G92" s="126"/>
      <c r="H92" s="126"/>
      <c r="I92" s="127"/>
    </row>
    <row r="93" customFormat="false" ht="12.75" hidden="false" customHeight="false" outlineLevel="0" collapsed="false">
      <c r="A93" s="125"/>
      <c r="B93" s="115" t="n">
        <f aca="false">SUM(B89:B92)</f>
        <v>0</v>
      </c>
      <c r="C93" s="115" t="n">
        <f aca="false">SUM(C89:C92)</f>
        <v>0</v>
      </c>
      <c r="D93" s="126"/>
      <c r="E93" s="118"/>
      <c r="F93" s="118"/>
      <c r="G93" s="126"/>
      <c r="H93" s="126"/>
      <c r="I93" s="127"/>
    </row>
    <row r="94" customFormat="false" ht="12.75" hidden="false" customHeight="false" outlineLevel="0" collapsed="false">
      <c r="A94" s="125"/>
      <c r="B94" s="129" t="n">
        <f aca="false">+B93+C93</f>
        <v>0</v>
      </c>
      <c r="C94" s="116"/>
      <c r="D94" s="126"/>
      <c r="E94" s="118"/>
      <c r="F94" s="118"/>
      <c r="G94" s="126"/>
      <c r="H94" s="126"/>
      <c r="I94" s="127"/>
    </row>
    <row r="95" customFormat="false" ht="13.5" hidden="false" customHeight="false" outlineLevel="0" collapsed="false">
      <c r="A95" s="130"/>
      <c r="B95" s="131"/>
      <c r="C95" s="132"/>
      <c r="D95" s="133"/>
      <c r="E95" s="134"/>
      <c r="F95" s="134"/>
      <c r="G95" s="133"/>
      <c r="H95" s="133"/>
      <c r="I95" s="135"/>
    </row>
    <row r="96" customFormat="false" ht="12.75" hidden="false" customHeight="false" outlineLevel="0" collapsed="false">
      <c r="A96" s="117"/>
      <c r="B96" s="115"/>
      <c r="C96" s="116"/>
      <c r="D96" s="117"/>
      <c r="E96" s="118"/>
      <c r="F96" s="118"/>
      <c r="G96" s="117"/>
      <c r="H96" s="117"/>
      <c r="I96" s="117"/>
    </row>
    <row r="97" customFormat="false" ht="13.5" hidden="false" customHeight="false" outlineLevel="0" collapsed="false">
      <c r="A97" s="117"/>
      <c r="B97" s="115"/>
      <c r="C97" s="116"/>
      <c r="D97" s="117"/>
      <c r="E97" s="118"/>
      <c r="F97" s="118"/>
      <c r="G97" s="117"/>
      <c r="H97" s="117"/>
      <c r="I97" s="117"/>
    </row>
    <row r="98" customFormat="false" ht="12.75" hidden="false" customHeight="false" outlineLevel="0" collapsed="false">
      <c r="A98" s="119" t="s">
        <v>200</v>
      </c>
      <c r="B98" s="120" t="n">
        <v>0</v>
      </c>
      <c r="C98" s="121" t="n">
        <v>0</v>
      </c>
      <c r="D98" s="122" t="n">
        <v>0</v>
      </c>
      <c r="E98" s="123" t="n">
        <f aca="false">+B98*C98</f>
        <v>0</v>
      </c>
      <c r="F98" s="123" t="n">
        <f aca="false">+B98*D98</f>
        <v>0</v>
      </c>
      <c r="G98" s="122"/>
      <c r="H98" s="122"/>
      <c r="I98" s="124"/>
    </row>
    <row r="99" customFormat="false" ht="12.75" hidden="false" customHeight="false" outlineLevel="0" collapsed="false">
      <c r="A99" s="125" t="s">
        <v>201</v>
      </c>
      <c r="B99" s="115" t="n">
        <v>0</v>
      </c>
      <c r="C99" s="116" t="n">
        <v>0</v>
      </c>
      <c r="D99" s="126" t="n">
        <v>0</v>
      </c>
      <c r="E99" s="118" t="n">
        <f aca="false">+B99*C99</f>
        <v>0</v>
      </c>
      <c r="F99" s="118" t="n">
        <f aca="false">+B99*D99</f>
        <v>0</v>
      </c>
      <c r="G99" s="126"/>
      <c r="H99" s="126"/>
      <c r="I99" s="127"/>
    </row>
    <row r="100" customFormat="false" ht="12.75" hidden="false" customHeight="false" outlineLevel="0" collapsed="false">
      <c r="A100" s="128" t="s">
        <v>202</v>
      </c>
      <c r="B100" s="129" t="n">
        <f aca="false">SUM(B98:B99)</f>
        <v>0</v>
      </c>
      <c r="C100" s="116"/>
      <c r="D100" s="126"/>
      <c r="E100" s="118"/>
      <c r="F100" s="118"/>
      <c r="G100" s="126"/>
      <c r="H100" s="126"/>
      <c r="I100" s="127"/>
    </row>
    <row r="101" customFormat="false" ht="12.75" hidden="false" customHeight="false" outlineLevel="0" collapsed="false">
      <c r="A101" s="125"/>
      <c r="B101" s="115"/>
      <c r="C101" s="116"/>
      <c r="D101" s="126"/>
      <c r="E101" s="118"/>
      <c r="F101" s="118"/>
      <c r="G101" s="126"/>
      <c r="H101" s="126" t="s">
        <v>195</v>
      </c>
      <c r="I101" s="127"/>
    </row>
    <row r="102" customFormat="false" ht="12.75" hidden="false" customHeight="false" outlineLevel="0" collapsed="false">
      <c r="A102" s="125" t="s">
        <v>196</v>
      </c>
      <c r="B102" s="115" t="n">
        <v>0</v>
      </c>
      <c r="C102" s="115" t="n">
        <f aca="false">ROUND(+B102/(1-0.0795)-B102,0)</f>
        <v>0</v>
      </c>
      <c r="D102" s="126" t="n">
        <v>-0.0576</v>
      </c>
      <c r="E102" s="118"/>
      <c r="F102" s="118" t="n">
        <f aca="false">+D102*B102</f>
        <v>-0</v>
      </c>
      <c r="G102" s="126"/>
      <c r="H102" s="126" t="n">
        <v>640171</v>
      </c>
      <c r="I102" s="127"/>
    </row>
    <row r="103" customFormat="false" ht="12.75" hidden="false" customHeight="false" outlineLevel="0" collapsed="false">
      <c r="A103" s="125" t="s">
        <v>197</v>
      </c>
      <c r="B103" s="115" t="n">
        <v>0</v>
      </c>
      <c r="C103" s="115" t="n">
        <f aca="false">ROUND(+B103/(1-0.0734)-B103,0)</f>
        <v>0</v>
      </c>
      <c r="D103" s="126" t="n">
        <v>-0.0539</v>
      </c>
      <c r="E103" s="118"/>
      <c r="F103" s="118" t="n">
        <f aca="false">+D103*B103</f>
        <v>-0</v>
      </c>
      <c r="G103" s="126"/>
      <c r="H103" s="126" t="n">
        <v>640179</v>
      </c>
      <c r="I103" s="127"/>
    </row>
    <row r="104" customFormat="false" ht="12.75" hidden="false" customHeight="false" outlineLevel="0" collapsed="false">
      <c r="A104" s="125" t="s">
        <v>203</v>
      </c>
      <c r="B104" s="115" t="n">
        <v>0</v>
      </c>
      <c r="C104" s="115" t="n">
        <f aca="false">ROUND(+B104/(1-0.0707)-B104,0)</f>
        <v>0</v>
      </c>
      <c r="D104" s="126" t="n">
        <v>-0.0523</v>
      </c>
      <c r="E104" s="118"/>
      <c r="F104" s="118" t="n">
        <f aca="false">+D104*B104</f>
        <v>-0</v>
      </c>
      <c r="G104" s="126"/>
      <c r="H104" s="126" t="n">
        <v>637224</v>
      </c>
      <c r="I104" s="127"/>
    </row>
    <row r="105" customFormat="false" ht="12.75" hidden="false" customHeight="false" outlineLevel="0" collapsed="false">
      <c r="A105" s="125" t="s">
        <v>199</v>
      </c>
      <c r="B105" s="115" t="n">
        <v>0</v>
      </c>
      <c r="C105" s="115" t="n">
        <f aca="false">ROUND(+B105/(1-0.0707)-B105,0)</f>
        <v>0</v>
      </c>
      <c r="D105" s="126" t="n">
        <v>-0.0523</v>
      </c>
      <c r="E105" s="118"/>
      <c r="F105" s="118" t="n">
        <f aca="false">+D105*B105</f>
        <v>-0</v>
      </c>
      <c r="G105" s="126"/>
      <c r="H105" s="126" t="n">
        <v>640151</v>
      </c>
      <c r="I105" s="127"/>
    </row>
    <row r="106" customFormat="false" ht="12.75" hidden="false" customHeight="false" outlineLevel="0" collapsed="false">
      <c r="A106" s="125" t="s">
        <v>204</v>
      </c>
      <c r="B106" s="115" t="n">
        <v>0</v>
      </c>
      <c r="C106" s="115" t="n">
        <f aca="false">ROUND(+B106/(1-0.0416)-B106,0)</f>
        <v>0</v>
      </c>
      <c r="D106" s="126" t="n">
        <v>-0.0366</v>
      </c>
      <c r="E106" s="118"/>
      <c r="F106" s="118" t="n">
        <f aca="false">+D106*B106</f>
        <v>-0</v>
      </c>
      <c r="G106" s="126"/>
      <c r="H106" s="126"/>
      <c r="I106" s="127"/>
    </row>
    <row r="107" customFormat="false" ht="12.75" hidden="false" customHeight="false" outlineLevel="0" collapsed="false">
      <c r="A107" s="125" t="s">
        <v>205</v>
      </c>
      <c r="B107" s="115" t="n">
        <v>0</v>
      </c>
      <c r="C107" s="115" t="n">
        <f aca="false">ROUND(+B107/(1-0.0795)-B107,0)</f>
        <v>0</v>
      </c>
      <c r="D107" s="126" t="n">
        <v>-0.1322</v>
      </c>
      <c r="E107" s="118"/>
      <c r="F107" s="118" t="n">
        <f aca="false">+D107*B107</f>
        <v>-0</v>
      </c>
      <c r="G107" s="126"/>
      <c r="H107" s="126" t="n">
        <v>712266</v>
      </c>
      <c r="I107" s="127"/>
    </row>
    <row r="108" customFormat="false" ht="12.75" hidden="false" customHeight="false" outlineLevel="0" collapsed="false">
      <c r="A108" s="125" t="s">
        <v>206</v>
      </c>
      <c r="B108" s="115"/>
      <c r="C108" s="115" t="n">
        <f aca="false">ROUND(+B108/(1-0.0734)-B108,0)</f>
        <v>0</v>
      </c>
      <c r="D108" s="126"/>
      <c r="E108" s="118"/>
      <c r="F108" s="118" t="n">
        <f aca="false">+D108*B108</f>
        <v>0</v>
      </c>
      <c r="G108" s="126"/>
      <c r="H108" s="126"/>
      <c r="I108" s="127"/>
    </row>
    <row r="109" customFormat="false" ht="12.75" hidden="false" customHeight="false" outlineLevel="0" collapsed="false">
      <c r="A109" s="125" t="s">
        <v>207</v>
      </c>
      <c r="B109" s="115"/>
      <c r="C109" s="115" t="n">
        <f aca="false">ROUND(+B109/(1-0.0707)-B109,0)</f>
        <v>0</v>
      </c>
      <c r="D109" s="126"/>
      <c r="E109" s="118"/>
      <c r="F109" s="118" t="n">
        <f aca="false">+D109*B109</f>
        <v>0</v>
      </c>
      <c r="G109" s="126"/>
      <c r="H109" s="126" t="n">
        <v>705541</v>
      </c>
      <c r="I109" s="127"/>
    </row>
    <row r="110" customFormat="false" ht="12.75" hidden="false" customHeight="false" outlineLevel="0" collapsed="false">
      <c r="A110" s="125" t="s">
        <v>208</v>
      </c>
      <c r="B110" s="115"/>
      <c r="C110" s="115" t="n">
        <f aca="false">ROUND(+B110/(1-0.0707)-B110,0)</f>
        <v>0</v>
      </c>
      <c r="D110" s="126"/>
      <c r="E110" s="118"/>
      <c r="F110" s="118" t="n">
        <f aca="false">+D110*B110</f>
        <v>0</v>
      </c>
      <c r="G110" s="126"/>
      <c r="H110" s="126" t="n">
        <v>705238</v>
      </c>
      <c r="I110" s="127"/>
    </row>
    <row r="111" customFormat="false" ht="12.75" hidden="false" customHeight="false" outlineLevel="0" collapsed="false">
      <c r="A111" s="125"/>
      <c r="B111" s="115" t="n">
        <f aca="false">SUM(B102:B110)</f>
        <v>0</v>
      </c>
      <c r="C111" s="115" t="n">
        <f aca="false">SUM(C102:C110)</f>
        <v>0</v>
      </c>
      <c r="D111" s="126"/>
      <c r="E111" s="118"/>
      <c r="F111" s="118"/>
      <c r="G111" s="126"/>
      <c r="H111" s="126"/>
      <c r="I111" s="127"/>
    </row>
    <row r="112" customFormat="false" ht="13.5" hidden="false" customHeight="false" outlineLevel="0" collapsed="false">
      <c r="A112" s="130"/>
      <c r="B112" s="136" t="n">
        <f aca="false">+B111+C111</f>
        <v>0</v>
      </c>
      <c r="C112" s="132"/>
      <c r="D112" s="133"/>
      <c r="E112" s="134"/>
      <c r="F112" s="134"/>
      <c r="G112" s="133"/>
      <c r="H112" s="133"/>
      <c r="I112" s="135"/>
    </row>
    <row r="113" customFormat="false" ht="12.75" hidden="false" customHeight="false" outlineLevel="0" collapsed="false">
      <c r="A113" s="117"/>
      <c r="B113" s="115"/>
      <c r="C113" s="116"/>
      <c r="D113" s="117"/>
      <c r="E113" s="118"/>
      <c r="F113" s="118"/>
      <c r="G113" s="117"/>
      <c r="H113" s="117"/>
      <c r="I113" s="117"/>
    </row>
    <row r="114" customFormat="false" ht="13.5" hidden="false" customHeight="false" outlineLevel="0" collapsed="false">
      <c r="A114" s="117"/>
      <c r="B114" s="115"/>
      <c r="C114" s="116"/>
      <c r="D114" s="117"/>
      <c r="E114" s="118"/>
      <c r="F114" s="118"/>
      <c r="G114" s="117"/>
      <c r="H114" s="117"/>
      <c r="I114" s="117"/>
    </row>
    <row r="115" customFormat="false" ht="12.75" hidden="false" customHeight="false" outlineLevel="0" collapsed="false">
      <c r="A115" s="119" t="s">
        <v>209</v>
      </c>
      <c r="B115" s="120" t="n">
        <v>5000</v>
      </c>
      <c r="C115" s="121" t="n">
        <v>4.24</v>
      </c>
      <c r="D115" s="122" t="n">
        <v>0</v>
      </c>
      <c r="E115" s="123" t="n">
        <f aca="false">+B115*C115</f>
        <v>21200</v>
      </c>
      <c r="F115" s="123" t="n">
        <f aca="false">+B115*D115</f>
        <v>0</v>
      </c>
      <c r="G115" s="122"/>
      <c r="H115" s="122"/>
      <c r="I115" s="124"/>
    </row>
    <row r="116" customFormat="false" ht="12.75" hidden="false" customHeight="false" outlineLevel="0" collapsed="false">
      <c r="A116" s="125" t="s">
        <v>210</v>
      </c>
      <c r="B116" s="115" t="n">
        <v>-5000</v>
      </c>
      <c r="C116" s="116" t="n">
        <v>4.5675</v>
      </c>
      <c r="D116" s="126" t="n">
        <v>0</v>
      </c>
      <c r="E116" s="118" t="n">
        <f aca="false">+B116*C116</f>
        <v>-22837.5</v>
      </c>
      <c r="F116" s="118" t="n">
        <f aca="false">+B116*D116</f>
        <v>-0</v>
      </c>
      <c r="G116" s="126"/>
      <c r="H116" s="126"/>
      <c r="I116" s="127"/>
    </row>
    <row r="117" customFormat="false" ht="12.75" hidden="false" customHeight="false" outlineLevel="0" collapsed="false">
      <c r="A117" s="125" t="s">
        <v>210</v>
      </c>
      <c r="B117" s="115" t="n">
        <v>5000</v>
      </c>
      <c r="C117" s="116" t="n">
        <v>4.6975</v>
      </c>
      <c r="D117" s="126" t="n">
        <v>0</v>
      </c>
      <c r="E117" s="118" t="n">
        <f aca="false">+B117*C117</f>
        <v>23487.5</v>
      </c>
      <c r="F117" s="118" t="n">
        <f aca="false">+B117*D117</f>
        <v>0</v>
      </c>
      <c r="G117" s="126"/>
      <c r="H117" s="126"/>
      <c r="I117" s="127"/>
    </row>
    <row r="118" customFormat="false" ht="12.75" hidden="false" customHeight="false" outlineLevel="0" collapsed="false">
      <c r="A118" s="125" t="s">
        <v>211</v>
      </c>
      <c r="B118" s="115" t="n">
        <v>-5000</v>
      </c>
      <c r="C118" s="116" t="n">
        <v>3.93</v>
      </c>
      <c r="D118" s="126" t="n">
        <v>0</v>
      </c>
      <c r="E118" s="118" t="n">
        <f aca="false">+B118*C118</f>
        <v>-19650</v>
      </c>
      <c r="F118" s="118" t="n">
        <f aca="false">+B118*D118</f>
        <v>-0</v>
      </c>
      <c r="G118" s="126"/>
      <c r="H118" s="126"/>
      <c r="I118" s="127"/>
    </row>
    <row r="119" customFormat="false" ht="12.75" hidden="false" customHeight="false" outlineLevel="0" collapsed="false">
      <c r="A119" s="125" t="s">
        <v>212</v>
      </c>
      <c r="B119" s="115" t="n">
        <v>9495</v>
      </c>
      <c r="C119" s="116" t="n">
        <v>4.11</v>
      </c>
      <c r="D119" s="126" t="n">
        <v>0</v>
      </c>
      <c r="E119" s="118" t="n">
        <f aca="false">+B119*C119</f>
        <v>39024.45</v>
      </c>
      <c r="F119" s="118" t="n">
        <f aca="false">+B119*D119</f>
        <v>0</v>
      </c>
      <c r="G119" s="126"/>
      <c r="H119" s="126"/>
      <c r="I119" s="127"/>
    </row>
    <row r="120" customFormat="false" ht="12.75" hidden="false" customHeight="false" outlineLevel="0" collapsed="false">
      <c r="A120" s="125" t="s">
        <v>213</v>
      </c>
      <c r="B120" s="115" t="n">
        <v>0</v>
      </c>
      <c r="C120" s="116" t="n">
        <v>0</v>
      </c>
      <c r="D120" s="126" t="n">
        <v>0</v>
      </c>
      <c r="E120" s="118" t="n">
        <f aca="false">+B120*C120</f>
        <v>0</v>
      </c>
      <c r="F120" s="118" t="n">
        <f aca="false">+B120*D120</f>
        <v>0</v>
      </c>
      <c r="G120" s="126"/>
      <c r="H120" s="126"/>
      <c r="I120" s="127"/>
    </row>
    <row r="121" customFormat="false" ht="12.75" hidden="false" customHeight="false" outlineLevel="0" collapsed="false">
      <c r="A121" s="128" t="s">
        <v>214</v>
      </c>
      <c r="B121" s="129" t="n">
        <f aca="false">SUM(B115:B120)</f>
        <v>9495</v>
      </c>
      <c r="C121" s="116"/>
      <c r="D121" s="126"/>
      <c r="E121" s="118"/>
      <c r="F121" s="118"/>
      <c r="G121" s="126"/>
      <c r="H121" s="126"/>
      <c r="I121" s="127"/>
    </row>
    <row r="122" customFormat="false" ht="12.75" hidden="false" customHeight="false" outlineLevel="0" collapsed="false">
      <c r="A122" s="125"/>
      <c r="B122" s="115"/>
      <c r="C122" s="116"/>
      <c r="D122" s="126"/>
      <c r="E122" s="118"/>
      <c r="F122" s="118"/>
      <c r="G122" s="126"/>
      <c r="H122" s="126"/>
      <c r="I122" s="127"/>
    </row>
    <row r="123" customFormat="false" ht="12.75" hidden="false" customHeight="false" outlineLevel="0" collapsed="false">
      <c r="A123" s="125" t="s">
        <v>215</v>
      </c>
      <c r="B123" s="115" t="n">
        <v>0</v>
      </c>
      <c r="C123" s="115" t="n">
        <f aca="false">ROUND(+B123/(1-0.0884)-B123,0)</f>
        <v>0</v>
      </c>
      <c r="D123" s="126" t="n">
        <v>-0.0715</v>
      </c>
      <c r="E123" s="118"/>
      <c r="F123" s="118" t="n">
        <f aca="false">+D123*B123</f>
        <v>-0</v>
      </c>
      <c r="G123" s="126"/>
      <c r="H123" s="126" t="n">
        <v>640165</v>
      </c>
      <c r="I123" s="127"/>
    </row>
    <row r="124" customFormat="false" ht="12.75" hidden="false" customHeight="false" outlineLevel="0" collapsed="false">
      <c r="A124" s="125" t="s">
        <v>197</v>
      </c>
      <c r="B124" s="115" t="n">
        <v>0</v>
      </c>
      <c r="C124" s="115" t="n">
        <f aca="false">ROUND(+B124/(1-0.0823)-B124,0)</f>
        <v>0</v>
      </c>
      <c r="D124" s="126" t="n">
        <v>-0.0678</v>
      </c>
      <c r="E124" s="118"/>
      <c r="F124" s="118" t="n">
        <f aca="false">+D124*B124</f>
        <v>-0</v>
      </c>
      <c r="G124" s="126"/>
      <c r="H124" s="126" t="n">
        <v>735047</v>
      </c>
      <c r="I124" s="127"/>
    </row>
    <row r="125" customFormat="false" ht="12.75" hidden="false" customHeight="false" outlineLevel="0" collapsed="false">
      <c r="A125" s="125" t="s">
        <v>198</v>
      </c>
      <c r="B125" s="115" t="n">
        <v>0</v>
      </c>
      <c r="C125" s="115" t="n">
        <f aca="false">ROUND(+B125/(1-0.0796)-B125,0)</f>
        <v>0</v>
      </c>
      <c r="D125" s="126" t="n">
        <v>-0.0662</v>
      </c>
      <c r="E125" s="118"/>
      <c r="F125" s="118" t="n">
        <f aca="false">+D125*B125</f>
        <v>-0</v>
      </c>
      <c r="G125" s="126"/>
      <c r="H125" s="126" t="n">
        <v>637220</v>
      </c>
      <c r="I125" s="127"/>
    </row>
    <row r="126" customFormat="false" ht="12.75" hidden="false" customHeight="false" outlineLevel="0" collapsed="false">
      <c r="A126" s="125" t="s">
        <v>199</v>
      </c>
      <c r="B126" s="115" t="n">
        <v>0</v>
      </c>
      <c r="C126" s="115" t="n">
        <f aca="false">ROUND(+B126/(1-0.0796)-B126,0)</f>
        <v>0</v>
      </c>
      <c r="D126" s="126" t="n">
        <v>-0.1016</v>
      </c>
      <c r="E126" s="118"/>
      <c r="F126" s="118" t="n">
        <f aca="false">+D126*B126</f>
        <v>-0</v>
      </c>
      <c r="G126" s="126"/>
      <c r="H126" s="137" t="n">
        <v>821199</v>
      </c>
      <c r="I126" s="127"/>
    </row>
    <row r="127" customFormat="false" ht="12.75" hidden="false" customHeight="false" outlineLevel="0" collapsed="false">
      <c r="A127" s="125" t="s">
        <v>204</v>
      </c>
      <c r="B127" s="115" t="n">
        <v>9495</v>
      </c>
      <c r="C127" s="115" t="n">
        <f aca="false">ROUND(+B127/(1-0.0505)-B127,0)</f>
        <v>505</v>
      </c>
      <c r="D127" s="126" t="n">
        <v>-0.0814</v>
      </c>
      <c r="E127" s="118"/>
      <c r="F127" s="118" t="n">
        <f aca="false">+D127*B127</f>
        <v>-772.893</v>
      </c>
      <c r="G127" s="126"/>
      <c r="H127" s="137" t="n">
        <v>640187</v>
      </c>
      <c r="I127" s="127"/>
    </row>
    <row r="128" customFormat="false" ht="12.75" hidden="false" customHeight="false" outlineLevel="0" collapsed="false">
      <c r="A128" s="138" t="s">
        <v>216</v>
      </c>
      <c r="B128" s="115" t="n">
        <v>0</v>
      </c>
      <c r="C128" s="115" t="n">
        <f aca="false">ROUND(+B128/(1-0.0831)-B128,0)</f>
        <v>0</v>
      </c>
      <c r="D128" s="126" t="n">
        <v>-0.0632</v>
      </c>
      <c r="E128" s="118"/>
      <c r="F128" s="118" t="n">
        <f aca="false">+D128*B128</f>
        <v>-0</v>
      </c>
      <c r="G128" s="126"/>
      <c r="H128" s="126" t="n">
        <v>749874</v>
      </c>
      <c r="I128" s="127"/>
    </row>
    <row r="129" customFormat="false" ht="12.75" hidden="false" customHeight="false" outlineLevel="0" collapsed="false">
      <c r="A129" s="138" t="s">
        <v>217</v>
      </c>
      <c r="B129" s="115" t="n">
        <v>0</v>
      </c>
      <c r="C129" s="115" t="n">
        <f aca="false">ROUND(+B129/(1-0.077)-B129,0)</f>
        <v>0</v>
      </c>
      <c r="D129" s="126" t="n">
        <v>-0.0595</v>
      </c>
      <c r="E129" s="118"/>
      <c r="F129" s="118" t="n">
        <f aca="false">+D129*B129</f>
        <v>-0</v>
      </c>
      <c r="G129" s="126"/>
      <c r="H129" s="126" t="n">
        <v>749875</v>
      </c>
      <c r="I129" s="127"/>
    </row>
    <row r="130" customFormat="false" ht="12.75" hidden="false" customHeight="false" outlineLevel="0" collapsed="false">
      <c r="A130" s="138" t="s">
        <v>218</v>
      </c>
      <c r="B130" s="115" t="n">
        <v>0</v>
      </c>
      <c r="C130" s="115" t="n">
        <f aca="false">ROUND(+B130/(1-0.0743)-B130,0)</f>
        <v>0</v>
      </c>
      <c r="D130" s="126" t="n">
        <v>-0.0578</v>
      </c>
      <c r="E130" s="118"/>
      <c r="F130" s="118" t="n">
        <f aca="false">+D130*B130</f>
        <v>-0</v>
      </c>
      <c r="G130" s="126"/>
      <c r="H130" s="126" t="n">
        <v>749877</v>
      </c>
      <c r="I130" s="127"/>
    </row>
    <row r="131" customFormat="false" ht="12.75" hidden="false" customHeight="false" outlineLevel="0" collapsed="false">
      <c r="A131" s="138" t="s">
        <v>219</v>
      </c>
      <c r="B131" s="115" t="n">
        <v>0</v>
      </c>
      <c r="C131" s="115" t="n">
        <f aca="false">ROUND(+B131/(1-0.0743)-B131,0)</f>
        <v>0</v>
      </c>
      <c r="D131" s="126" t="n">
        <v>-0.0578</v>
      </c>
      <c r="E131" s="118"/>
      <c r="F131" s="118" t="n">
        <f aca="false">+D131*B131</f>
        <v>-0</v>
      </c>
      <c r="G131" s="126"/>
      <c r="H131" s="126" t="n">
        <v>749878</v>
      </c>
      <c r="I131" s="127"/>
    </row>
    <row r="132" customFormat="false" ht="12.75" hidden="false" customHeight="false" outlineLevel="0" collapsed="false">
      <c r="A132" s="138" t="s">
        <v>220</v>
      </c>
      <c r="B132" s="115" t="n">
        <v>0</v>
      </c>
      <c r="C132" s="115" t="n">
        <f aca="false">ROUND(+B132/(1-0.0452)-B132,0)</f>
        <v>0</v>
      </c>
      <c r="D132" s="126" t="n">
        <v>-0.0492</v>
      </c>
      <c r="E132" s="118"/>
      <c r="F132" s="118" t="n">
        <f aca="false">+D132*B132</f>
        <v>-0</v>
      </c>
      <c r="G132" s="126"/>
      <c r="H132" s="126" t="n">
        <v>749879</v>
      </c>
      <c r="I132" s="127"/>
    </row>
    <row r="133" customFormat="false" ht="12.75" hidden="false" customHeight="false" outlineLevel="0" collapsed="false">
      <c r="A133" s="125" t="s">
        <v>205</v>
      </c>
      <c r="B133" s="115" t="n">
        <v>0</v>
      </c>
      <c r="C133" s="115" t="n">
        <f aca="false">ROUND(+B133/(1-0.0884)-B133,0)</f>
        <v>0</v>
      </c>
      <c r="D133" s="126"/>
      <c r="E133" s="118"/>
      <c r="F133" s="118" t="n">
        <f aca="false">+D133*B133</f>
        <v>0</v>
      </c>
      <c r="G133" s="126"/>
      <c r="H133" s="126"/>
      <c r="I133" s="127"/>
    </row>
    <row r="134" customFormat="false" ht="12.75" hidden="false" customHeight="false" outlineLevel="0" collapsed="false">
      <c r="A134" s="125" t="s">
        <v>206</v>
      </c>
      <c r="B134" s="115" t="n">
        <v>0</v>
      </c>
      <c r="C134" s="115" t="n">
        <f aca="false">ROUND(+B134/(1-0.0823)-B134,0)</f>
        <v>0</v>
      </c>
      <c r="D134" s="126"/>
      <c r="E134" s="118"/>
      <c r="F134" s="118" t="n">
        <f aca="false">+D134*B134</f>
        <v>0</v>
      </c>
      <c r="G134" s="126"/>
      <c r="H134" s="126" t="n">
        <v>640178</v>
      </c>
      <c r="I134" s="127"/>
    </row>
    <row r="135" customFormat="false" ht="12.75" hidden="false" customHeight="false" outlineLevel="0" collapsed="false">
      <c r="A135" s="125" t="s">
        <v>207</v>
      </c>
      <c r="B135" s="115"/>
      <c r="C135" s="115" t="n">
        <f aca="false">ROUND(+B135/(1-0.0796)-B135,0)</f>
        <v>0</v>
      </c>
      <c r="D135" s="126"/>
      <c r="E135" s="118"/>
      <c r="F135" s="118" t="n">
        <f aca="false">+D135*B135</f>
        <v>0</v>
      </c>
      <c r="G135" s="126"/>
      <c r="H135" s="126"/>
      <c r="I135" s="127"/>
    </row>
    <row r="136" customFormat="false" ht="12.75" hidden="false" customHeight="false" outlineLevel="0" collapsed="false">
      <c r="A136" s="125" t="s">
        <v>208</v>
      </c>
      <c r="B136" s="115"/>
      <c r="C136" s="115" t="n">
        <f aca="false">ROUND(+B136/(1-0.0796)-B136,0)</f>
        <v>0</v>
      </c>
      <c r="D136" s="126"/>
      <c r="E136" s="118"/>
      <c r="F136" s="118" t="n">
        <f aca="false">+D136*B136</f>
        <v>0</v>
      </c>
      <c r="G136" s="126"/>
      <c r="H136" s="126"/>
      <c r="I136" s="127"/>
    </row>
    <row r="137" customFormat="false" ht="12.75" hidden="false" customHeight="false" outlineLevel="0" collapsed="false">
      <c r="A137" s="125"/>
      <c r="B137" s="115" t="n">
        <f aca="false">SUM(B123:B136)</f>
        <v>9495</v>
      </c>
      <c r="C137" s="115" t="n">
        <f aca="false">SUM(C123:C136)</f>
        <v>505</v>
      </c>
      <c r="D137" s="126"/>
      <c r="E137" s="118"/>
      <c r="F137" s="118"/>
      <c r="G137" s="126"/>
      <c r="H137" s="126"/>
      <c r="I137" s="127"/>
    </row>
    <row r="138" customFormat="false" ht="13.5" hidden="false" customHeight="false" outlineLevel="0" collapsed="false">
      <c r="A138" s="130" t="s">
        <v>221</v>
      </c>
      <c r="B138" s="136" t="n">
        <f aca="false">+B137+C137</f>
        <v>10000</v>
      </c>
      <c r="C138" s="132"/>
      <c r="D138" s="133"/>
      <c r="E138" s="134"/>
      <c r="F138" s="134"/>
      <c r="G138" s="133"/>
      <c r="H138" s="133"/>
      <c r="I138" s="135"/>
    </row>
    <row r="139" customFormat="false" ht="12.75" hidden="false" customHeight="false" outlineLevel="0" collapsed="false">
      <c r="A139" s="117"/>
      <c r="B139" s="115"/>
      <c r="C139" s="116"/>
      <c r="D139" s="117"/>
      <c r="E139" s="118"/>
      <c r="F139" s="118"/>
      <c r="G139" s="117"/>
      <c r="H139" s="117"/>
      <c r="I139" s="117"/>
    </row>
    <row r="140" customFormat="false" ht="12.75" hidden="false" customHeight="false" outlineLevel="0" collapsed="false">
      <c r="A140" s="117" t="s">
        <v>222</v>
      </c>
      <c r="B140" s="115" t="n">
        <f aca="false">+B137-B121</f>
        <v>0</v>
      </c>
      <c r="C140" s="116"/>
      <c r="D140" s="117"/>
      <c r="E140" s="118"/>
      <c r="F140" s="118"/>
      <c r="G140" s="117"/>
      <c r="H140" s="117"/>
      <c r="I140" s="117"/>
    </row>
    <row r="141" customFormat="false" ht="12.75" hidden="false" customHeight="false" outlineLevel="0" collapsed="false">
      <c r="A141" s="117"/>
      <c r="B141" s="115"/>
      <c r="C141" s="116"/>
      <c r="D141" s="117"/>
      <c r="E141" s="118"/>
      <c r="F141" s="118"/>
      <c r="G141" s="117"/>
      <c r="H141" s="117"/>
      <c r="I141" s="117"/>
    </row>
    <row r="142" customFormat="false" ht="12.75" hidden="false" customHeight="false" outlineLevel="0" collapsed="false">
      <c r="A142" s="117"/>
      <c r="B142" s="129"/>
      <c r="C142" s="116"/>
      <c r="D142" s="117"/>
      <c r="E142" s="118"/>
      <c r="F142" s="118"/>
      <c r="G142" s="117"/>
      <c r="H142" s="117"/>
      <c r="I142" s="117"/>
    </row>
    <row r="143" customFormat="false" ht="12.75" hidden="false" customHeight="false" outlineLevel="0" collapsed="false">
      <c r="A143" s="139" t="s">
        <v>223</v>
      </c>
      <c r="B143" s="115" t="n">
        <f aca="false">SUM(B138,B112,B94,B61:B84)</f>
        <v>39993</v>
      </c>
      <c r="C143" s="116"/>
      <c r="D143" s="117"/>
      <c r="E143" s="118" t="n">
        <f aca="false">SUM(E61:E142)</f>
        <v>152004.26</v>
      </c>
      <c r="F143" s="118" t="n">
        <f aca="false">SUM(F61:F142)</f>
        <v>-1147.143</v>
      </c>
      <c r="G143" s="117"/>
      <c r="H143" s="117"/>
      <c r="I143" s="117"/>
    </row>
    <row r="144" customFormat="false" ht="12.75" hidden="false" customHeight="false" outlineLevel="0" collapsed="false">
      <c r="E144" s="113"/>
      <c r="F144" s="113"/>
    </row>
    <row r="145" customFormat="false" ht="12.75" hidden="false" customHeight="false" outlineLevel="0" collapsed="false">
      <c r="A145" s="0" t="s">
        <v>224</v>
      </c>
      <c r="B145" s="50" t="n">
        <f aca="false">+B56-B143</f>
        <v>-1</v>
      </c>
      <c r="E145" s="113" t="n">
        <f aca="false">+E143-E56</f>
        <v>8869.451</v>
      </c>
      <c r="F145" s="113" t="n">
        <f aca="false">+F143-F56</f>
        <v>-1272.977</v>
      </c>
      <c r="G145" s="140" t="n">
        <f aca="false">+F145+E145</f>
        <v>7596.474</v>
      </c>
    </row>
    <row r="147" customFormat="false" ht="12.75" hidden="false" customHeight="false" outlineLevel="0" collapsed="false">
      <c r="F147" s="21" t="s">
        <v>225</v>
      </c>
      <c r="G147" s="141" t="n">
        <f aca="false">+C157</f>
        <v>2855.33333333333</v>
      </c>
    </row>
    <row r="148" customFormat="false" ht="13.5" hidden="false" customHeight="false" outlineLevel="0" collapsed="false">
      <c r="F148" s="0" t="s">
        <v>226</v>
      </c>
      <c r="G148" s="142" t="n">
        <f aca="false">+G145-G147</f>
        <v>4741.14066666667</v>
      </c>
    </row>
    <row r="149" customFormat="false" ht="13.5" hidden="false" customHeight="false" outlineLevel="0" collapsed="false"/>
    <row r="152" customFormat="false" ht="12.75" hidden="false" customHeight="false" outlineLevel="0" collapsed="false">
      <c r="A152" s="0" t="s">
        <v>227</v>
      </c>
      <c r="B152" s="50" t="s">
        <v>23</v>
      </c>
      <c r="C152" s="2" t="n">
        <v>28199</v>
      </c>
    </row>
    <row r="153" customFormat="false" ht="12.75" hidden="false" customHeight="false" outlineLevel="0" collapsed="false">
      <c r="B153" s="50" t="s">
        <v>191</v>
      </c>
      <c r="C153" s="2" t="n">
        <v>2550</v>
      </c>
    </row>
    <row r="154" customFormat="false" ht="12.75" hidden="false" customHeight="false" outlineLevel="0" collapsed="false">
      <c r="B154" s="50" t="s">
        <v>228</v>
      </c>
      <c r="C154" s="2" t="n">
        <v>54171</v>
      </c>
    </row>
    <row r="155" customFormat="false" ht="12.75" hidden="false" customHeight="false" outlineLevel="0" collapsed="false">
      <c r="B155" s="50" t="s">
        <v>74</v>
      </c>
      <c r="C155" s="2" t="n">
        <v>740</v>
      </c>
    </row>
    <row r="156" customFormat="false" ht="12.75" hidden="false" customHeight="false" outlineLevel="0" collapsed="false">
      <c r="C156" s="2" t="n">
        <f aca="false">SUM(C152:C155)</f>
        <v>85660</v>
      </c>
    </row>
    <row r="157" customFormat="false" ht="12.75" hidden="false" customHeight="false" outlineLevel="0" collapsed="false">
      <c r="A157" s="0" t="s">
        <v>225</v>
      </c>
      <c r="C157" s="2" t="n">
        <f aca="false">+C156/30</f>
        <v>2855.33333333333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57"/>
  <sheetViews>
    <sheetView showFormulas="false" showGridLines="true" showRowColHeaders="true" showZeros="true" rightToLeft="false" tabSelected="false" showOutlineSymbols="true" defaultGridColor="true" view="normal" topLeftCell="A35" colorId="64" zoomScale="100" zoomScaleNormal="100" zoomScalePageLayoutView="100" workbookViewId="0">
      <selection pane="topLeft" activeCell="C56" activeCellId="0" sqref="C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7"/>
    <col collapsed="false" customWidth="true" hidden="false" outlineLevel="0" max="2" min="2" style="50" width="10.28"/>
    <col collapsed="false" customWidth="true" hidden="false" outlineLevel="0" max="3" min="3" style="2" width="13.28"/>
    <col collapsed="false" customWidth="true" hidden="false" outlineLevel="0" max="5" min="5" style="0" width="14.14"/>
    <col collapsed="false" customWidth="true" hidden="false" outlineLevel="0" max="6" min="6" style="0" width="13.85"/>
    <col collapsed="false" customWidth="true" hidden="false" outlineLevel="0" max="7" min="7" style="0" width="14.14"/>
    <col collapsed="false" customWidth="true" hidden="false" outlineLevel="0" max="8" min="8" style="0" width="11.28"/>
  </cols>
  <sheetData>
    <row r="1" customFormat="false" ht="12.75" hidden="false" customHeight="false" outlineLevel="0" collapsed="false">
      <c r="A1" s="21" t="s">
        <v>234</v>
      </c>
    </row>
    <row r="3" customFormat="false" ht="12.75" hidden="false" customHeight="false" outlineLevel="0" collapsed="false">
      <c r="A3" s="0" t="n">
        <v>0.05</v>
      </c>
      <c r="C3" s="2" t="s">
        <v>152</v>
      </c>
      <c r="D3" s="0" t="n">
        <v>0.014</v>
      </c>
      <c r="E3" s="0" t="s">
        <v>153</v>
      </c>
      <c r="F3" s="0" t="n">
        <v>0.0096</v>
      </c>
    </row>
    <row r="4" customFormat="false" ht="12.75" hidden="false" customHeight="false" outlineLevel="0" collapsed="false">
      <c r="A4" s="0" t="n">
        <v>0.0022</v>
      </c>
      <c r="C4" s="2" t="s">
        <v>154</v>
      </c>
      <c r="D4" s="0" t="n">
        <v>0.0103</v>
      </c>
    </row>
    <row r="5" customFormat="false" ht="12.75" hidden="false" customHeight="false" outlineLevel="0" collapsed="false">
      <c r="C5" s="2" t="s">
        <v>155</v>
      </c>
      <c r="D5" s="0" t="n">
        <v>0.0622</v>
      </c>
    </row>
    <row r="6" customFormat="false" ht="12.75" hidden="false" customHeight="false" outlineLevel="0" collapsed="false">
      <c r="E6" s="0" t="s">
        <v>96</v>
      </c>
    </row>
    <row r="7" customFormat="false" ht="12.75" hidden="false" customHeight="false" outlineLevel="0" collapsed="false">
      <c r="A7" s="89" t="s">
        <v>156</v>
      </c>
      <c r="B7" s="90"/>
      <c r="C7" s="91" t="s">
        <v>96</v>
      </c>
      <c r="D7" s="89" t="s">
        <v>157</v>
      </c>
      <c r="E7" s="89" t="s">
        <v>158</v>
      </c>
      <c r="F7" s="89" t="s">
        <v>159</v>
      </c>
      <c r="G7" s="89"/>
      <c r="H7" s="89"/>
      <c r="I7" s="89"/>
    </row>
    <row r="8" customFormat="false" ht="12.75" hidden="false" customHeight="false" outlineLevel="0" collapsed="false">
      <c r="A8" s="89" t="s">
        <v>160</v>
      </c>
      <c r="B8" s="90" t="n">
        <v>10000</v>
      </c>
      <c r="C8" s="91" t="n">
        <v>3.6</v>
      </c>
      <c r="D8" s="89" t="n">
        <v>0</v>
      </c>
      <c r="E8" s="92" t="n">
        <f aca="false">+B8*C8</f>
        <v>36000</v>
      </c>
      <c r="F8" s="92" t="n">
        <f aca="false">+B8*D8</f>
        <v>0</v>
      </c>
      <c r="G8" s="89"/>
      <c r="H8" s="89"/>
      <c r="I8" s="89"/>
    </row>
    <row r="9" customFormat="false" ht="12.75" hidden="false" customHeight="false" outlineLevel="0" collapsed="false">
      <c r="A9" s="89" t="s">
        <v>162</v>
      </c>
      <c r="B9" s="90" t="n">
        <v>5000</v>
      </c>
      <c r="C9" s="91" t="n">
        <v>3.585</v>
      </c>
      <c r="D9" s="89" t="n">
        <v>0</v>
      </c>
      <c r="E9" s="92" t="n">
        <f aca="false">+B9*C9</f>
        <v>17925</v>
      </c>
      <c r="F9" s="92" t="n">
        <f aca="false">+B9*D9</f>
        <v>0</v>
      </c>
      <c r="G9" s="89"/>
      <c r="H9" s="89"/>
      <c r="I9" s="89"/>
    </row>
    <row r="10" customFormat="false" ht="12.75" hidden="false" customHeight="false" outlineLevel="0" collapsed="false">
      <c r="A10" s="89" t="s">
        <v>162</v>
      </c>
      <c r="B10" s="90" t="n">
        <v>5000</v>
      </c>
      <c r="C10" s="91" t="n">
        <v>3.59</v>
      </c>
      <c r="D10" s="89" t="n">
        <v>0</v>
      </c>
      <c r="E10" s="92" t="n">
        <f aca="false">+B10*C10</f>
        <v>17950</v>
      </c>
      <c r="F10" s="92" t="n">
        <f aca="false">+B10*D10</f>
        <v>0</v>
      </c>
      <c r="G10" s="89"/>
      <c r="H10" s="89"/>
      <c r="I10" s="89"/>
    </row>
    <row r="11" customFormat="false" ht="12.75" hidden="false" customHeight="false" outlineLevel="0" collapsed="false">
      <c r="A11" s="89" t="s">
        <v>161</v>
      </c>
      <c r="B11" s="90" t="n">
        <v>0</v>
      </c>
      <c r="C11" s="91" t="n">
        <v>0</v>
      </c>
      <c r="D11" s="89" t="n">
        <v>0</v>
      </c>
      <c r="E11" s="92" t="n">
        <f aca="false">+B11*C11</f>
        <v>0</v>
      </c>
      <c r="F11" s="92" t="n">
        <f aca="false">+B11*D11</f>
        <v>0</v>
      </c>
      <c r="G11" s="89"/>
      <c r="H11" s="89"/>
      <c r="I11" s="89"/>
    </row>
    <row r="12" customFormat="false" ht="12.75" hidden="false" customHeight="false" outlineLevel="0" collapsed="false">
      <c r="A12" s="89" t="s">
        <v>102</v>
      </c>
      <c r="B12" s="90" t="n">
        <v>0</v>
      </c>
      <c r="C12" s="91" t="n">
        <v>0</v>
      </c>
      <c r="D12" s="89" t="n">
        <v>0</v>
      </c>
      <c r="E12" s="92" t="n">
        <f aca="false">+B12*C12</f>
        <v>0</v>
      </c>
      <c r="F12" s="92" t="n">
        <f aca="false">+B12*D12</f>
        <v>0</v>
      </c>
      <c r="G12" s="89"/>
      <c r="H12" s="89"/>
      <c r="I12" s="89"/>
    </row>
    <row r="13" customFormat="false" ht="12.75" hidden="false" customHeight="false" outlineLevel="0" collapsed="false">
      <c r="A13" s="89" t="s">
        <v>102</v>
      </c>
      <c r="B13" s="90" t="n">
        <v>0</v>
      </c>
      <c r="C13" s="91" t="n">
        <v>0</v>
      </c>
      <c r="D13" s="89" t="n">
        <v>0</v>
      </c>
      <c r="E13" s="92" t="n">
        <f aca="false">+B13*C13</f>
        <v>0</v>
      </c>
      <c r="F13" s="92" t="n">
        <f aca="false">+B13*D13</f>
        <v>0</v>
      </c>
      <c r="G13" s="89"/>
      <c r="H13" s="89"/>
      <c r="I13" s="89"/>
    </row>
    <row r="14" customFormat="false" ht="12.75" hidden="false" customHeight="false" outlineLevel="0" collapsed="false">
      <c r="A14" s="89" t="s">
        <v>235</v>
      </c>
      <c r="B14" s="90" t="n">
        <v>0</v>
      </c>
      <c r="C14" s="91" t="n">
        <v>0</v>
      </c>
      <c r="D14" s="89" t="n">
        <v>0</v>
      </c>
      <c r="E14" s="92" t="n">
        <f aca="false">+B14*C14</f>
        <v>0</v>
      </c>
      <c r="F14" s="92" t="n">
        <f aca="false">+B14*D14</f>
        <v>0</v>
      </c>
      <c r="G14" s="89"/>
      <c r="H14" s="89"/>
      <c r="I14" s="89"/>
    </row>
    <row r="15" customFormat="false" ht="12.75" hidden="false" customHeight="false" outlineLevel="0" collapsed="false">
      <c r="A15" s="89" t="s">
        <v>160</v>
      </c>
      <c r="B15" s="90" t="n">
        <v>0</v>
      </c>
      <c r="C15" s="91" t="n">
        <v>0</v>
      </c>
      <c r="D15" s="89" t="n">
        <v>0</v>
      </c>
      <c r="E15" s="92" t="n">
        <f aca="false">+B15*C15</f>
        <v>0</v>
      </c>
      <c r="F15" s="92" t="n">
        <f aca="false">+B15*D15</f>
        <v>0</v>
      </c>
      <c r="G15" s="89"/>
      <c r="H15" s="89"/>
      <c r="I15" s="89"/>
    </row>
    <row r="16" customFormat="false" ht="12.75" hidden="false" customHeight="false" outlineLevel="0" collapsed="false">
      <c r="A16" s="89" t="s">
        <v>236</v>
      </c>
      <c r="B16" s="90" t="n">
        <v>0</v>
      </c>
      <c r="C16" s="91" t="n">
        <v>0</v>
      </c>
      <c r="D16" s="89" t="n">
        <v>0</v>
      </c>
      <c r="E16" s="92" t="n">
        <f aca="false">+B16*C16</f>
        <v>0</v>
      </c>
      <c r="F16" s="92" t="n">
        <f aca="false">+B16*D16</f>
        <v>0</v>
      </c>
      <c r="G16" s="89"/>
      <c r="H16" s="89"/>
      <c r="I16" s="89"/>
    </row>
    <row r="17" customFormat="false" ht="12.75" hidden="false" customHeight="false" outlineLevel="0" collapsed="false">
      <c r="A17" s="89" t="s">
        <v>160</v>
      </c>
      <c r="B17" s="90" t="n">
        <v>0</v>
      </c>
      <c r="C17" s="91" t="n">
        <v>0</v>
      </c>
      <c r="D17" s="89" t="n">
        <v>0</v>
      </c>
      <c r="E17" s="92" t="n">
        <f aca="false">+B17*C17</f>
        <v>0</v>
      </c>
      <c r="F17" s="92" t="n">
        <f aca="false">+B17*D17</f>
        <v>0</v>
      </c>
      <c r="G17" s="89"/>
      <c r="H17" s="89"/>
      <c r="I17" s="89"/>
    </row>
    <row r="18" customFormat="false" ht="12.75" hidden="false" customHeight="false" outlineLevel="0" collapsed="false">
      <c r="A18" s="89" t="s">
        <v>160</v>
      </c>
      <c r="B18" s="90" t="n">
        <v>0</v>
      </c>
      <c r="C18" s="91" t="n">
        <v>0</v>
      </c>
      <c r="D18" s="89" t="n">
        <v>0</v>
      </c>
      <c r="E18" s="92" t="n">
        <f aca="false">+B18*C18</f>
        <v>0</v>
      </c>
      <c r="F18" s="92" t="n">
        <f aca="false">+B18*D18</f>
        <v>0</v>
      </c>
      <c r="G18" s="89"/>
      <c r="H18" s="89"/>
      <c r="I18" s="89"/>
    </row>
    <row r="19" customFormat="false" ht="12.75" hidden="false" customHeight="false" outlineLevel="0" collapsed="false">
      <c r="A19" s="89" t="s">
        <v>231</v>
      </c>
      <c r="B19" s="90" t="n">
        <v>0</v>
      </c>
      <c r="C19" s="91" t="n">
        <v>0</v>
      </c>
      <c r="D19" s="89" t="n">
        <v>0.0125</v>
      </c>
      <c r="E19" s="92" t="n">
        <f aca="false">+B19*C19</f>
        <v>0</v>
      </c>
      <c r="F19" s="92" t="n">
        <f aca="false">+B19*D19</f>
        <v>0</v>
      </c>
      <c r="G19" s="89"/>
      <c r="H19" s="89"/>
      <c r="I19" s="89"/>
    </row>
    <row r="20" customFormat="false" ht="12.75" hidden="false" customHeight="false" outlineLevel="0" collapsed="false">
      <c r="A20" s="89" t="s">
        <v>231</v>
      </c>
      <c r="B20" s="90" t="n">
        <v>0</v>
      </c>
      <c r="C20" s="91" t="n">
        <v>0</v>
      </c>
      <c r="D20" s="89" t="n">
        <v>0.0125</v>
      </c>
      <c r="E20" s="92" t="n">
        <f aca="false">+B20*C20</f>
        <v>0</v>
      </c>
      <c r="F20" s="92" t="n">
        <f aca="false">+B20*D20</f>
        <v>0</v>
      </c>
      <c r="G20" s="89"/>
      <c r="H20" s="89"/>
      <c r="I20" s="89"/>
    </row>
    <row r="21" customFormat="false" ht="12.75" hidden="false" customHeight="false" outlineLevel="0" collapsed="false">
      <c r="A21" s="89"/>
      <c r="B21" s="90"/>
      <c r="C21" s="91"/>
      <c r="D21" s="89"/>
      <c r="E21" s="92"/>
      <c r="F21" s="92"/>
      <c r="G21" s="89"/>
      <c r="H21" s="89"/>
      <c r="I21" s="89"/>
    </row>
    <row r="22" customFormat="false" ht="12.75" hidden="false" customHeight="false" outlineLevel="0" collapsed="false">
      <c r="A22" s="89" t="s">
        <v>232</v>
      </c>
      <c r="B22" s="90" t="n">
        <v>0</v>
      </c>
      <c r="C22" s="91" t="n">
        <v>0</v>
      </c>
      <c r="D22" s="89" t="n">
        <v>0</v>
      </c>
      <c r="E22" s="92" t="n">
        <f aca="false">+B22*C22</f>
        <v>0</v>
      </c>
      <c r="F22" s="92" t="n">
        <f aca="false">+B22*D22</f>
        <v>0</v>
      </c>
      <c r="G22" s="89"/>
      <c r="H22" s="89"/>
      <c r="I22" s="89"/>
    </row>
    <row r="23" customFormat="false" ht="12.75" hidden="false" customHeight="false" outlineLevel="0" collapsed="false">
      <c r="A23" s="89" t="s">
        <v>164</v>
      </c>
      <c r="B23" s="90" t="n">
        <v>0</v>
      </c>
      <c r="C23" s="91" t="n">
        <v>0</v>
      </c>
      <c r="D23" s="89" t="n">
        <v>0</v>
      </c>
      <c r="E23" s="92" t="n">
        <f aca="false">+B23*C23</f>
        <v>0</v>
      </c>
      <c r="F23" s="92" t="n">
        <f aca="false">+B23*D23</f>
        <v>0</v>
      </c>
      <c r="G23" s="89"/>
      <c r="H23" s="89"/>
      <c r="I23" s="89"/>
    </row>
    <row r="24" customFormat="false" ht="12.75" hidden="false" customHeight="false" outlineLevel="0" collapsed="false">
      <c r="A24" s="89"/>
      <c r="B24" s="90"/>
      <c r="C24" s="91"/>
      <c r="D24" s="89"/>
      <c r="E24" s="92"/>
      <c r="F24" s="92"/>
      <c r="G24" s="89"/>
      <c r="H24" s="89"/>
      <c r="I24" s="89"/>
    </row>
    <row r="25" customFormat="false" ht="12.75" hidden="false" customHeight="false" outlineLevel="0" collapsed="false">
      <c r="A25" s="89" t="s">
        <v>165</v>
      </c>
      <c r="B25" s="90" t="n">
        <v>0</v>
      </c>
      <c r="C25" s="91" t="n">
        <v>0</v>
      </c>
      <c r="D25" s="89" t="n">
        <v>0</v>
      </c>
      <c r="E25" s="92" t="n">
        <f aca="false">+B25*C25</f>
        <v>0</v>
      </c>
      <c r="F25" s="92" t="n">
        <f aca="false">+B25*D25</f>
        <v>0</v>
      </c>
      <c r="G25" s="89"/>
      <c r="H25" s="89"/>
      <c r="I25" s="89"/>
    </row>
    <row r="26" customFormat="false" ht="12.75" hidden="false" customHeight="false" outlineLevel="0" collapsed="false">
      <c r="A26" s="89" t="s">
        <v>166</v>
      </c>
      <c r="B26" s="90" t="n">
        <v>0</v>
      </c>
      <c r="C26" s="91" t="n">
        <v>0</v>
      </c>
      <c r="D26" s="89" t="n">
        <v>0</v>
      </c>
      <c r="E26" s="92" t="n">
        <f aca="false">+B26*C26</f>
        <v>0</v>
      </c>
      <c r="F26" s="92" t="n">
        <f aca="false">+B26*D26</f>
        <v>0</v>
      </c>
      <c r="G26" s="89"/>
      <c r="H26" s="89"/>
      <c r="I26" s="89"/>
    </row>
    <row r="27" customFormat="false" ht="12.75" hidden="false" customHeight="false" outlineLevel="0" collapsed="false">
      <c r="A27" s="89" t="s">
        <v>104</v>
      </c>
      <c r="B27" s="90" t="n">
        <v>0</v>
      </c>
      <c r="C27" s="91" t="n">
        <v>0</v>
      </c>
      <c r="D27" s="89" t="n">
        <v>0</v>
      </c>
      <c r="E27" s="92" t="n">
        <f aca="false">+B27*C27</f>
        <v>0</v>
      </c>
      <c r="F27" s="92" t="n">
        <f aca="false">+B27*D27</f>
        <v>0</v>
      </c>
      <c r="G27" s="89"/>
      <c r="H27" s="89"/>
      <c r="I27" s="89"/>
    </row>
    <row r="28" customFormat="false" ht="12.75" hidden="false" customHeight="false" outlineLevel="0" collapsed="false">
      <c r="A28" s="89" t="s">
        <v>104</v>
      </c>
      <c r="B28" s="90" t="n">
        <v>0</v>
      </c>
      <c r="C28" s="91" t="n">
        <v>0</v>
      </c>
      <c r="D28" s="89" t="n">
        <v>0</v>
      </c>
      <c r="E28" s="92" t="n">
        <f aca="false">+B28*C28</f>
        <v>0</v>
      </c>
      <c r="F28" s="92" t="n">
        <f aca="false">+B28*D28</f>
        <v>0</v>
      </c>
      <c r="G28" s="89"/>
      <c r="H28" s="89"/>
      <c r="I28" s="89"/>
    </row>
    <row r="29" customFormat="false" ht="12.75" hidden="false" customHeight="false" outlineLevel="0" collapsed="false">
      <c r="A29" s="89" t="s">
        <v>167</v>
      </c>
      <c r="B29" s="90" t="n">
        <v>0</v>
      </c>
      <c r="C29" s="91" t="n">
        <v>0</v>
      </c>
      <c r="D29" s="89" t="n">
        <v>0</v>
      </c>
      <c r="E29" s="92" t="n">
        <f aca="false">+B29*C29</f>
        <v>0</v>
      </c>
      <c r="F29" s="92" t="n">
        <f aca="false">+B29*D29</f>
        <v>0</v>
      </c>
      <c r="G29" s="89"/>
      <c r="H29" s="89"/>
      <c r="I29" s="89"/>
    </row>
    <row r="30" customFormat="false" ht="12.75" hidden="false" customHeight="false" outlineLevel="0" collapsed="false">
      <c r="A30" s="89"/>
      <c r="B30" s="90"/>
      <c r="C30" s="91"/>
      <c r="D30" s="89"/>
      <c r="E30" s="92"/>
      <c r="F30" s="92"/>
      <c r="G30" s="89"/>
      <c r="H30" s="89"/>
      <c r="I30" s="89"/>
    </row>
    <row r="31" customFormat="false" ht="12.75" hidden="false" customHeight="false" outlineLevel="0" collapsed="false">
      <c r="A31" s="89" t="s">
        <v>233</v>
      </c>
      <c r="B31" s="90" t="n">
        <v>10433</v>
      </c>
      <c r="C31" s="91" t="n">
        <v>3.63</v>
      </c>
      <c r="D31" s="89" t="n">
        <v>0</v>
      </c>
      <c r="E31" s="92" t="n">
        <f aca="false">+B31*C31</f>
        <v>37871.79</v>
      </c>
      <c r="F31" s="92" t="n">
        <f aca="false">+B31*D31</f>
        <v>0</v>
      </c>
      <c r="G31" s="89"/>
      <c r="H31" s="89"/>
      <c r="I31" s="89"/>
    </row>
    <row r="32" customFormat="false" ht="12.75" hidden="false" customHeight="false" outlineLevel="0" collapsed="false">
      <c r="A32" s="89" t="s">
        <v>169</v>
      </c>
      <c r="B32" s="90" t="n">
        <v>-5000</v>
      </c>
      <c r="C32" s="91" t="n">
        <v>3.58</v>
      </c>
      <c r="D32" s="89" t="n">
        <v>0</v>
      </c>
      <c r="E32" s="92" t="n">
        <f aca="false">+B32*C32</f>
        <v>-17900</v>
      </c>
      <c r="F32" s="92" t="n">
        <f aca="false">+B32*D32</f>
        <v>-0</v>
      </c>
      <c r="G32" s="89"/>
      <c r="H32" s="89"/>
      <c r="I32" s="89"/>
    </row>
    <row r="33" customFormat="false" ht="12.75" hidden="false" customHeight="false" outlineLevel="0" collapsed="false">
      <c r="A33" s="89" t="s">
        <v>237</v>
      </c>
      <c r="B33" s="90"/>
      <c r="C33" s="91" t="n">
        <v>0</v>
      </c>
      <c r="D33" s="89"/>
      <c r="E33" s="92"/>
      <c r="F33" s="92"/>
      <c r="G33" s="89"/>
      <c r="H33" s="89"/>
      <c r="I33" s="89"/>
    </row>
    <row r="34" customFormat="false" ht="12.75" hidden="false" customHeight="false" outlineLevel="0" collapsed="false">
      <c r="A34" s="89" t="s">
        <v>168</v>
      </c>
      <c r="B34" s="90" t="n">
        <v>0</v>
      </c>
      <c r="C34" s="91" t="n">
        <v>0</v>
      </c>
      <c r="D34" s="89" t="n">
        <v>0</v>
      </c>
      <c r="E34" s="92" t="n">
        <f aca="false">+B34*C34</f>
        <v>0</v>
      </c>
      <c r="F34" s="92" t="n">
        <f aca="false">+B34*D34</f>
        <v>0</v>
      </c>
      <c r="G34" s="89"/>
      <c r="H34" s="89"/>
      <c r="I34" s="89"/>
    </row>
    <row r="35" customFormat="false" ht="12.75" hidden="false" customHeight="false" outlineLevel="0" collapsed="false">
      <c r="A35" s="89" t="s">
        <v>169</v>
      </c>
      <c r="B35" s="90" t="n">
        <v>0</v>
      </c>
      <c r="C35" s="91" t="n">
        <v>0</v>
      </c>
      <c r="D35" s="89" t="n">
        <v>0</v>
      </c>
      <c r="E35" s="92" t="n">
        <f aca="false">+B35*C35</f>
        <v>0</v>
      </c>
      <c r="F35" s="92" t="n">
        <f aca="false">+B35*D35</f>
        <v>0</v>
      </c>
      <c r="G35" s="89"/>
      <c r="H35" s="89"/>
      <c r="I35" s="89"/>
    </row>
    <row r="36" customFormat="false" ht="12.75" hidden="false" customHeight="false" outlineLevel="0" collapsed="false">
      <c r="A36" s="89"/>
      <c r="B36" s="90"/>
      <c r="C36" s="91"/>
      <c r="D36" s="89"/>
      <c r="E36" s="92"/>
      <c r="F36" s="92"/>
      <c r="G36" s="89"/>
      <c r="H36" s="89"/>
      <c r="I36" s="89"/>
    </row>
    <row r="37" customFormat="false" ht="12.75" hidden="false" customHeight="false" outlineLevel="0" collapsed="false">
      <c r="A37" s="89" t="s">
        <v>170</v>
      </c>
      <c r="B37" s="90" t="n">
        <v>0</v>
      </c>
      <c r="C37" s="91" t="n">
        <v>0</v>
      </c>
      <c r="D37" s="89" t="n">
        <v>0</v>
      </c>
      <c r="E37" s="92" t="n">
        <f aca="false">+B37*C37</f>
        <v>0</v>
      </c>
      <c r="F37" s="92" t="n">
        <f aca="false">+B37*D37</f>
        <v>0</v>
      </c>
      <c r="G37" s="89"/>
      <c r="H37" s="89"/>
      <c r="I37" s="89"/>
    </row>
    <row r="38" customFormat="false" ht="12.75" hidden="false" customHeight="false" outlineLevel="0" collapsed="false">
      <c r="A38" s="89" t="s">
        <v>105</v>
      </c>
      <c r="B38" s="90" t="n">
        <v>0</v>
      </c>
      <c r="C38" s="91" t="n">
        <v>0</v>
      </c>
      <c r="D38" s="89" t="n">
        <v>0</v>
      </c>
      <c r="E38" s="92" t="n">
        <f aca="false">+B38*C38</f>
        <v>0</v>
      </c>
      <c r="F38" s="92" t="n">
        <f aca="false">+B38*D38</f>
        <v>0</v>
      </c>
      <c r="G38" s="89"/>
      <c r="H38" s="89"/>
      <c r="I38" s="89"/>
    </row>
    <row r="39" customFormat="false" ht="12.75" hidden="false" customHeight="false" outlineLevel="0" collapsed="false">
      <c r="A39" s="89"/>
      <c r="B39" s="90"/>
      <c r="C39" s="91"/>
      <c r="D39" s="89"/>
      <c r="E39" s="92"/>
      <c r="F39" s="92"/>
      <c r="G39" s="89"/>
      <c r="H39" s="89"/>
      <c r="I39" s="89"/>
    </row>
    <row r="40" customFormat="false" ht="12.75" hidden="false" customHeight="false" outlineLevel="0" collapsed="false">
      <c r="A40" s="89" t="s">
        <v>171</v>
      </c>
      <c r="B40" s="90" t="n">
        <v>0</v>
      </c>
      <c r="C40" s="91" t="n">
        <v>0</v>
      </c>
      <c r="D40" s="89" t="n">
        <v>0.0125</v>
      </c>
      <c r="E40" s="92" t="n">
        <f aca="false">+B40*C40</f>
        <v>0</v>
      </c>
      <c r="F40" s="92" t="n">
        <f aca="false">+B40*D40</f>
        <v>0</v>
      </c>
      <c r="G40" s="89"/>
      <c r="H40" s="89"/>
      <c r="I40" s="89"/>
    </row>
    <row r="41" customFormat="false" ht="12.75" hidden="false" customHeight="false" outlineLevel="0" collapsed="false">
      <c r="A41" s="89" t="s">
        <v>171</v>
      </c>
      <c r="B41" s="90" t="n">
        <v>0</v>
      </c>
      <c r="C41" s="91" t="n">
        <v>0</v>
      </c>
      <c r="D41" s="89" t="n">
        <v>0</v>
      </c>
      <c r="E41" s="92" t="n">
        <f aca="false">+B41*C41</f>
        <v>0</v>
      </c>
      <c r="F41" s="92" t="n">
        <f aca="false">+B41*D41</f>
        <v>0</v>
      </c>
      <c r="G41" s="89"/>
      <c r="H41" s="89"/>
      <c r="I41" s="89"/>
    </row>
    <row r="42" customFormat="false" ht="12.75" hidden="false" customHeight="false" outlineLevel="0" collapsed="false">
      <c r="A42" s="89"/>
      <c r="B42" s="90"/>
      <c r="C42" s="91"/>
      <c r="D42" s="89"/>
      <c r="E42" s="92"/>
      <c r="F42" s="92"/>
      <c r="G42" s="89"/>
      <c r="H42" s="89"/>
      <c r="I42" s="89"/>
    </row>
    <row r="43" customFormat="false" ht="12.75" hidden="false" customHeight="false" outlineLevel="0" collapsed="false">
      <c r="A43" s="89" t="s">
        <v>172</v>
      </c>
      <c r="B43" s="90" t="n">
        <v>8237</v>
      </c>
      <c r="C43" s="91" t="n">
        <f aca="false">3.738+0.23</f>
        <v>3.968</v>
      </c>
      <c r="D43" s="89" t="n">
        <v>0</v>
      </c>
      <c r="E43" s="92" t="n">
        <f aca="false">+B43*C43</f>
        <v>32684.416</v>
      </c>
      <c r="F43" s="92" t="n">
        <f aca="false">+B43*D43</f>
        <v>0</v>
      </c>
      <c r="G43" s="89"/>
      <c r="H43" s="111"/>
      <c r="I43" s="89"/>
    </row>
    <row r="44" customFormat="false" ht="12.75" hidden="false" customHeight="false" outlineLevel="0" collapsed="false">
      <c r="A44" s="89" t="s">
        <v>1</v>
      </c>
      <c r="B44" s="90" t="n">
        <v>0</v>
      </c>
      <c r="C44" s="91" t="n">
        <v>0</v>
      </c>
      <c r="D44" s="89" t="n">
        <v>0</v>
      </c>
      <c r="E44" s="92" t="n">
        <f aca="false">+B44*C44</f>
        <v>0</v>
      </c>
      <c r="F44" s="92" t="n">
        <f aca="false">+B44*D44</f>
        <v>0</v>
      </c>
      <c r="G44" s="89"/>
      <c r="H44" s="111"/>
      <c r="I44" s="89"/>
    </row>
    <row r="45" customFormat="false" ht="12.75" hidden="false" customHeight="false" outlineLevel="0" collapsed="false">
      <c r="A45" s="89" t="s">
        <v>174</v>
      </c>
      <c r="B45" s="90" t="n">
        <v>-2524</v>
      </c>
      <c r="C45" s="91" t="n">
        <f aca="false">3.738+0.295</f>
        <v>4.033</v>
      </c>
      <c r="D45" s="89" t="n">
        <v>-0.0035</v>
      </c>
      <c r="E45" s="92" t="n">
        <f aca="false">+B45*C45</f>
        <v>-10179.292</v>
      </c>
      <c r="F45" s="92" t="n">
        <f aca="false">+B45*D45</f>
        <v>8.834</v>
      </c>
      <c r="G45" s="89"/>
      <c r="H45" s="111"/>
      <c r="I45" s="89"/>
    </row>
    <row r="46" customFormat="false" ht="12.75" hidden="false" customHeight="false" outlineLevel="0" collapsed="false">
      <c r="A46" s="89" t="s">
        <v>175</v>
      </c>
      <c r="B46" s="90" t="n">
        <f aca="false">ROUND(+B45/(1-0.02)-B45,0)</f>
        <v>-52</v>
      </c>
      <c r="C46" s="91" t="n">
        <v>0</v>
      </c>
      <c r="D46" s="89" t="n">
        <v>0</v>
      </c>
      <c r="E46" s="92" t="n">
        <f aca="false">+B46*C46</f>
        <v>-0</v>
      </c>
      <c r="F46" s="92" t="n">
        <f aca="false">+B46*D46</f>
        <v>-0</v>
      </c>
      <c r="G46" s="89"/>
      <c r="H46" s="111"/>
      <c r="I46" s="89"/>
    </row>
    <row r="47" customFormat="false" ht="12.75" hidden="false" customHeight="false" outlineLevel="0" collapsed="false">
      <c r="A47" s="89" t="s">
        <v>38</v>
      </c>
      <c r="B47" s="90" t="n">
        <v>0</v>
      </c>
      <c r="C47" s="91" t="n">
        <v>0</v>
      </c>
      <c r="D47" s="89" t="n">
        <v>0</v>
      </c>
      <c r="E47" s="92" t="n">
        <f aca="false">+B47*C47</f>
        <v>0</v>
      </c>
      <c r="F47" s="92" t="n">
        <f aca="false">+B47*D47</f>
        <v>0</v>
      </c>
      <c r="G47" s="89"/>
      <c r="H47" s="111"/>
      <c r="I47" s="89"/>
    </row>
    <row r="48" customFormat="false" ht="12.75" hidden="false" customHeight="false" outlineLevel="0" collapsed="false">
      <c r="A48" s="89" t="s">
        <v>176</v>
      </c>
      <c r="B48" s="90" t="n">
        <f aca="false">-6000+496</f>
        <v>-5504</v>
      </c>
      <c r="C48" s="91" t="n">
        <f aca="false">3.738+0.425</f>
        <v>4.163</v>
      </c>
      <c r="D48" s="89" t="n">
        <v>-0.0195</v>
      </c>
      <c r="E48" s="92" t="n">
        <f aca="false">+B48*C48</f>
        <v>-22913.152</v>
      </c>
      <c r="F48" s="92" t="n">
        <f aca="false">+B48*D48</f>
        <v>107.328</v>
      </c>
      <c r="G48" s="89"/>
      <c r="H48" s="111"/>
      <c r="I48" s="89"/>
    </row>
    <row r="49" customFormat="false" ht="12.75" hidden="false" customHeight="false" outlineLevel="0" collapsed="false">
      <c r="A49" s="89" t="s">
        <v>176</v>
      </c>
      <c r="B49" s="90" t="n">
        <v>0</v>
      </c>
      <c r="C49" s="91" t="n">
        <v>0</v>
      </c>
      <c r="D49" s="89"/>
      <c r="E49" s="92" t="n">
        <f aca="false">+B49*C49</f>
        <v>0</v>
      </c>
      <c r="F49" s="92" t="n">
        <f aca="false">+B49*D49</f>
        <v>0</v>
      </c>
      <c r="G49" s="89"/>
      <c r="H49" s="111"/>
      <c r="I49" s="89"/>
    </row>
    <row r="50" customFormat="false" ht="12.75" hidden="false" customHeight="false" outlineLevel="0" collapsed="false">
      <c r="A50" s="89" t="s">
        <v>178</v>
      </c>
      <c r="B50" s="90" t="n">
        <f aca="false">ROUND((+B48+B49)/(1-0.0081)-(+B48+B49),0)</f>
        <v>-45</v>
      </c>
      <c r="C50" s="91"/>
      <c r="D50" s="89" t="n">
        <v>0</v>
      </c>
      <c r="E50" s="92" t="n">
        <f aca="false">+B50*C50</f>
        <v>-0</v>
      </c>
      <c r="F50" s="92" t="n">
        <f aca="false">+B50*D50</f>
        <v>-0</v>
      </c>
      <c r="G50" s="89"/>
      <c r="H50" s="111"/>
      <c r="I50" s="89"/>
    </row>
    <row r="51" customFormat="false" ht="12.75" hidden="false" customHeight="false" outlineLevel="0" collapsed="false">
      <c r="A51" s="89" t="s">
        <v>179</v>
      </c>
      <c r="B51" s="90" t="n">
        <f aca="false">ROUND((+B48+B49+B50)/0.98-(B48+B49+B50),0)</f>
        <v>-113</v>
      </c>
      <c r="C51" s="91"/>
      <c r="D51" s="89" t="n">
        <v>0</v>
      </c>
      <c r="E51" s="92" t="n">
        <f aca="false">+B51*C51</f>
        <v>-0</v>
      </c>
      <c r="F51" s="92" t="n">
        <f aca="false">+B51*D51</f>
        <v>-0</v>
      </c>
      <c r="G51" s="89"/>
      <c r="H51" s="111"/>
      <c r="I51" s="89"/>
    </row>
    <row r="52" customFormat="false" ht="12.75" hidden="false" customHeight="false" outlineLevel="0" collapsed="false">
      <c r="A52" s="89"/>
      <c r="B52" s="90"/>
      <c r="C52" s="91"/>
      <c r="D52" s="89"/>
      <c r="E52" s="92"/>
      <c r="F52" s="92"/>
      <c r="G52" s="89"/>
      <c r="H52" s="111"/>
      <c r="I52" s="89"/>
    </row>
    <row r="53" customFormat="false" ht="12.75" hidden="false" customHeight="false" outlineLevel="0" collapsed="false">
      <c r="A53" s="89"/>
      <c r="B53" s="90"/>
      <c r="C53" s="91"/>
      <c r="D53" s="89"/>
      <c r="E53" s="92"/>
      <c r="F53" s="92"/>
      <c r="G53" s="89"/>
      <c r="H53" s="111"/>
      <c r="I53" s="89"/>
    </row>
    <row r="54" customFormat="false" ht="12.75" hidden="false" customHeight="false" outlineLevel="0" collapsed="false">
      <c r="A54" s="89" t="s">
        <v>176</v>
      </c>
      <c r="B54" s="90" t="n">
        <v>-496</v>
      </c>
      <c r="C54" s="91" t="n">
        <f aca="false">3.738+0.425</f>
        <v>4.163</v>
      </c>
      <c r="D54" s="89" t="n">
        <v>-0.0195</v>
      </c>
      <c r="E54" s="92" t="n">
        <f aca="false">+B54*C54</f>
        <v>-2064.848</v>
      </c>
      <c r="F54" s="92" t="n">
        <f aca="false">+B54*D54</f>
        <v>9.672</v>
      </c>
      <c r="G54" s="89"/>
      <c r="H54" s="111"/>
      <c r="I54" s="89"/>
    </row>
    <row r="55" customFormat="false" ht="12.75" hidden="false" customHeight="false" outlineLevel="0" collapsed="false">
      <c r="A55" s="89" t="s">
        <v>178</v>
      </c>
      <c r="B55" s="90" t="n">
        <f aca="false">ROUND(+B54/(1-0.0081)-B54,0)</f>
        <v>-4</v>
      </c>
      <c r="C55" s="91" t="n">
        <v>0</v>
      </c>
      <c r="D55" s="89" t="n">
        <v>0</v>
      </c>
      <c r="E55" s="92" t="n">
        <f aca="false">+B55*C55</f>
        <v>-0</v>
      </c>
      <c r="F55" s="92" t="n">
        <f aca="false">+B55*D55</f>
        <v>-0</v>
      </c>
      <c r="G55" s="89"/>
      <c r="H55" s="111"/>
      <c r="I55" s="89"/>
    </row>
    <row r="56" customFormat="false" ht="12.75" hidden="false" customHeight="false" outlineLevel="0" collapsed="false">
      <c r="A56" s="89" t="s">
        <v>180</v>
      </c>
      <c r="B56" s="90" t="n">
        <v>500</v>
      </c>
      <c r="C56" s="91" t="n">
        <f aca="false">3.95-0.04</f>
        <v>3.91</v>
      </c>
      <c r="D56" s="89" t="n">
        <v>0</v>
      </c>
      <c r="E56" s="92" t="n">
        <f aca="false">+B56*C56</f>
        <v>1955</v>
      </c>
      <c r="F56" s="92" t="n">
        <f aca="false">+B56*D56</f>
        <v>0</v>
      </c>
      <c r="G56" s="89"/>
      <c r="H56" s="111"/>
      <c r="I56" s="89"/>
    </row>
    <row r="57" customFormat="false" ht="12.75" hidden="false" customHeight="false" outlineLevel="0" collapsed="false">
      <c r="A57" s="89" t="s">
        <v>42</v>
      </c>
      <c r="B57" s="90" t="n">
        <v>0</v>
      </c>
      <c r="C57" s="91" t="n">
        <v>0</v>
      </c>
      <c r="D57" s="89" t="n">
        <v>0</v>
      </c>
      <c r="E57" s="92" t="n">
        <f aca="false">+B57*C57</f>
        <v>0</v>
      </c>
      <c r="F57" s="92" t="n">
        <f aca="false">+B57*D57</f>
        <v>0</v>
      </c>
      <c r="G57" s="89"/>
      <c r="H57" s="111"/>
      <c r="I57" s="89"/>
    </row>
    <row r="58" customFormat="false" ht="12.75" hidden="false" customHeight="false" outlineLevel="0" collapsed="false">
      <c r="A58" s="112" t="s">
        <v>181</v>
      </c>
      <c r="B58" s="90" t="n">
        <f aca="false">SUM(B8:B57)</f>
        <v>25432</v>
      </c>
      <c r="C58" s="91"/>
      <c r="D58" s="89"/>
      <c r="E58" s="92" t="n">
        <f aca="false">SUM(E8:E57)</f>
        <v>91328.914</v>
      </c>
      <c r="F58" s="92" t="n">
        <f aca="false">SUM(F8:F57)</f>
        <v>125.834</v>
      </c>
      <c r="G58" s="89"/>
      <c r="H58" s="89"/>
      <c r="I58" s="89"/>
    </row>
    <row r="59" customFormat="false" ht="12.75" hidden="false" customHeight="false" outlineLevel="0" collapsed="false">
      <c r="E59" s="113"/>
      <c r="F59" s="113"/>
    </row>
    <row r="60" customFormat="false" ht="12.75" hidden="false" customHeight="false" outlineLevel="0" collapsed="false">
      <c r="E60" s="113"/>
      <c r="F60" s="113"/>
    </row>
    <row r="61" customFormat="false" ht="12.75" hidden="false" customHeight="false" outlineLevel="0" collapsed="false">
      <c r="E61" s="113"/>
      <c r="F61" s="113"/>
    </row>
    <row r="62" customFormat="false" ht="12.75" hidden="false" customHeight="false" outlineLevel="0" collapsed="false">
      <c r="E62" s="113"/>
      <c r="F62" s="113"/>
    </row>
    <row r="63" customFormat="false" ht="15.75" hidden="false" customHeight="false" outlineLevel="0" collapsed="false">
      <c r="A63" s="114" t="s">
        <v>182</v>
      </c>
      <c r="B63" s="115"/>
      <c r="C63" s="116"/>
      <c r="D63" s="117"/>
      <c r="E63" s="118"/>
      <c r="F63" s="118"/>
      <c r="G63" s="117"/>
      <c r="H63" s="117"/>
      <c r="I63" s="117"/>
    </row>
    <row r="64" customFormat="false" ht="12.75" hidden="false" customHeight="false" outlineLevel="0" collapsed="false">
      <c r="A64" s="117" t="s">
        <v>183</v>
      </c>
      <c r="B64" s="115"/>
      <c r="C64" s="116"/>
      <c r="D64" s="117"/>
      <c r="E64" s="118"/>
      <c r="F64" s="118"/>
      <c r="G64" s="117"/>
      <c r="H64" s="117"/>
      <c r="I64" s="117"/>
    </row>
    <row r="65" customFormat="false" ht="12.75" hidden="false" customHeight="false" outlineLevel="0" collapsed="false">
      <c r="A65" s="117" t="s">
        <v>184</v>
      </c>
      <c r="B65" s="115" t="n">
        <v>6081</v>
      </c>
      <c r="C65" s="116" t="n">
        <v>3.745</v>
      </c>
      <c r="D65" s="117" t="n">
        <v>-0.0125</v>
      </c>
      <c r="E65" s="118" t="n">
        <f aca="false">+B65*C65</f>
        <v>22773.345</v>
      </c>
      <c r="F65" s="118" t="n">
        <f aca="false">+B65*D65</f>
        <v>-76.0125</v>
      </c>
      <c r="G65" s="117"/>
      <c r="H65" s="117"/>
      <c r="I65" s="117"/>
    </row>
    <row r="66" customFormat="false" ht="12.75" hidden="false" customHeight="false" outlineLevel="0" collapsed="false">
      <c r="A66" s="117" t="s">
        <v>185</v>
      </c>
      <c r="B66" s="115" t="n">
        <v>11734</v>
      </c>
      <c r="C66" s="116" t="n">
        <v>3.735</v>
      </c>
      <c r="D66" s="117" t="n">
        <v>-0.0125</v>
      </c>
      <c r="E66" s="118" t="n">
        <f aca="false">+B66*C66</f>
        <v>43826.49</v>
      </c>
      <c r="F66" s="118" t="n">
        <f aca="false">+B66*D66</f>
        <v>-146.675</v>
      </c>
      <c r="G66" s="117"/>
      <c r="H66" s="117"/>
      <c r="I66" s="117"/>
    </row>
    <row r="67" customFormat="false" ht="12.75" hidden="false" customHeight="false" outlineLevel="0" collapsed="false">
      <c r="A67" s="117" t="s">
        <v>185</v>
      </c>
      <c r="B67" s="115" t="n">
        <v>0</v>
      </c>
      <c r="C67" s="116" t="n">
        <v>0</v>
      </c>
      <c r="D67" s="117" t="n">
        <v>-0.0125</v>
      </c>
      <c r="E67" s="118" t="n">
        <f aca="false">+B67*C67</f>
        <v>0</v>
      </c>
      <c r="F67" s="118" t="n">
        <f aca="false">+B67*D67</f>
        <v>-0</v>
      </c>
      <c r="G67" s="117"/>
      <c r="H67" s="117"/>
      <c r="I67" s="117"/>
    </row>
    <row r="68" customFormat="false" ht="12.75" hidden="false" customHeight="false" outlineLevel="0" collapsed="false">
      <c r="A68" s="117"/>
      <c r="B68" s="115"/>
      <c r="C68" s="116"/>
      <c r="D68" s="117"/>
      <c r="E68" s="118"/>
      <c r="F68" s="118"/>
      <c r="G68" s="117"/>
      <c r="H68" s="117"/>
      <c r="I68" s="117"/>
    </row>
    <row r="69" customFormat="false" ht="12.75" hidden="false" customHeight="false" outlineLevel="0" collapsed="false">
      <c r="A69" s="117" t="s">
        <v>186</v>
      </c>
      <c r="B69" s="115"/>
      <c r="C69" s="116"/>
      <c r="D69" s="117"/>
      <c r="E69" s="118"/>
      <c r="F69" s="118"/>
      <c r="G69" s="117"/>
      <c r="H69" s="117"/>
      <c r="I69" s="117"/>
    </row>
    <row r="70" customFormat="false" ht="12.75" hidden="false" customHeight="false" outlineLevel="0" collapsed="false">
      <c r="A70" s="117" t="s">
        <v>38</v>
      </c>
      <c r="B70" s="115" t="n">
        <v>2177</v>
      </c>
      <c r="C70" s="116" t="n">
        <v>3.715</v>
      </c>
      <c r="D70" s="117" t="n">
        <v>-0.0125</v>
      </c>
      <c r="E70" s="118" t="n">
        <f aca="false">+B70*C70</f>
        <v>8087.555</v>
      </c>
      <c r="F70" s="118" t="n">
        <f aca="false">+B70*D70</f>
        <v>-27.2125</v>
      </c>
      <c r="G70" s="117"/>
      <c r="H70" s="117"/>
      <c r="I70" s="117"/>
    </row>
    <row r="71" customFormat="false" ht="12.75" hidden="false" customHeight="false" outlineLevel="0" collapsed="false">
      <c r="A71" s="117" t="s">
        <v>97</v>
      </c>
      <c r="B71" s="115" t="n">
        <f aca="false">ROUND(+B70/(1-0.0045)-B70,0)</f>
        <v>10</v>
      </c>
      <c r="C71" s="116"/>
      <c r="D71" s="117"/>
      <c r="E71" s="118"/>
      <c r="F71" s="118"/>
      <c r="G71" s="117"/>
      <c r="H71" s="117"/>
      <c r="I71" s="117"/>
    </row>
    <row r="72" customFormat="false" ht="12.75" hidden="false" customHeight="false" outlineLevel="0" collapsed="false">
      <c r="A72" s="117" t="s">
        <v>188</v>
      </c>
      <c r="B72" s="115" t="n">
        <v>0</v>
      </c>
      <c r="C72" s="116" t="n">
        <v>0</v>
      </c>
      <c r="D72" s="117" t="n">
        <v>-0.0125</v>
      </c>
      <c r="E72" s="118" t="n">
        <f aca="false">+B72*C72</f>
        <v>0</v>
      </c>
      <c r="F72" s="118" t="n">
        <f aca="false">+B72*D72</f>
        <v>-0</v>
      </c>
      <c r="G72" s="117"/>
      <c r="H72" s="117"/>
      <c r="I72" s="117"/>
    </row>
    <row r="73" customFormat="false" ht="12.75" hidden="false" customHeight="false" outlineLevel="0" collapsed="false">
      <c r="A73" s="117" t="s">
        <v>189</v>
      </c>
      <c r="B73" s="115" t="n">
        <v>0</v>
      </c>
      <c r="C73" s="116" t="n">
        <v>0</v>
      </c>
      <c r="D73" s="117" t="n">
        <v>-0.0125</v>
      </c>
      <c r="E73" s="118" t="n">
        <f aca="false">+B73*C73</f>
        <v>0</v>
      </c>
      <c r="F73" s="118" t="n">
        <f aca="false">+B73*D73</f>
        <v>-0</v>
      </c>
      <c r="G73" s="117"/>
      <c r="H73" s="117"/>
      <c r="I73" s="117"/>
    </row>
    <row r="74" customFormat="false" ht="12.75" hidden="false" customHeight="false" outlineLevel="0" collapsed="false">
      <c r="A74" s="117"/>
      <c r="B74" s="115"/>
      <c r="C74" s="116"/>
      <c r="D74" s="117"/>
      <c r="E74" s="118"/>
      <c r="F74" s="118"/>
      <c r="G74" s="117"/>
      <c r="H74" s="117"/>
      <c r="I74" s="117"/>
    </row>
    <row r="75" customFormat="false" ht="12.75" hidden="false" customHeight="false" outlineLevel="0" collapsed="false">
      <c r="A75" s="117" t="s">
        <v>190</v>
      </c>
      <c r="B75" s="115"/>
      <c r="C75" s="116"/>
      <c r="D75" s="117"/>
      <c r="E75" s="118"/>
      <c r="F75" s="118"/>
      <c r="G75" s="117"/>
      <c r="H75" s="117"/>
      <c r="I75" s="117"/>
    </row>
    <row r="76" customFormat="false" ht="12.75" hidden="false" customHeight="false" outlineLevel="0" collapsed="false">
      <c r="A76" s="117" t="s">
        <v>191</v>
      </c>
      <c r="B76" s="115" t="n">
        <v>0</v>
      </c>
      <c r="C76" s="116" t="n">
        <v>0</v>
      </c>
      <c r="D76" s="117" t="n">
        <v>-0.0125</v>
      </c>
      <c r="E76" s="118" t="n">
        <f aca="false">+B76*C76</f>
        <v>0</v>
      </c>
      <c r="F76" s="118" t="n">
        <f aca="false">+B76*D76</f>
        <v>-0</v>
      </c>
      <c r="G76" s="117"/>
      <c r="H76" s="117"/>
      <c r="I76" s="117"/>
    </row>
    <row r="77" customFormat="false" ht="12.75" hidden="false" customHeight="false" outlineLevel="0" collapsed="false">
      <c r="A77" s="117" t="s">
        <v>191</v>
      </c>
      <c r="B77" s="115" t="n">
        <v>0</v>
      </c>
      <c r="C77" s="116" t="n">
        <v>0</v>
      </c>
      <c r="D77" s="117" t="n">
        <v>-0.0125</v>
      </c>
      <c r="E77" s="118" t="n">
        <f aca="false">+B77*C77</f>
        <v>0</v>
      </c>
      <c r="F77" s="118" t="n">
        <f aca="false">+B77*D77</f>
        <v>-0</v>
      </c>
      <c r="G77" s="117"/>
      <c r="H77" s="117"/>
      <c r="I77" s="117"/>
    </row>
    <row r="78" customFormat="false" ht="12.75" hidden="false" customHeight="false" outlineLevel="0" collapsed="false">
      <c r="A78" s="117" t="s">
        <v>191</v>
      </c>
      <c r="B78" s="115" t="n">
        <v>0</v>
      </c>
      <c r="C78" s="116" t="n">
        <v>0</v>
      </c>
      <c r="D78" s="117" t="n">
        <v>-0.0125</v>
      </c>
      <c r="E78" s="118" t="n">
        <f aca="false">+B78*C78</f>
        <v>0</v>
      </c>
      <c r="F78" s="118" t="n">
        <f aca="false">+B78*D78</f>
        <v>-0</v>
      </c>
      <c r="G78" s="117"/>
      <c r="H78" s="117"/>
      <c r="I78" s="117"/>
    </row>
    <row r="79" customFormat="false" ht="12.75" hidden="false" customHeight="false" outlineLevel="0" collapsed="false">
      <c r="A79" s="117" t="s">
        <v>192</v>
      </c>
      <c r="B79" s="115" t="n">
        <v>0</v>
      </c>
      <c r="C79" s="116" t="n">
        <v>0</v>
      </c>
      <c r="D79" s="117" t="n">
        <v>-0.0125</v>
      </c>
      <c r="E79" s="118" t="n">
        <f aca="false">+B79*C79</f>
        <v>0</v>
      </c>
      <c r="F79" s="118" t="n">
        <f aca="false">+B79*D79</f>
        <v>-0</v>
      </c>
      <c r="G79" s="117"/>
      <c r="H79" s="117"/>
      <c r="I79" s="117"/>
    </row>
    <row r="80" customFormat="false" ht="12.75" hidden="false" customHeight="false" outlineLevel="0" collapsed="false">
      <c r="A80" s="117" t="s">
        <v>192</v>
      </c>
      <c r="B80" s="115" t="n">
        <v>0</v>
      </c>
      <c r="C80" s="116" t="n">
        <v>0</v>
      </c>
      <c r="D80" s="117" t="n">
        <v>-0.0125</v>
      </c>
      <c r="E80" s="118" t="n">
        <f aca="false">+B80*C80</f>
        <v>0</v>
      </c>
      <c r="F80" s="118" t="n">
        <f aca="false">+B80*D80</f>
        <v>-0</v>
      </c>
      <c r="G80" s="117"/>
      <c r="H80" s="117"/>
      <c r="I80" s="117"/>
    </row>
    <row r="81" customFormat="false" ht="12.75" hidden="false" customHeight="false" outlineLevel="0" collapsed="false">
      <c r="A81" s="117" t="s">
        <v>192</v>
      </c>
      <c r="B81" s="115" t="n">
        <v>0</v>
      </c>
      <c r="C81" s="116" t="n">
        <v>0</v>
      </c>
      <c r="D81" s="117" t="n">
        <v>-0.0125</v>
      </c>
      <c r="E81" s="118" t="n">
        <f aca="false">+B81*C81</f>
        <v>0</v>
      </c>
      <c r="F81" s="118" t="n">
        <f aca="false">+B81*D81</f>
        <v>-0</v>
      </c>
      <c r="G81" s="117"/>
      <c r="H81" s="117"/>
      <c r="I81" s="117"/>
    </row>
    <row r="82" customFormat="false" ht="12.75" hidden="false" customHeight="false" outlineLevel="0" collapsed="false">
      <c r="A82" s="117"/>
      <c r="B82" s="115"/>
      <c r="C82" s="116"/>
      <c r="D82" s="117"/>
      <c r="E82" s="118"/>
      <c r="F82" s="118"/>
      <c r="G82" s="117"/>
      <c r="H82" s="117"/>
      <c r="I82" s="117"/>
    </row>
    <row r="83" customFormat="false" ht="12.75" hidden="false" customHeight="false" outlineLevel="0" collapsed="false">
      <c r="A83" s="117"/>
      <c r="B83" s="115"/>
      <c r="C83" s="116"/>
      <c r="D83" s="117"/>
      <c r="E83" s="118"/>
      <c r="F83" s="118"/>
      <c r="G83" s="117"/>
      <c r="H83" s="117"/>
      <c r="I83" s="117"/>
    </row>
    <row r="84" customFormat="false" ht="13.5" hidden="false" customHeight="false" outlineLevel="0" collapsed="false">
      <c r="A84" s="117"/>
      <c r="B84" s="115"/>
      <c r="C84" s="116"/>
      <c r="D84" s="117"/>
      <c r="E84" s="118"/>
      <c r="F84" s="118"/>
      <c r="G84" s="117"/>
      <c r="H84" s="117"/>
      <c r="I84" s="117"/>
    </row>
    <row r="85" customFormat="false" ht="12.75" hidden="false" customHeight="false" outlineLevel="0" collapsed="false">
      <c r="A85" s="119" t="s">
        <v>193</v>
      </c>
      <c r="B85" s="120" t="n">
        <v>0</v>
      </c>
      <c r="C85" s="121" t="n">
        <v>0</v>
      </c>
      <c r="D85" s="122" t="n">
        <v>0</v>
      </c>
      <c r="E85" s="123" t="n">
        <f aca="false">+B85*C85</f>
        <v>0</v>
      </c>
      <c r="F85" s="123" t="n">
        <f aca="false">+B85*D85</f>
        <v>0</v>
      </c>
      <c r="G85" s="122"/>
      <c r="H85" s="122"/>
      <c r="I85" s="124"/>
    </row>
    <row r="86" customFormat="false" ht="12.75" hidden="false" customHeight="false" outlineLevel="0" collapsed="false">
      <c r="A86" s="125"/>
      <c r="B86" s="115" t="n">
        <v>0</v>
      </c>
      <c r="C86" s="116" t="n">
        <v>0</v>
      </c>
      <c r="D86" s="126" t="n">
        <v>0</v>
      </c>
      <c r="E86" s="118" t="n">
        <f aca="false">+B86*C86</f>
        <v>0</v>
      </c>
      <c r="F86" s="118" t="n">
        <f aca="false">+B86*D86</f>
        <v>0</v>
      </c>
      <c r="G86" s="126"/>
      <c r="H86" s="126"/>
      <c r="I86" s="127"/>
    </row>
    <row r="87" customFormat="false" ht="12.75" hidden="false" customHeight="false" outlineLevel="0" collapsed="false">
      <c r="A87" s="128" t="s">
        <v>194</v>
      </c>
      <c r="B87" s="129" t="n">
        <f aca="false">SUM(B85:B86)</f>
        <v>0</v>
      </c>
      <c r="C87" s="116"/>
      <c r="D87" s="126"/>
      <c r="E87" s="118"/>
      <c r="F87" s="118"/>
      <c r="G87" s="126"/>
      <c r="H87" s="126"/>
      <c r="I87" s="127"/>
    </row>
    <row r="88" customFormat="false" ht="12.75" hidden="false" customHeight="false" outlineLevel="0" collapsed="false">
      <c r="A88" s="125"/>
      <c r="B88" s="115"/>
      <c r="C88" s="116"/>
      <c r="D88" s="126"/>
      <c r="E88" s="118"/>
      <c r="F88" s="118"/>
      <c r="G88" s="126"/>
      <c r="H88" s="126" t="s">
        <v>195</v>
      </c>
      <c r="I88" s="127"/>
    </row>
    <row r="89" customFormat="false" ht="12.75" hidden="false" customHeight="false" outlineLevel="0" collapsed="false">
      <c r="A89" s="125" t="s">
        <v>196</v>
      </c>
      <c r="B89" s="115" t="n">
        <v>0</v>
      </c>
      <c r="C89" s="115" t="n">
        <f aca="false">ROUND(+B89/(1-0.0307)-B89,0)</f>
        <v>0</v>
      </c>
      <c r="D89" s="126" t="n">
        <v>-0.0118</v>
      </c>
      <c r="E89" s="118"/>
      <c r="F89" s="118" t="n">
        <f aca="false">+D89*B89</f>
        <v>-0</v>
      </c>
      <c r="G89" s="126"/>
      <c r="H89" s="126" t="n">
        <v>637172</v>
      </c>
      <c r="I89" s="127"/>
    </row>
    <row r="90" customFormat="false" ht="12.75" hidden="false" customHeight="false" outlineLevel="0" collapsed="false">
      <c r="A90" s="125" t="s">
        <v>197</v>
      </c>
      <c r="B90" s="115" t="n">
        <v>0</v>
      </c>
      <c r="C90" s="115" t="n">
        <f aca="false">ROUND(+B90/(1-0.0734)-B90,0)</f>
        <v>0</v>
      </c>
      <c r="D90" s="126" t="n">
        <v>-0.0539</v>
      </c>
      <c r="E90" s="118"/>
      <c r="F90" s="118" t="n">
        <f aca="false">+D90*B90</f>
        <v>-0</v>
      </c>
      <c r="G90" s="126"/>
      <c r="H90" s="126"/>
      <c r="I90" s="127"/>
    </row>
    <row r="91" customFormat="false" ht="12.75" hidden="false" customHeight="false" outlineLevel="0" collapsed="false">
      <c r="A91" s="125" t="s">
        <v>198</v>
      </c>
      <c r="B91" s="115" t="n">
        <v>0</v>
      </c>
      <c r="C91" s="115" t="n">
        <f aca="false">ROUND(+B91/(1-0.0707)-B91,0)</f>
        <v>0</v>
      </c>
      <c r="D91" s="126" t="n">
        <v>-0.0523</v>
      </c>
      <c r="E91" s="118"/>
      <c r="F91" s="118" t="n">
        <f aca="false">+D91*B91</f>
        <v>-0</v>
      </c>
      <c r="G91" s="126"/>
      <c r="H91" s="126"/>
      <c r="I91" s="127"/>
    </row>
    <row r="92" customFormat="false" ht="12.75" hidden="false" customHeight="false" outlineLevel="0" collapsed="false">
      <c r="A92" s="125" t="s">
        <v>199</v>
      </c>
      <c r="B92" s="115" t="n">
        <v>0</v>
      </c>
      <c r="C92" s="115" t="n">
        <f aca="false">ROUND(+B92/(1-0.0707)-B92,0)</f>
        <v>0</v>
      </c>
      <c r="D92" s="126" t="n">
        <v>-0.0523</v>
      </c>
      <c r="E92" s="118"/>
      <c r="F92" s="118" t="n">
        <f aca="false">+D92*B92</f>
        <v>-0</v>
      </c>
      <c r="G92" s="126"/>
      <c r="H92" s="126"/>
      <c r="I92" s="127"/>
    </row>
    <row r="93" customFormat="false" ht="12.75" hidden="false" customHeight="false" outlineLevel="0" collapsed="false">
      <c r="A93" s="125"/>
      <c r="B93" s="115" t="n">
        <f aca="false">SUM(B89:B92)</f>
        <v>0</v>
      </c>
      <c r="C93" s="115" t="n">
        <f aca="false">SUM(C89:C92)</f>
        <v>0</v>
      </c>
      <c r="D93" s="126"/>
      <c r="E93" s="118"/>
      <c r="F93" s="118"/>
      <c r="G93" s="126"/>
      <c r="H93" s="126"/>
      <c r="I93" s="127"/>
    </row>
    <row r="94" customFormat="false" ht="12.75" hidden="false" customHeight="false" outlineLevel="0" collapsed="false">
      <c r="A94" s="125"/>
      <c r="B94" s="129" t="n">
        <f aca="false">+B93+C93</f>
        <v>0</v>
      </c>
      <c r="C94" s="116"/>
      <c r="D94" s="126"/>
      <c r="E94" s="118"/>
      <c r="F94" s="118"/>
      <c r="G94" s="126"/>
      <c r="H94" s="126"/>
      <c r="I94" s="127"/>
    </row>
    <row r="95" customFormat="false" ht="13.5" hidden="false" customHeight="false" outlineLevel="0" collapsed="false">
      <c r="A95" s="130"/>
      <c r="B95" s="131"/>
      <c r="C95" s="132"/>
      <c r="D95" s="133"/>
      <c r="E95" s="134"/>
      <c r="F95" s="134"/>
      <c r="G95" s="133"/>
      <c r="H95" s="133"/>
      <c r="I95" s="135"/>
    </row>
    <row r="96" customFormat="false" ht="12.75" hidden="false" customHeight="false" outlineLevel="0" collapsed="false">
      <c r="A96" s="117"/>
      <c r="B96" s="115"/>
      <c r="C96" s="116"/>
      <c r="D96" s="117"/>
      <c r="E96" s="118"/>
      <c r="F96" s="118"/>
      <c r="G96" s="117"/>
      <c r="H96" s="117"/>
      <c r="I96" s="117"/>
    </row>
    <row r="97" customFormat="false" ht="13.5" hidden="false" customHeight="false" outlineLevel="0" collapsed="false">
      <c r="A97" s="117"/>
      <c r="B97" s="115"/>
      <c r="C97" s="116"/>
      <c r="D97" s="117"/>
      <c r="E97" s="118"/>
      <c r="F97" s="118"/>
      <c r="G97" s="117"/>
      <c r="H97" s="117"/>
      <c r="I97" s="117"/>
    </row>
    <row r="98" customFormat="false" ht="12.75" hidden="false" customHeight="false" outlineLevel="0" collapsed="false">
      <c r="A98" s="119" t="s">
        <v>200</v>
      </c>
      <c r="B98" s="120" t="n">
        <v>0</v>
      </c>
      <c r="C98" s="121" t="n">
        <v>0</v>
      </c>
      <c r="D98" s="122" t="n">
        <v>0</v>
      </c>
      <c r="E98" s="123" t="n">
        <f aca="false">+B98*C98</f>
        <v>0</v>
      </c>
      <c r="F98" s="123" t="n">
        <f aca="false">+B98*D98</f>
        <v>0</v>
      </c>
      <c r="G98" s="122"/>
      <c r="H98" s="122"/>
      <c r="I98" s="124"/>
    </row>
    <row r="99" customFormat="false" ht="12.75" hidden="false" customHeight="false" outlineLevel="0" collapsed="false">
      <c r="A99" s="125" t="s">
        <v>201</v>
      </c>
      <c r="B99" s="115" t="n">
        <v>0</v>
      </c>
      <c r="C99" s="116" t="n">
        <v>0</v>
      </c>
      <c r="D99" s="126" t="n">
        <v>0</v>
      </c>
      <c r="E99" s="118" t="n">
        <f aca="false">+B99*C99</f>
        <v>0</v>
      </c>
      <c r="F99" s="118" t="n">
        <f aca="false">+B99*D99</f>
        <v>0</v>
      </c>
      <c r="G99" s="126"/>
      <c r="H99" s="126"/>
      <c r="I99" s="127"/>
    </row>
    <row r="100" customFormat="false" ht="12.75" hidden="false" customHeight="false" outlineLevel="0" collapsed="false">
      <c r="A100" s="128" t="s">
        <v>202</v>
      </c>
      <c r="B100" s="129" t="n">
        <f aca="false">SUM(B98:B99)</f>
        <v>0</v>
      </c>
      <c r="C100" s="116"/>
      <c r="D100" s="126"/>
      <c r="E100" s="118"/>
      <c r="F100" s="118"/>
      <c r="G100" s="126"/>
      <c r="H100" s="126"/>
      <c r="I100" s="127"/>
    </row>
    <row r="101" customFormat="false" ht="12.75" hidden="false" customHeight="false" outlineLevel="0" collapsed="false">
      <c r="A101" s="125"/>
      <c r="B101" s="115"/>
      <c r="C101" s="116"/>
      <c r="D101" s="126"/>
      <c r="E101" s="118"/>
      <c r="F101" s="118"/>
      <c r="G101" s="126"/>
      <c r="H101" s="126" t="s">
        <v>195</v>
      </c>
      <c r="I101" s="127"/>
    </row>
    <row r="102" customFormat="false" ht="12.75" hidden="false" customHeight="false" outlineLevel="0" collapsed="false">
      <c r="A102" s="125" t="s">
        <v>196</v>
      </c>
      <c r="B102" s="115" t="n">
        <v>0</v>
      </c>
      <c r="C102" s="115" t="n">
        <f aca="false">ROUND(+B102/(1-0.0795)-B102,0)</f>
        <v>0</v>
      </c>
      <c r="D102" s="126" t="n">
        <v>-0.0576</v>
      </c>
      <c r="E102" s="118"/>
      <c r="F102" s="118" t="n">
        <f aca="false">+D102*B102</f>
        <v>-0</v>
      </c>
      <c r="G102" s="126"/>
      <c r="H102" s="126" t="n">
        <v>640171</v>
      </c>
      <c r="I102" s="127"/>
    </row>
    <row r="103" customFormat="false" ht="12.75" hidden="false" customHeight="false" outlineLevel="0" collapsed="false">
      <c r="A103" s="125" t="s">
        <v>197</v>
      </c>
      <c r="B103" s="115" t="n">
        <v>0</v>
      </c>
      <c r="C103" s="115" t="n">
        <f aca="false">ROUND(+B103/(1-0.0734)-B103,0)</f>
        <v>0</v>
      </c>
      <c r="D103" s="126" t="n">
        <v>-0.0539</v>
      </c>
      <c r="E103" s="118"/>
      <c r="F103" s="118" t="n">
        <f aca="false">+D103*B103</f>
        <v>-0</v>
      </c>
      <c r="G103" s="126"/>
      <c r="H103" s="126" t="n">
        <v>640179</v>
      </c>
      <c r="I103" s="127"/>
    </row>
    <row r="104" customFormat="false" ht="12.75" hidden="false" customHeight="false" outlineLevel="0" collapsed="false">
      <c r="A104" s="125" t="s">
        <v>203</v>
      </c>
      <c r="B104" s="115" t="n">
        <v>0</v>
      </c>
      <c r="C104" s="115" t="n">
        <f aca="false">ROUND(+B104/(1-0.0707)-B104,0)</f>
        <v>0</v>
      </c>
      <c r="D104" s="126" t="n">
        <v>-0.0523</v>
      </c>
      <c r="E104" s="118"/>
      <c r="F104" s="118" t="n">
        <f aca="false">+D104*B104</f>
        <v>-0</v>
      </c>
      <c r="G104" s="126"/>
      <c r="H104" s="126" t="n">
        <v>637224</v>
      </c>
      <c r="I104" s="127"/>
    </row>
    <row r="105" customFormat="false" ht="12.75" hidden="false" customHeight="false" outlineLevel="0" collapsed="false">
      <c r="A105" s="125" t="s">
        <v>199</v>
      </c>
      <c r="B105" s="115" t="n">
        <v>0</v>
      </c>
      <c r="C105" s="115" t="n">
        <f aca="false">ROUND(+B105/(1-0.0707)-B105,0)</f>
        <v>0</v>
      </c>
      <c r="D105" s="126" t="n">
        <v>-0.0523</v>
      </c>
      <c r="E105" s="118"/>
      <c r="F105" s="118" t="n">
        <f aca="false">+D105*B105</f>
        <v>-0</v>
      </c>
      <c r="G105" s="126"/>
      <c r="H105" s="126" t="n">
        <v>640151</v>
      </c>
      <c r="I105" s="127"/>
    </row>
    <row r="106" customFormat="false" ht="12.75" hidden="false" customHeight="false" outlineLevel="0" collapsed="false">
      <c r="A106" s="125" t="s">
        <v>204</v>
      </c>
      <c r="B106" s="115" t="n">
        <v>0</v>
      </c>
      <c r="C106" s="115" t="n">
        <f aca="false">ROUND(+B106/(1-0.0416)-B106,0)</f>
        <v>0</v>
      </c>
      <c r="D106" s="126" t="n">
        <v>-0.0366</v>
      </c>
      <c r="E106" s="118"/>
      <c r="F106" s="118" t="n">
        <f aca="false">+D106*B106</f>
        <v>-0</v>
      </c>
      <c r="G106" s="126"/>
      <c r="H106" s="126"/>
      <c r="I106" s="127"/>
    </row>
    <row r="107" customFormat="false" ht="12.75" hidden="false" customHeight="false" outlineLevel="0" collapsed="false">
      <c r="A107" s="125" t="s">
        <v>205</v>
      </c>
      <c r="B107" s="115" t="n">
        <v>0</v>
      </c>
      <c r="C107" s="115" t="n">
        <f aca="false">ROUND(+B107/(1-0.0795)-B107,0)</f>
        <v>0</v>
      </c>
      <c r="D107" s="126" t="n">
        <v>-0.1322</v>
      </c>
      <c r="E107" s="118"/>
      <c r="F107" s="118" t="n">
        <f aca="false">+D107*B107</f>
        <v>-0</v>
      </c>
      <c r="G107" s="126"/>
      <c r="H107" s="126" t="n">
        <v>712266</v>
      </c>
      <c r="I107" s="127"/>
    </row>
    <row r="108" customFormat="false" ht="12.75" hidden="false" customHeight="false" outlineLevel="0" collapsed="false">
      <c r="A108" s="125" t="s">
        <v>206</v>
      </c>
      <c r="B108" s="115"/>
      <c r="C108" s="115" t="n">
        <f aca="false">ROUND(+B108/(1-0.0734)-B108,0)</f>
        <v>0</v>
      </c>
      <c r="D108" s="126"/>
      <c r="E108" s="118"/>
      <c r="F108" s="118" t="n">
        <f aca="false">+D108*B108</f>
        <v>0</v>
      </c>
      <c r="G108" s="126"/>
      <c r="H108" s="126"/>
      <c r="I108" s="127"/>
    </row>
    <row r="109" customFormat="false" ht="12.75" hidden="false" customHeight="false" outlineLevel="0" collapsed="false">
      <c r="A109" s="125" t="s">
        <v>207</v>
      </c>
      <c r="B109" s="115"/>
      <c r="C109" s="115" t="n">
        <f aca="false">ROUND(+B109/(1-0.0707)-B109,0)</f>
        <v>0</v>
      </c>
      <c r="D109" s="126"/>
      <c r="E109" s="118"/>
      <c r="F109" s="118" t="n">
        <f aca="false">+D109*B109</f>
        <v>0</v>
      </c>
      <c r="G109" s="126"/>
      <c r="H109" s="126" t="n">
        <v>705541</v>
      </c>
      <c r="I109" s="127"/>
    </row>
    <row r="110" customFormat="false" ht="12.75" hidden="false" customHeight="false" outlineLevel="0" collapsed="false">
      <c r="A110" s="125" t="s">
        <v>208</v>
      </c>
      <c r="B110" s="115"/>
      <c r="C110" s="115" t="n">
        <f aca="false">ROUND(+B110/(1-0.0707)-B110,0)</f>
        <v>0</v>
      </c>
      <c r="D110" s="126"/>
      <c r="E110" s="118"/>
      <c r="F110" s="118" t="n">
        <f aca="false">+D110*B110</f>
        <v>0</v>
      </c>
      <c r="G110" s="126"/>
      <c r="H110" s="126" t="n">
        <v>705238</v>
      </c>
      <c r="I110" s="127"/>
    </row>
    <row r="111" customFormat="false" ht="12.75" hidden="false" customHeight="false" outlineLevel="0" collapsed="false">
      <c r="A111" s="125"/>
      <c r="B111" s="115" t="n">
        <f aca="false">SUM(B102:B110)</f>
        <v>0</v>
      </c>
      <c r="C111" s="115" t="n">
        <f aca="false">SUM(C102:C110)</f>
        <v>0</v>
      </c>
      <c r="D111" s="126"/>
      <c r="E111" s="118"/>
      <c r="F111" s="118"/>
      <c r="G111" s="126"/>
      <c r="H111" s="126"/>
      <c r="I111" s="127"/>
    </row>
    <row r="112" customFormat="false" ht="13.5" hidden="false" customHeight="false" outlineLevel="0" collapsed="false">
      <c r="A112" s="130"/>
      <c r="B112" s="136" t="n">
        <f aca="false">+B111+C111</f>
        <v>0</v>
      </c>
      <c r="C112" s="132"/>
      <c r="D112" s="133"/>
      <c r="E112" s="134"/>
      <c r="F112" s="134"/>
      <c r="G112" s="133"/>
      <c r="H112" s="133"/>
      <c r="I112" s="135"/>
    </row>
    <row r="113" customFormat="false" ht="12.75" hidden="false" customHeight="false" outlineLevel="0" collapsed="false">
      <c r="A113" s="117"/>
      <c r="B113" s="115"/>
      <c r="C113" s="116"/>
      <c r="D113" s="117"/>
      <c r="E113" s="118"/>
      <c r="F113" s="118"/>
      <c r="G113" s="117"/>
      <c r="H113" s="117"/>
      <c r="I113" s="117"/>
    </row>
    <row r="114" customFormat="false" ht="13.5" hidden="false" customHeight="false" outlineLevel="0" collapsed="false">
      <c r="A114" s="117"/>
      <c r="B114" s="115"/>
      <c r="C114" s="116"/>
      <c r="D114" s="117"/>
      <c r="E114" s="118"/>
      <c r="F114" s="118"/>
      <c r="G114" s="117"/>
      <c r="H114" s="117"/>
      <c r="I114" s="117"/>
    </row>
    <row r="115" customFormat="false" ht="12.75" hidden="false" customHeight="false" outlineLevel="0" collapsed="false">
      <c r="A115" s="119" t="s">
        <v>209</v>
      </c>
      <c r="B115" s="120" t="n">
        <v>5000</v>
      </c>
      <c r="C115" s="121" t="n">
        <v>4.24</v>
      </c>
      <c r="D115" s="122" t="n">
        <v>0</v>
      </c>
      <c r="E115" s="123" t="n">
        <f aca="false">+B115*C115</f>
        <v>21200</v>
      </c>
      <c r="F115" s="123" t="n">
        <f aca="false">+B115*D115</f>
        <v>0</v>
      </c>
      <c r="G115" s="122"/>
      <c r="H115" s="122"/>
      <c r="I115" s="124"/>
    </row>
    <row r="116" customFormat="false" ht="12.75" hidden="false" customHeight="false" outlineLevel="0" collapsed="false">
      <c r="A116" s="125" t="s">
        <v>210</v>
      </c>
      <c r="B116" s="115" t="n">
        <v>-5000</v>
      </c>
      <c r="C116" s="116" t="n">
        <v>4.5675</v>
      </c>
      <c r="D116" s="126" t="n">
        <v>0</v>
      </c>
      <c r="E116" s="118" t="n">
        <f aca="false">+B116*C116</f>
        <v>-22837.5</v>
      </c>
      <c r="F116" s="118" t="n">
        <f aca="false">+B116*D116</f>
        <v>-0</v>
      </c>
      <c r="G116" s="126"/>
      <c r="H116" s="126"/>
      <c r="I116" s="127"/>
    </row>
    <row r="117" customFormat="false" ht="12.75" hidden="false" customHeight="false" outlineLevel="0" collapsed="false">
      <c r="A117" s="125" t="s">
        <v>210</v>
      </c>
      <c r="B117" s="115" t="n">
        <v>5000</v>
      </c>
      <c r="C117" s="116" t="n">
        <v>4.6975</v>
      </c>
      <c r="D117" s="126" t="n">
        <v>0</v>
      </c>
      <c r="E117" s="118" t="n">
        <f aca="false">+B117*C117</f>
        <v>23487.5</v>
      </c>
      <c r="F117" s="118" t="n">
        <f aca="false">+B117*D117</f>
        <v>0</v>
      </c>
      <c r="G117" s="126"/>
      <c r="H117" s="126"/>
      <c r="I117" s="127"/>
    </row>
    <row r="118" customFormat="false" ht="12.75" hidden="false" customHeight="false" outlineLevel="0" collapsed="false">
      <c r="A118" s="125" t="s">
        <v>211</v>
      </c>
      <c r="B118" s="115" t="n">
        <v>5000</v>
      </c>
      <c r="C118" s="116" t="n">
        <v>4.075</v>
      </c>
      <c r="D118" s="126" t="n">
        <v>0</v>
      </c>
      <c r="E118" s="118" t="n">
        <f aca="false">+B118*C118</f>
        <v>20375</v>
      </c>
      <c r="F118" s="118" t="n">
        <f aca="false">+B118*D118</f>
        <v>0</v>
      </c>
      <c r="G118" s="126"/>
      <c r="H118" s="126"/>
      <c r="I118" s="127"/>
    </row>
    <row r="119" customFormat="false" ht="12.75" hidden="false" customHeight="false" outlineLevel="0" collapsed="false">
      <c r="A119" s="125" t="s">
        <v>212</v>
      </c>
      <c r="B119" s="115" t="n">
        <v>-5000</v>
      </c>
      <c r="C119" s="116" t="n">
        <v>3.915</v>
      </c>
      <c r="D119" s="126" t="n">
        <v>0</v>
      </c>
      <c r="E119" s="118" t="n">
        <f aca="false">+B119*C119</f>
        <v>-19575</v>
      </c>
      <c r="F119" s="118" t="n">
        <f aca="false">+B119*D119</f>
        <v>-0</v>
      </c>
      <c r="G119" s="126"/>
      <c r="H119" s="126"/>
      <c r="I119" s="127"/>
    </row>
    <row r="120" customFormat="false" ht="12.75" hidden="false" customHeight="false" outlineLevel="0" collapsed="false">
      <c r="A120" s="125" t="s">
        <v>213</v>
      </c>
      <c r="B120" s="115" t="n">
        <v>0</v>
      </c>
      <c r="C120" s="116" t="n">
        <v>0</v>
      </c>
      <c r="D120" s="126" t="n">
        <v>0</v>
      </c>
      <c r="E120" s="118" t="n">
        <f aca="false">+B120*C120</f>
        <v>0</v>
      </c>
      <c r="F120" s="118" t="n">
        <f aca="false">+B120*D120</f>
        <v>0</v>
      </c>
      <c r="G120" s="126"/>
      <c r="H120" s="126"/>
      <c r="I120" s="127"/>
    </row>
    <row r="121" customFormat="false" ht="12.75" hidden="false" customHeight="false" outlineLevel="0" collapsed="false">
      <c r="A121" s="128" t="s">
        <v>214</v>
      </c>
      <c r="B121" s="129" t="n">
        <f aca="false">SUM(B115:B120)</f>
        <v>5000</v>
      </c>
      <c r="C121" s="116"/>
      <c r="D121" s="126"/>
      <c r="E121" s="118"/>
      <c r="F121" s="118"/>
      <c r="G121" s="126"/>
      <c r="H121" s="126"/>
      <c r="I121" s="127"/>
    </row>
    <row r="122" customFormat="false" ht="12.75" hidden="false" customHeight="false" outlineLevel="0" collapsed="false">
      <c r="A122" s="125"/>
      <c r="B122" s="115"/>
      <c r="C122" s="116"/>
      <c r="D122" s="126"/>
      <c r="E122" s="118"/>
      <c r="F122" s="118"/>
      <c r="G122" s="126"/>
      <c r="H122" s="126"/>
      <c r="I122" s="127"/>
    </row>
    <row r="123" customFormat="false" ht="12.75" hidden="false" customHeight="false" outlineLevel="0" collapsed="false">
      <c r="A123" s="125" t="s">
        <v>215</v>
      </c>
      <c r="B123" s="115" t="n">
        <v>0</v>
      </c>
      <c r="C123" s="115" t="n">
        <f aca="false">ROUND(+B123/(1-0.0884)-B123,0)</f>
        <v>0</v>
      </c>
      <c r="D123" s="126" t="n">
        <v>-0.0715</v>
      </c>
      <c r="E123" s="118"/>
      <c r="F123" s="118" t="n">
        <f aca="false">+D123*B123</f>
        <v>-0</v>
      </c>
      <c r="G123" s="126"/>
      <c r="H123" s="126" t="n">
        <v>640165</v>
      </c>
      <c r="I123" s="127"/>
    </row>
    <row r="124" customFormat="false" ht="12.75" hidden="false" customHeight="false" outlineLevel="0" collapsed="false">
      <c r="A124" s="125" t="s">
        <v>197</v>
      </c>
      <c r="B124" s="115" t="n">
        <v>0</v>
      </c>
      <c r="C124" s="115" t="n">
        <f aca="false">ROUND(+B124/(1-0.0823)-B124,0)</f>
        <v>0</v>
      </c>
      <c r="D124" s="126" t="n">
        <v>-0.0678</v>
      </c>
      <c r="E124" s="118"/>
      <c r="F124" s="118" t="n">
        <f aca="false">+D124*B124</f>
        <v>-0</v>
      </c>
      <c r="G124" s="126"/>
      <c r="H124" s="126" t="n">
        <v>735047</v>
      </c>
      <c r="I124" s="127"/>
    </row>
    <row r="125" customFormat="false" ht="12.75" hidden="false" customHeight="false" outlineLevel="0" collapsed="false">
      <c r="A125" s="125" t="s">
        <v>198</v>
      </c>
      <c r="B125" s="115" t="n">
        <v>0</v>
      </c>
      <c r="C125" s="115" t="n">
        <f aca="false">ROUND(+B125/(1-0.0796)-B125,0)</f>
        <v>0</v>
      </c>
      <c r="D125" s="126" t="n">
        <v>-0.0662</v>
      </c>
      <c r="E125" s="118"/>
      <c r="F125" s="118" t="n">
        <f aca="false">+D125*B125</f>
        <v>-0</v>
      </c>
      <c r="G125" s="126"/>
      <c r="H125" s="126" t="n">
        <v>637220</v>
      </c>
      <c r="I125" s="127"/>
    </row>
    <row r="126" customFormat="false" ht="12.75" hidden="false" customHeight="false" outlineLevel="0" collapsed="false">
      <c r="A126" s="125" t="s">
        <v>199</v>
      </c>
      <c r="B126" s="115" t="n">
        <v>5000</v>
      </c>
      <c r="C126" s="115" t="n">
        <f aca="false">ROUND(+B126/(1-0.0796)-B126,0)</f>
        <v>432</v>
      </c>
      <c r="D126" s="126" t="n">
        <v>-0.1016</v>
      </c>
      <c r="E126" s="118"/>
      <c r="F126" s="118" t="n">
        <f aca="false">+D126*B126</f>
        <v>-508</v>
      </c>
      <c r="G126" s="126"/>
      <c r="H126" s="137" t="n">
        <v>821199</v>
      </c>
      <c r="I126" s="127"/>
    </row>
    <row r="127" customFormat="false" ht="12.75" hidden="false" customHeight="false" outlineLevel="0" collapsed="false">
      <c r="A127" s="125" t="s">
        <v>204</v>
      </c>
      <c r="B127" s="115" t="n">
        <v>0</v>
      </c>
      <c r="C127" s="115" t="n">
        <f aca="false">ROUND(+B127/(1-0.0505)-B127,0)</f>
        <v>0</v>
      </c>
      <c r="D127" s="126" t="n">
        <v>-0.0575</v>
      </c>
      <c r="E127" s="118"/>
      <c r="F127" s="118" t="n">
        <f aca="false">+D127*B127</f>
        <v>-0</v>
      </c>
      <c r="G127" s="126"/>
      <c r="H127" s="126" t="n">
        <v>732718</v>
      </c>
      <c r="I127" s="127"/>
    </row>
    <row r="128" customFormat="false" ht="12.75" hidden="false" customHeight="false" outlineLevel="0" collapsed="false">
      <c r="A128" s="138" t="s">
        <v>216</v>
      </c>
      <c r="B128" s="115" t="n">
        <v>0</v>
      </c>
      <c r="C128" s="115" t="n">
        <f aca="false">ROUND(+B128/(1-0.0831)-B128,0)</f>
        <v>0</v>
      </c>
      <c r="D128" s="126" t="n">
        <v>-0.0632</v>
      </c>
      <c r="E128" s="118"/>
      <c r="F128" s="118" t="n">
        <f aca="false">+D128*B128</f>
        <v>-0</v>
      </c>
      <c r="G128" s="126"/>
      <c r="H128" s="126" t="n">
        <v>749874</v>
      </c>
      <c r="I128" s="127"/>
    </row>
    <row r="129" customFormat="false" ht="12.75" hidden="false" customHeight="false" outlineLevel="0" collapsed="false">
      <c r="A129" s="138" t="s">
        <v>217</v>
      </c>
      <c r="B129" s="115" t="n">
        <v>0</v>
      </c>
      <c r="C129" s="115" t="n">
        <f aca="false">ROUND(+B129/(1-0.077)-B129,0)</f>
        <v>0</v>
      </c>
      <c r="D129" s="126" t="n">
        <v>-0.0595</v>
      </c>
      <c r="E129" s="118"/>
      <c r="F129" s="118" t="n">
        <f aca="false">+D129*B129</f>
        <v>-0</v>
      </c>
      <c r="G129" s="126"/>
      <c r="H129" s="126" t="n">
        <v>749875</v>
      </c>
      <c r="I129" s="127"/>
    </row>
    <row r="130" customFormat="false" ht="12.75" hidden="false" customHeight="false" outlineLevel="0" collapsed="false">
      <c r="A130" s="138" t="s">
        <v>218</v>
      </c>
      <c r="B130" s="115" t="n">
        <v>0</v>
      </c>
      <c r="C130" s="115" t="n">
        <f aca="false">ROUND(+B130/(1-0.0743)-B130,0)</f>
        <v>0</v>
      </c>
      <c r="D130" s="126" t="n">
        <v>-0.0578</v>
      </c>
      <c r="E130" s="118"/>
      <c r="F130" s="118" t="n">
        <f aca="false">+D130*B130</f>
        <v>-0</v>
      </c>
      <c r="G130" s="126"/>
      <c r="H130" s="126" t="n">
        <v>749877</v>
      </c>
      <c r="I130" s="127"/>
    </row>
    <row r="131" customFormat="false" ht="12.75" hidden="false" customHeight="false" outlineLevel="0" collapsed="false">
      <c r="A131" s="138" t="s">
        <v>219</v>
      </c>
      <c r="B131" s="115" t="n">
        <v>0</v>
      </c>
      <c r="C131" s="115" t="n">
        <f aca="false">ROUND(+B131/(1-0.0743)-B131,0)</f>
        <v>0</v>
      </c>
      <c r="D131" s="126" t="n">
        <v>-0.0578</v>
      </c>
      <c r="E131" s="118"/>
      <c r="F131" s="118" t="n">
        <f aca="false">+D131*B131</f>
        <v>-0</v>
      </c>
      <c r="G131" s="126"/>
      <c r="H131" s="126" t="n">
        <v>749878</v>
      </c>
      <c r="I131" s="127"/>
    </row>
    <row r="132" customFormat="false" ht="12.75" hidden="false" customHeight="false" outlineLevel="0" collapsed="false">
      <c r="A132" s="138" t="s">
        <v>220</v>
      </c>
      <c r="B132" s="115" t="n">
        <v>0</v>
      </c>
      <c r="C132" s="115" t="n">
        <f aca="false">ROUND(+B132/(1-0.0452)-B132,0)</f>
        <v>0</v>
      </c>
      <c r="D132" s="126" t="n">
        <v>-0.0492</v>
      </c>
      <c r="E132" s="118"/>
      <c r="F132" s="118" t="n">
        <f aca="false">+D132*B132</f>
        <v>-0</v>
      </c>
      <c r="G132" s="126"/>
      <c r="H132" s="126" t="n">
        <v>749879</v>
      </c>
      <c r="I132" s="127"/>
    </row>
    <row r="133" customFormat="false" ht="12.75" hidden="false" customHeight="false" outlineLevel="0" collapsed="false">
      <c r="A133" s="125" t="s">
        <v>205</v>
      </c>
      <c r="B133" s="115" t="n">
        <v>0</v>
      </c>
      <c r="C133" s="115" t="n">
        <f aca="false">ROUND(+B133/(1-0.0884)-B133,0)</f>
        <v>0</v>
      </c>
      <c r="D133" s="126"/>
      <c r="E133" s="118"/>
      <c r="F133" s="118" t="n">
        <f aca="false">+D133*B133</f>
        <v>0</v>
      </c>
      <c r="G133" s="126"/>
      <c r="H133" s="126"/>
      <c r="I133" s="127"/>
    </row>
    <row r="134" customFormat="false" ht="12.75" hidden="false" customHeight="false" outlineLevel="0" collapsed="false">
      <c r="A134" s="125" t="s">
        <v>206</v>
      </c>
      <c r="B134" s="115" t="n">
        <v>0</v>
      </c>
      <c r="C134" s="115" t="n">
        <f aca="false">ROUND(+B134/(1-0.0823)-B134,0)</f>
        <v>0</v>
      </c>
      <c r="D134" s="126"/>
      <c r="E134" s="118"/>
      <c r="F134" s="118" t="n">
        <f aca="false">+D134*B134</f>
        <v>0</v>
      </c>
      <c r="G134" s="126"/>
      <c r="H134" s="126" t="n">
        <v>640178</v>
      </c>
      <c r="I134" s="127"/>
    </row>
    <row r="135" customFormat="false" ht="12.75" hidden="false" customHeight="false" outlineLevel="0" collapsed="false">
      <c r="A135" s="125" t="s">
        <v>207</v>
      </c>
      <c r="B135" s="115"/>
      <c r="C135" s="115" t="n">
        <f aca="false">ROUND(+B135/(1-0.0796)-B135,0)</f>
        <v>0</v>
      </c>
      <c r="D135" s="126"/>
      <c r="E135" s="118"/>
      <c r="F135" s="118" t="n">
        <f aca="false">+D135*B135</f>
        <v>0</v>
      </c>
      <c r="G135" s="126"/>
      <c r="H135" s="126"/>
      <c r="I135" s="127"/>
    </row>
    <row r="136" customFormat="false" ht="12.75" hidden="false" customHeight="false" outlineLevel="0" collapsed="false">
      <c r="A136" s="125" t="s">
        <v>208</v>
      </c>
      <c r="B136" s="115"/>
      <c r="C136" s="115" t="n">
        <f aca="false">ROUND(+B136/(1-0.0796)-B136,0)</f>
        <v>0</v>
      </c>
      <c r="D136" s="126"/>
      <c r="E136" s="118"/>
      <c r="F136" s="118" t="n">
        <f aca="false">+D136*B136</f>
        <v>0</v>
      </c>
      <c r="G136" s="126"/>
      <c r="H136" s="126"/>
      <c r="I136" s="127"/>
    </row>
    <row r="137" customFormat="false" ht="12.75" hidden="false" customHeight="false" outlineLevel="0" collapsed="false">
      <c r="A137" s="125"/>
      <c r="B137" s="115" t="n">
        <f aca="false">SUM(B123:B136)</f>
        <v>5000</v>
      </c>
      <c r="C137" s="115" t="n">
        <f aca="false">SUM(C123:C136)</f>
        <v>432</v>
      </c>
      <c r="D137" s="126"/>
      <c r="E137" s="118"/>
      <c r="F137" s="118"/>
      <c r="G137" s="126"/>
      <c r="H137" s="126"/>
      <c r="I137" s="127"/>
    </row>
    <row r="138" customFormat="false" ht="13.5" hidden="false" customHeight="false" outlineLevel="0" collapsed="false">
      <c r="A138" s="130" t="s">
        <v>221</v>
      </c>
      <c r="B138" s="136" t="n">
        <f aca="false">+B137+C137</f>
        <v>5432</v>
      </c>
      <c r="C138" s="132"/>
      <c r="D138" s="133"/>
      <c r="E138" s="134"/>
      <c r="F138" s="134"/>
      <c r="G138" s="133"/>
      <c r="H138" s="133"/>
      <c r="I138" s="135"/>
    </row>
    <row r="139" customFormat="false" ht="12.75" hidden="false" customHeight="false" outlineLevel="0" collapsed="false">
      <c r="A139" s="117"/>
      <c r="B139" s="115"/>
      <c r="C139" s="116"/>
      <c r="D139" s="117"/>
      <c r="E139" s="118"/>
      <c r="F139" s="118"/>
      <c r="G139" s="117"/>
      <c r="H139" s="117"/>
      <c r="I139" s="117"/>
    </row>
    <row r="140" customFormat="false" ht="12.75" hidden="false" customHeight="false" outlineLevel="0" collapsed="false">
      <c r="A140" s="117" t="s">
        <v>222</v>
      </c>
      <c r="B140" s="115" t="n">
        <f aca="false">+B137-B121</f>
        <v>0</v>
      </c>
      <c r="C140" s="116"/>
      <c r="D140" s="117"/>
      <c r="E140" s="118"/>
      <c r="F140" s="118"/>
      <c r="G140" s="117"/>
      <c r="H140" s="117"/>
      <c r="I140" s="117"/>
    </row>
    <row r="141" customFormat="false" ht="12.75" hidden="false" customHeight="false" outlineLevel="0" collapsed="false">
      <c r="A141" s="117"/>
      <c r="B141" s="115"/>
      <c r="C141" s="116"/>
      <c r="D141" s="117"/>
      <c r="E141" s="118"/>
      <c r="F141" s="118"/>
      <c r="G141" s="117"/>
      <c r="H141" s="117"/>
      <c r="I141" s="117"/>
    </row>
    <row r="142" customFormat="false" ht="12.75" hidden="false" customHeight="false" outlineLevel="0" collapsed="false">
      <c r="A142" s="117"/>
      <c r="B142" s="129"/>
      <c r="C142" s="116"/>
      <c r="D142" s="117"/>
      <c r="E142" s="118"/>
      <c r="F142" s="118"/>
      <c r="G142" s="117"/>
      <c r="H142" s="117"/>
      <c r="I142" s="117"/>
    </row>
    <row r="143" customFormat="false" ht="12.75" hidden="false" customHeight="false" outlineLevel="0" collapsed="false">
      <c r="A143" s="139" t="s">
        <v>223</v>
      </c>
      <c r="B143" s="115" t="n">
        <f aca="false">SUM(B138,B112,B94,B63:B84)</f>
        <v>25434</v>
      </c>
      <c r="C143" s="116"/>
      <c r="D143" s="117"/>
      <c r="E143" s="118" t="n">
        <f aca="false">SUM(E63:E142)</f>
        <v>97337.39</v>
      </c>
      <c r="F143" s="118" t="n">
        <f aca="false">SUM(F63:F142)</f>
        <v>-757.9</v>
      </c>
      <c r="G143" s="117"/>
      <c r="H143" s="117"/>
      <c r="I143" s="117"/>
    </row>
    <row r="144" customFormat="false" ht="12.75" hidden="false" customHeight="false" outlineLevel="0" collapsed="false">
      <c r="E144" s="113"/>
      <c r="F144" s="113"/>
    </row>
    <row r="145" customFormat="false" ht="12.75" hidden="false" customHeight="false" outlineLevel="0" collapsed="false">
      <c r="A145" s="0" t="s">
        <v>224</v>
      </c>
      <c r="B145" s="50" t="n">
        <f aca="false">+B58-B143</f>
        <v>-2</v>
      </c>
      <c r="E145" s="113" t="n">
        <f aca="false">+E143-E58</f>
        <v>6008.476</v>
      </c>
      <c r="F145" s="113" t="n">
        <f aca="false">+F143-F58</f>
        <v>-883.734</v>
      </c>
      <c r="G145" s="140" t="n">
        <f aca="false">+F145+E145</f>
        <v>5124.742</v>
      </c>
    </row>
    <row r="147" customFormat="false" ht="12.75" hidden="false" customHeight="false" outlineLevel="0" collapsed="false">
      <c r="F147" s="21" t="s">
        <v>225</v>
      </c>
      <c r="G147" s="141" t="n">
        <f aca="false">+C157</f>
        <v>2855.33333333333</v>
      </c>
    </row>
    <row r="148" customFormat="false" ht="13.5" hidden="false" customHeight="false" outlineLevel="0" collapsed="false">
      <c r="F148" s="0" t="s">
        <v>226</v>
      </c>
      <c r="G148" s="142" t="n">
        <f aca="false">+G145-G147</f>
        <v>2269.40866666666</v>
      </c>
    </row>
    <row r="149" customFormat="false" ht="13.5" hidden="false" customHeight="false" outlineLevel="0" collapsed="false"/>
    <row r="152" customFormat="false" ht="12.75" hidden="false" customHeight="false" outlineLevel="0" collapsed="false">
      <c r="A152" s="0" t="s">
        <v>227</v>
      </c>
      <c r="B152" s="50" t="s">
        <v>23</v>
      </c>
      <c r="C152" s="2" t="n">
        <v>28199</v>
      </c>
    </row>
    <row r="153" customFormat="false" ht="12.75" hidden="false" customHeight="false" outlineLevel="0" collapsed="false">
      <c r="B153" s="50" t="s">
        <v>191</v>
      </c>
      <c r="C153" s="2" t="n">
        <v>2550</v>
      </c>
    </row>
    <row r="154" customFormat="false" ht="12.75" hidden="false" customHeight="false" outlineLevel="0" collapsed="false">
      <c r="B154" s="50" t="s">
        <v>228</v>
      </c>
      <c r="C154" s="2" t="n">
        <v>54171</v>
      </c>
    </row>
    <row r="155" customFormat="false" ht="12.75" hidden="false" customHeight="false" outlineLevel="0" collapsed="false">
      <c r="B155" s="50" t="s">
        <v>74</v>
      </c>
      <c r="C155" s="2" t="n">
        <v>740</v>
      </c>
    </row>
    <row r="156" customFormat="false" ht="12.75" hidden="false" customHeight="false" outlineLevel="0" collapsed="false">
      <c r="C156" s="2" t="n">
        <f aca="false">SUM(C152:C155)</f>
        <v>85660</v>
      </c>
    </row>
    <row r="157" customFormat="false" ht="12.75" hidden="false" customHeight="false" outlineLevel="0" collapsed="false">
      <c r="A157" s="0" t="s">
        <v>225</v>
      </c>
      <c r="C157" s="2" t="n">
        <f aca="false">+C156/30</f>
        <v>2855.33333333333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2001-03-10T15:56:31Z</dcterms:created>
  <dc:creator>cgerman</dc:creator>
  <dc:description/>
  <dc:language>en-US</dc:language>
  <cp:lastModifiedBy>cgerman</cp:lastModifiedBy>
  <cp:lastPrinted>2001-05-23T13:50:02Z</cp:lastPrinted>
  <dcterms:modified xsi:type="dcterms:W3CDTF">2001-06-05T10:42:36Z</dcterms:modified>
  <cp:revision>0</cp:revision>
  <dc:subject/>
  <dc:title/>
</cp:coreProperties>
</file>