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true" date1904="true"/>
  <workbookProtection/>
  <bookViews>
    <workbookView showHorizontalScroll="true" showVerticalScroll="true" showSheetTabs="true" xWindow="0" yWindow="0" windowWidth="16384" windowHeight="8192" tabRatio="500" firstSheet="0" activeTab="0"/>
  </bookViews>
  <sheets>
    <sheet name="Greetings" sheetId="1" state="visible" r:id="rId3"/>
    <sheet name="Income Statement" sheetId="2" state="visible" r:id="rId4"/>
    <sheet name="Balance Sheet" sheetId="3" state="visible" r:id="rId5"/>
    <sheet name="Cash Flow, DCF, Ratios" sheetId="4" state="visible" r:id="rId6"/>
  </sheets>
  <definedNames>
    <definedName function="false" hidden="false" localSheetId="2" name="_xlnm.Print_Area" vbProcedure="false">'Balance Sheet'!$A$1:$N$39</definedName>
    <definedName function="false" hidden="false" localSheetId="3" name="_xlnm.Print_Area" vbProcedure="false">'Cash Flow, DCF, Ratios'!$A$1:$N$42</definedName>
    <definedName function="false" hidden="false" localSheetId="1" name="_xlnm.Print_Area" vbProcedure="false">'Income Statement'!$A$1:$N$26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41" authorId="0">
      <text>
        <r>
          <rPr>
            <b val="true"/>
            <sz val="8"/>
            <color rgb="FF000000"/>
            <rFont val="Tahoma"/>
            <family val="0"/>
          </rPr>
          <t xml:space="preserve">This Net Income data includes estimated interest expense.</t>
        </r>
      </text>
      <mc:AlternateContent>
        <mc:Choice Requires="v2">
          <commentPr autoFill="true" autoScale="false" colHidden="false" locked="false" rowHidden="false" textHAlign="justify" textVAlign="top">
            <anchor moveWithCells="false" sizeWithCells="false">
              <xdr:from>
                <xdr:col>1</xdr:col>
                <xdr:colOff>19</xdr:colOff>
                <xdr:row>39</xdr:row>
                <xdr:rowOff>7</xdr:rowOff>
              </xdr:from>
              <xdr:to>
                <xdr:col>3</xdr:col>
                <xdr:colOff>98</xdr:colOff>
                <xdr:row>41</xdr:row>
                <xdr:rowOff>7</xdr:rowOff>
              </xdr:to>
            </anchor>
          </commentPr>
        </mc:Choice>
        <mc:Fallback/>
      </mc:AlternateContent>
    </comment>
    <comment ref="D28" authorId="0">
      <text>
        <r>
          <rPr>
            <b val="true"/>
            <sz val="8"/>
            <color rgb="FF000000"/>
            <rFont val="Tahoma"/>
            <family val="0"/>
          </rPr>
          <t xml:space="preserve">All of these numbers should be zero.  If not, then you have a problem in your model.</t>
        </r>
      </text>
      <mc:AlternateContent>
        <mc:Choice Requires="v2">
          <commentPr autoFill="true" autoScale="false" colHidden="false" locked="false" rowHidden="false" textHAlign="justify" textVAlign="top">
            <anchor moveWithCells="false" sizeWithCells="false">
              <xdr:from>
                <xdr:col>4</xdr:col>
                <xdr:colOff>36</xdr:colOff>
                <xdr:row>26</xdr:row>
                <xdr:rowOff>7</xdr:rowOff>
              </xdr:from>
              <xdr:to>
                <xdr:col>6</xdr:col>
                <xdr:colOff>73</xdr:colOff>
                <xdr:row>29</xdr:row>
                <xdr:rowOff>3</xdr:rowOff>
              </xdr:to>
            </anchor>
          </commentPr>
        </mc:Choice>
        <mc:Fallback/>
      </mc:AlternateContent>
    </comment>
    <comment ref="D39" authorId="0">
      <text>
        <r>
          <rPr>
            <b val="true"/>
            <sz val="8"/>
            <color rgb="FF000000"/>
            <rFont val="Tahoma"/>
            <family val="0"/>
          </rPr>
          <t xml:space="preserve">All of these numbers should be zero.  If not, then you have a problem in your model.</t>
        </r>
      </text>
      <mc:AlternateContent>
        <mc:Choice Requires="v2">
          <commentPr autoFill="true" autoScale="false" colHidden="false" locked="false" rowHidden="false" textHAlign="justify" textVAlign="top">
            <anchor moveWithCells="false" sizeWithCells="false">
              <xdr:from>
                <xdr:col>4</xdr:col>
                <xdr:colOff>36</xdr:colOff>
                <xdr:row>37</xdr:row>
                <xdr:rowOff>7</xdr:rowOff>
              </xdr:from>
              <xdr:to>
                <xdr:col>6</xdr:col>
                <xdr:colOff>75</xdr:colOff>
                <xdr:row>40</xdr:row>
                <xdr:rowOff>4</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9" authorId="0">
      <text>
        <r>
          <rPr>
            <b val="true"/>
            <sz val="8"/>
            <color rgb="FF000000"/>
            <rFont val="Tahoma"/>
            <family val="2"/>
          </rPr>
          <t xml:space="preserve">Only include Depreciation Expense on PP&amp;E and not Intangibles.</t>
        </r>
      </text>
      <mc:AlternateContent>
        <mc:Choice Requires="v2">
          <commentPr autoFill="true" autoScale="false" colHidden="false" locked="false" rowHidden="false" textHAlign="justify" textVAlign="top">
            <anchor moveWithCells="false" sizeWithCells="false">
              <xdr:from>
                <xdr:col>4</xdr:col>
                <xdr:colOff>32</xdr:colOff>
                <xdr:row>17</xdr:row>
                <xdr:rowOff>0</xdr:rowOff>
              </xdr:from>
              <xdr:to>
                <xdr:col>6</xdr:col>
                <xdr:colOff>48</xdr:colOff>
                <xdr:row>19</xdr:row>
                <xdr:rowOff>13</xdr:rowOff>
              </xdr:to>
            </anchor>
          </commentPr>
        </mc:Choice>
        <mc:Fallback/>
      </mc:AlternateContent>
    </comment>
    <comment ref="D22" authorId="0">
      <text>
        <r>
          <rPr>
            <b val="true"/>
            <sz val="8"/>
            <color rgb="FF000000"/>
            <rFont val="Tahoma"/>
            <family val="2"/>
          </rPr>
          <t xml:space="preserve">This is your estimate of annual perpetual EBI growth beyond the terminal year.</t>
        </r>
      </text>
      <mc:AlternateContent>
        <mc:Choice Requires="v2">
          <commentPr autoFill="true" autoScale="false" colHidden="false" locked="false" rowHidden="false" textHAlign="justify" textVAlign="top">
            <anchor moveWithCells="false" sizeWithCells="false">
              <xdr:from>
                <xdr:col>5</xdr:col>
                <xdr:colOff>58</xdr:colOff>
                <xdr:row>20</xdr:row>
                <xdr:rowOff>7</xdr:rowOff>
              </xdr:from>
              <xdr:to>
                <xdr:col>7</xdr:col>
                <xdr:colOff>46</xdr:colOff>
                <xdr:row>24</xdr:row>
                <xdr:rowOff>1</xdr:rowOff>
              </xdr:to>
            </anchor>
          </commentPr>
        </mc:Choice>
        <mc:Fallback/>
      </mc:AlternateContent>
    </comment>
    <comment ref="N22" authorId="0">
      <text>
        <r>
          <rPr>
            <b val="true"/>
            <sz val="8"/>
            <color rgb="FF000000"/>
            <rFont val="Tahoma"/>
            <family val="0"/>
          </rPr>
          <t xml:space="preserve">This terminal value is calculated by dividing 2002 EBI by the discount rate (D25) adjusted by any forecasted growth (D22).</t>
        </r>
      </text>
      <mc:AlternateContent>
        <mc:Choice Requires="v2">
          <commentPr autoFill="true" autoScale="false" colHidden="false" locked="false" rowHidden="false" textHAlign="justify" textVAlign="top">
            <anchor moveWithCells="false" sizeWithCells="false">
              <xdr:from>
                <xdr:col>14</xdr:col>
                <xdr:colOff>20</xdr:colOff>
                <xdr:row>20</xdr:row>
                <xdr:rowOff>7</xdr:rowOff>
              </xdr:from>
              <xdr:to>
                <xdr:col>16</xdr:col>
                <xdr:colOff>62</xdr:colOff>
                <xdr:row>24</xdr:row>
                <xdr:rowOff>17</xdr:rowOff>
              </xdr:to>
            </anchor>
          </commentPr>
        </mc:Choice>
        <mc:Fallback/>
      </mc:AlternateContent>
    </comment>
  </commentList>
</comments>
</file>

<file path=xl/sharedStrings.xml><?xml version="1.0" encoding="utf-8"?>
<sst xmlns="http://schemas.openxmlformats.org/spreadsheetml/2006/main" count="152" uniqueCount="101">
  <si>
    <t xml:space="preserve">Timberland Co.</t>
  </si>
  <si>
    <t xml:space="preserve">Income Statements ($000's)</t>
  </si>
  <si>
    <t xml:space="preserve">Actual</t>
  </si>
  <si>
    <t xml:space="preserve">Assumptions</t>
  </si>
  <si>
    <t xml:space="preserve">Forecast</t>
  </si>
  <si>
    <t xml:space="preserve">FISCAL YEAR ENDING  </t>
  </si>
  <si>
    <t xml:space="preserve">Net Sales</t>
  </si>
  <si>
    <t xml:space="preserve">year-to-year growth</t>
  </si>
  <si>
    <t xml:space="preserve">     yr.-to-yr. growth rate</t>
  </si>
  <si>
    <t xml:space="preserve">Cost of Goods Sold</t>
  </si>
  <si>
    <t xml:space="preserve">% of Sales</t>
  </si>
  <si>
    <t xml:space="preserve">     % of Sales</t>
  </si>
  <si>
    <t xml:space="preserve">Gross Income</t>
  </si>
  <si>
    <t xml:space="preserve">Selling, Gen &amp; Admin Exp.</t>
  </si>
  <si>
    <t xml:space="preserve">Operating Income</t>
  </si>
  <si>
    <t xml:space="preserve">Non-Operating Income (Expense)</t>
  </si>
  <si>
    <t xml:space="preserve">EBIT</t>
  </si>
  <si>
    <t xml:space="preserve">Interest Expense</t>
  </si>
  <si>
    <t xml:space="preserve">Pretax Income</t>
  </si>
  <si>
    <t xml:space="preserve">Income Tax</t>
  </si>
  <si>
    <t xml:space="preserve">NET INCOME          </t>
  </si>
  <si>
    <t xml:space="preserve">Shares Outstanding</t>
  </si>
  <si>
    <t xml:space="preserve">Earnings Per Share (EPS)</t>
  </si>
  <si>
    <t xml:space="preserve">Balance Sheets ($000's)</t>
  </si>
  <si>
    <t xml:space="preserve">FISCAL YEAR ENDING</t>
  </si>
  <si>
    <t xml:space="preserve">Cash</t>
  </si>
  <si>
    <t xml:space="preserve">Receivables</t>
  </si>
  <si>
    <t xml:space="preserve">Inventories</t>
  </si>
  <si>
    <t xml:space="preserve">Other Cur. Assets</t>
  </si>
  <si>
    <t xml:space="preserve">Total Cur. Assets</t>
  </si>
  <si>
    <t xml:space="preserve">Net PPE</t>
  </si>
  <si>
    <t xml:space="preserve">Intangibles</t>
  </si>
  <si>
    <t xml:space="preserve">deprec. over 30 years</t>
  </si>
  <si>
    <t xml:space="preserve">Other Assets</t>
  </si>
  <si>
    <t xml:space="preserve">TOTAL ASSETS</t>
  </si>
  <si>
    <t xml:space="preserve">Notes Payable</t>
  </si>
  <si>
    <t xml:space="preserve">Accounts Payable</t>
  </si>
  <si>
    <t xml:space="preserve">Accrued Expenses</t>
  </si>
  <si>
    <t xml:space="preserve">Total Cur Liab (excl L/T Debt)</t>
  </si>
  <si>
    <t xml:space="preserve">Def. Taxes</t>
  </si>
  <si>
    <t xml:space="preserve">L/T Debt (incl. cur. portion)</t>
  </si>
  <si>
    <t xml:space="preserve">TOTAL LIABILITIES</t>
  </si>
  <si>
    <t xml:space="preserve">Common Stock, Net</t>
  </si>
  <si>
    <t xml:space="preserve">Capital Surplus</t>
  </si>
  <si>
    <t xml:space="preserve">Retained Earnings</t>
  </si>
  <si>
    <t xml:space="preserve">Other Equities</t>
  </si>
  <si>
    <t xml:space="preserve">Shareholders' Equity</t>
  </si>
  <si>
    <t xml:space="preserve">PLUG</t>
  </si>
  <si>
    <t xml:space="preserve">TOT LIAB &amp; NET WORTH</t>
  </si>
  <si>
    <t xml:space="preserve">Unreconciled Difference</t>
  </si>
  <si>
    <t xml:space="preserve">Cash per SCF:</t>
  </si>
  <si>
    <t xml:space="preserve">Free Cash Flow (=CFO+CFI+(interest net of tax))</t>
  </si>
  <si>
    <t xml:space="preserve">Deduct: Int. expense (net of tax)</t>
  </si>
  <si>
    <t xml:space="preserve">Interest from I/S * (1-t)</t>
  </si>
  <si>
    <t xml:space="preserve">=CFO+CFI</t>
  </si>
  <si>
    <t xml:space="preserve">Add: Increase in L/T debt</t>
  </si>
  <si>
    <t xml:space="preserve">from Balance Sheet</t>
  </si>
  <si>
    <t xml:space="preserve">Less: Dividends (new equity)</t>
  </si>
  <si>
    <t xml:space="preserve">derived from plug - NI</t>
  </si>
  <si>
    <t xml:space="preserve">    =CFF</t>
  </si>
  <si>
    <t xml:space="preserve">Chg Cash per SCF (CFO+CFI+CFF)</t>
  </si>
  <si>
    <t xml:space="preserve">Chg Cash per B/S</t>
  </si>
  <si>
    <t xml:space="preserve">Cash Flow and DCF Valuation ($000's)</t>
  </si>
  <si>
    <t xml:space="preserve">from Income Statement</t>
  </si>
  <si>
    <t xml:space="preserve">Less:  Taxes on EBIT</t>
  </si>
  <si>
    <t xml:space="preserve">EBI</t>
  </si>
  <si>
    <t xml:space="preserve">Add: Depreciation &amp; Amortization</t>
  </si>
  <si>
    <t xml:space="preserve">   (Inc.) Dec. in Other Assets</t>
  </si>
  <si>
    <t xml:space="preserve">   Inc. (Dec.) in Def. Tax Liab</t>
  </si>
  <si>
    <t xml:space="preserve">   (Inc.) Dec. in A/R</t>
  </si>
  <si>
    <t xml:space="preserve">   (Inc.) Dec. in Inventories</t>
  </si>
  <si>
    <t xml:space="preserve">   (Inc.) Dec. in Other C. Assets</t>
  </si>
  <si>
    <t xml:space="preserve">   Inc. (Dec.) in A/P</t>
  </si>
  <si>
    <t xml:space="preserve">   Inc. (Dec.) in Other Accruals</t>
  </si>
  <si>
    <t xml:space="preserve">CFO (excl. int.)</t>
  </si>
  <si>
    <t xml:space="preserve">Less: Capital Expenditures</t>
  </si>
  <si>
    <t xml:space="preserve">To bring net PPE to 11% of sales</t>
  </si>
  <si>
    <t xml:space="preserve">FCF (free cash flow)</t>
  </si>
  <si>
    <t xml:space="preserve">Terminal Value</t>
  </si>
  <si>
    <t xml:space="preserve">Total Free Cash Flow</t>
  </si>
  <si>
    <t xml:space="preserve">PV Factor</t>
  </si>
  <si>
    <t xml:space="preserve">PV of cash flow</t>
  </si>
  <si>
    <t xml:space="preserve">Total PV of Cash Flows</t>
  </si>
  <si>
    <t xml:space="preserve">Less:  debt</t>
  </si>
  <si>
    <t xml:space="preserve">Plus:   idle assets (liabilities)</t>
  </si>
  <si>
    <t xml:space="preserve">PV of shareholders' equity</t>
  </si>
  <si>
    <t xml:space="preserve">Shrs Outstanding</t>
  </si>
  <si>
    <t xml:space="preserve">Price per share</t>
  </si>
  <si>
    <t xml:space="preserve">Ratio Analysis</t>
  </si>
  <si>
    <t xml:space="preserve">Profit Margin</t>
  </si>
  <si>
    <t xml:space="preserve">EBI / Sales</t>
  </si>
  <si>
    <t xml:space="preserve">Asset Turnover</t>
  </si>
  <si>
    <t xml:space="preserve">Sales / Avg Assets</t>
  </si>
  <si>
    <t xml:space="preserve">Return on Assets (ROA)</t>
  </si>
  <si>
    <t xml:space="preserve">EBI / Avg Assets</t>
  </si>
  <si>
    <t xml:space="preserve">I/S Leverage</t>
  </si>
  <si>
    <t xml:space="preserve">Net Income/EBI</t>
  </si>
  <si>
    <t xml:space="preserve">B/S Leverage</t>
  </si>
  <si>
    <t xml:space="preserve">Avg Assets / Avg Equity</t>
  </si>
  <si>
    <t xml:space="preserve">Return on Average Equity (ROE)</t>
  </si>
  <si>
    <t xml:space="preserve">Net Income/Avg Equity</t>
  </si>
</sst>
</file>

<file path=xl/styles.xml><?xml version="1.0" encoding="utf-8"?>
<styleSheet xmlns="http://schemas.openxmlformats.org/spreadsheetml/2006/main">
  <numFmts count="30">
    <numFmt numFmtId="164" formatCode="[$-409]#,##0_);\(#,##0\)"/>
    <numFmt numFmtId="165" formatCode="[$-409]#,##0.00_);[RED]\(#,##0.00\)"/>
    <numFmt numFmtId="166" formatCode="[$-409]General"/>
    <numFmt numFmtId="167" formatCode="General"/>
    <numFmt numFmtId="168" formatCode="&quot;Sales growth declines from &quot;0.0%&quot; to 10% in yr 5&quot;"/>
    <numFmt numFmtId="169" formatCode="[$-409]0%"/>
    <numFmt numFmtId="170" formatCode="0.0%"/>
    <numFmt numFmtId="171" formatCode="&quot;&quot;0.0%&quot; --&gt; 61.5% of Sales 1st 5 yrs.; steady state thereafter&quot;"/>
    <numFmt numFmtId="172" formatCode="0%&quot; of Sales&quot;"/>
    <numFmt numFmtId="173" formatCode="0.00%&quot; of Sales&quot;"/>
    <numFmt numFmtId="174" formatCode="0.00%&quot; of Avg LTD&quot;"/>
    <numFmt numFmtId="175" formatCode="0%&quot; Tax Rate&quot;"/>
    <numFmt numFmtId="176" formatCode="\$#,##0.00_);[RED]&quot;($&quot;#,##0.00\)"/>
    <numFmt numFmtId="177" formatCode="[$-409]0.00%"/>
    <numFmt numFmtId="178" formatCode="0%&quot; Beg. Net PPE + Intangibles&quot;"/>
    <numFmt numFmtId="179" formatCode="&quot;Discount Rate of &quot;0.00%"/>
    <numFmt numFmtId="180" formatCode="[$-409]0.00"/>
    <numFmt numFmtId="181" formatCode="[$-409]0"/>
    <numFmt numFmtId="182" formatCode="0.0%&quot; of Sales&quot;"/>
    <numFmt numFmtId="183" formatCode="0.0%&quot; of Total Assets&quot;"/>
    <numFmt numFmtId="184" formatCode="0.000"/>
    <numFmt numFmtId="185" formatCode="&quot;Ave. Debt Bal. * &quot;0.00%&quot; cost * (1-t)&quot;"/>
    <numFmt numFmtId="186" formatCode="0.0%&quot; of beg. Net PPE + Intgble Amort.&quot;"/>
    <numFmt numFmtId="187" formatCode="0.00%&quot; perpetual annual growth&quot;"/>
    <numFmt numFmtId="188" formatCode="0.00%&quot; Capitalization Rate&quot;"/>
    <numFmt numFmtId="189" formatCode="0.0000"/>
    <numFmt numFmtId="190" formatCode="0.00%&quot; Discount Rate&quot;"/>
    <numFmt numFmtId="191" formatCode="#,##0.0000_);\(#,##0.0000\)"/>
    <numFmt numFmtId="192" formatCode="#,##0.0_);\(#,##0.0\)"/>
    <numFmt numFmtId="193" formatCode="[$-409]#,##0.00_);\(#,##0.00\)"/>
  </numFmts>
  <fonts count="24">
    <font>
      <sz val="10"/>
      <name val="Times New Roman"/>
      <family val="0"/>
    </font>
    <font>
      <sz val="10"/>
      <name val="Arial"/>
      <family val="0"/>
    </font>
    <font>
      <sz val="10"/>
      <name val="Arial"/>
      <family val="0"/>
    </font>
    <font>
      <sz val="10"/>
      <name val="Arial"/>
      <family val="0"/>
    </font>
    <font>
      <b val="true"/>
      <sz val="11"/>
      <color rgb="FFFFFFFF"/>
      <name val="Times New Roman"/>
      <family val="0"/>
    </font>
    <font>
      <b val="true"/>
      <sz val="9"/>
      <color rgb="FFFFFFFF"/>
      <name val="Times New Roman"/>
      <family val="0"/>
    </font>
    <font>
      <b val="true"/>
      <sz val="9"/>
      <color rgb="FF3333CC"/>
      <name val="Times New Roman"/>
      <family val="0"/>
    </font>
    <font>
      <b val="true"/>
      <sz val="9"/>
      <color rgb="FF3366FF"/>
      <name val="Times New Roman"/>
      <family val="0"/>
    </font>
    <font>
      <sz val="9"/>
      <name val="Times New Roman"/>
      <family val="0"/>
    </font>
    <font>
      <sz val="8"/>
      <name val="Times New Roman"/>
      <family val="0"/>
    </font>
    <font>
      <sz val="10"/>
      <name val="Arial"/>
      <family val="2"/>
    </font>
    <font>
      <b val="true"/>
      <sz val="10"/>
      <color rgb="FF0000FF"/>
      <name val="Arial"/>
      <family val="2"/>
    </font>
    <font>
      <b val="true"/>
      <sz val="14"/>
      <name val="Arial"/>
      <family val="2"/>
    </font>
    <font>
      <b val="true"/>
      <sz val="10"/>
      <name val="Arial"/>
      <family val="2"/>
    </font>
    <font>
      <b val="true"/>
      <sz val="10"/>
      <color rgb="FF3333CC"/>
      <name val="Arial"/>
      <family val="2"/>
    </font>
    <font>
      <i val="true"/>
      <sz val="9"/>
      <name val="Arial"/>
      <family val="2"/>
    </font>
    <font>
      <i val="true"/>
      <sz val="9"/>
      <color rgb="FF3333CC"/>
      <name val="Arial"/>
      <family val="2"/>
    </font>
    <font>
      <sz val="9"/>
      <name val="Arial"/>
      <family val="2"/>
    </font>
    <font>
      <sz val="9"/>
      <color rgb="FF3333CC"/>
      <name val="Arial"/>
      <family val="2"/>
    </font>
    <font>
      <sz val="10"/>
      <color rgb="FF3333CC"/>
      <name val="Arial"/>
      <family val="2"/>
    </font>
    <font>
      <i val="true"/>
      <sz val="10"/>
      <name val="Arial"/>
      <family val="2"/>
    </font>
    <font>
      <sz val="10"/>
      <color rgb="FFFF0000"/>
      <name val="Arial"/>
      <family val="2"/>
    </font>
    <font>
      <b val="true"/>
      <sz val="8"/>
      <color rgb="FF000000"/>
      <name val="Tahoma"/>
      <family val="0"/>
    </font>
    <font>
      <b val="true"/>
      <sz val="8"/>
      <color rgb="FF000000"/>
      <name val="Tahoma"/>
      <family val="2"/>
    </font>
  </fonts>
  <fills count="6">
    <fill>
      <patternFill patternType="none"/>
    </fill>
    <fill>
      <patternFill patternType="gray125"/>
    </fill>
    <fill>
      <patternFill patternType="solid">
        <fgColor rgb="FF3366FF"/>
        <bgColor rgb="FF0066CC"/>
      </patternFill>
    </fill>
    <fill>
      <patternFill patternType="solid">
        <fgColor rgb="FFA6CAF0"/>
        <bgColor rgb="FFCCCCFF"/>
      </patternFill>
    </fill>
    <fill>
      <patternFill patternType="solid">
        <fgColor rgb="FFCCFFCC"/>
        <bgColor rgb="FFCCFFFF"/>
      </patternFill>
    </fill>
    <fill>
      <patternFill patternType="solid">
        <fgColor rgb="FFFFFF99"/>
        <bgColor rgb="FFFFFFCC"/>
      </patternFill>
    </fill>
  </fills>
  <borders count="10">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76" fontId="0"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false" applyProtection="false"/>
  </cellStyleXfs>
  <cellXfs count="1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3" fillId="3" borderId="0" xfId="0" applyFont="true" applyBorder="false" applyAlignment="true" applyProtection="false">
      <alignment horizontal="general" vertical="bottom" textRotation="0" wrapText="false" indent="0" shrinkToFit="false"/>
      <protection locked="true" hidden="false"/>
    </xf>
    <xf numFmtId="166" fontId="13" fillId="3" borderId="0" xfId="15" applyFont="true" applyBorder="true" applyAlignment="true" applyProtection="true">
      <alignment horizontal="general" vertical="bottom" textRotation="0" wrapText="false" indent="0" shrinkToFit="false"/>
      <protection locked="true" hidden="false"/>
    </xf>
    <xf numFmtId="164" fontId="11" fillId="3" borderId="0" xfId="0" applyFont="true" applyBorder="true" applyAlignment="true" applyProtection="false">
      <alignment horizontal="center" vertical="bottom" textRotation="0" wrapText="false" indent="0" shrinkToFit="false"/>
      <protection locked="true" hidden="false"/>
    </xf>
    <xf numFmtId="167" fontId="13" fillId="3" borderId="0" xfId="15" applyFont="true" applyBorder="true" applyAlignment="true" applyProtection="tru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8" fontId="10"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right" vertical="bottom" textRotation="0" wrapText="false" indent="0" shrinkToFit="false"/>
      <protection locked="true" hidden="false"/>
    </xf>
    <xf numFmtId="170" fontId="15" fillId="0" borderId="0" xfId="19" applyFont="true" applyBorder="true" applyAlignment="true" applyProtection="true">
      <alignment horizontal="right" vertical="bottom" textRotation="0" wrapText="false" indent="0" shrinkToFit="false"/>
      <protection locked="true" hidden="false"/>
    </xf>
    <xf numFmtId="170" fontId="16" fillId="0" borderId="0"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71"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right" vertical="bottom" textRotation="0" wrapText="false" indent="0" shrinkToFit="false"/>
      <protection locked="true" hidden="false"/>
    </xf>
    <xf numFmtId="170" fontId="15" fillId="0" borderId="1" xfId="19" applyFont="true" applyBorder="true" applyAlignment="true" applyProtection="true">
      <alignment horizontal="right" vertical="bottom" textRotation="0" wrapText="false" indent="0" shrinkToFit="false"/>
      <protection locked="true" hidden="false"/>
    </xf>
    <xf numFmtId="171" fontId="17" fillId="0" borderId="1" xfId="0" applyFont="true" applyBorder="true" applyAlignment="true" applyProtection="false">
      <alignment horizontal="center" vertical="bottom" textRotation="0" wrapText="false" indent="0" shrinkToFit="false"/>
      <protection locked="true" hidden="false"/>
    </xf>
    <xf numFmtId="170" fontId="16" fillId="0" borderId="1" xfId="19"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72" fontId="10" fillId="0" borderId="0" xfId="0" applyFont="true" applyBorder="true" applyAlignment="true" applyProtection="false">
      <alignment horizontal="center" vertical="bottom" textRotation="0" wrapText="false" indent="0" shrinkToFit="false"/>
      <protection locked="true" hidden="false"/>
    </xf>
    <xf numFmtId="172" fontId="18" fillId="0" borderId="1"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73" fontId="19" fillId="0" borderId="1"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73" fontId="14"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73" fontId="19" fillId="0" borderId="0" xfId="0" applyFont="true" applyBorder="true" applyAlignment="true" applyProtection="false">
      <alignment horizontal="center" vertical="bottom" textRotation="0" wrapText="false" indent="0" shrinkToFit="false"/>
      <protection locked="true" hidden="false"/>
    </xf>
    <xf numFmtId="174" fontId="19" fillId="0" borderId="1" xfId="0" applyFont="true" applyBorder="true" applyAlignment="true" applyProtection="false">
      <alignment horizontal="center" vertical="bottom" textRotation="0" wrapText="false" indent="0" shrinkToFit="false"/>
      <protection locked="true" hidden="false"/>
    </xf>
    <xf numFmtId="175" fontId="19"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6" fontId="10" fillId="0" borderId="0" xfId="17" applyFont="true" applyBorder="true" applyAlignment="true" applyProtection="true">
      <alignment horizontal="general" vertical="bottom" textRotation="0" wrapText="false" indent="0" shrinkToFit="false"/>
      <protection locked="true" hidden="false"/>
    </xf>
    <xf numFmtId="177" fontId="14" fillId="0" borderId="0" xfId="19" applyFont="true" applyBorder="true" applyAlignment="true" applyProtection="true">
      <alignment horizontal="general" vertical="bottom" textRotation="0" wrapText="false" indent="0" shrinkToFit="false"/>
      <protection locked="true" hidden="false"/>
    </xf>
    <xf numFmtId="178" fontId="14" fillId="0" borderId="0" xfId="0" applyFont="true" applyBorder="true" applyAlignment="true" applyProtection="false">
      <alignment horizontal="center" vertical="bottom" textRotation="0" wrapText="false" indent="0" shrinkToFit="false"/>
      <protection locked="true" hidden="false"/>
    </xf>
    <xf numFmtId="179" fontId="14" fillId="0" borderId="0" xfId="0" applyFont="true" applyBorder="true" applyAlignment="true" applyProtection="false">
      <alignment horizontal="center" vertical="bottom" textRotation="0" wrapText="false" indent="0" shrinkToFit="false"/>
      <protection locked="true" hidden="false"/>
    </xf>
    <xf numFmtId="180" fontId="1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81" fontId="13" fillId="3" borderId="0" xfId="0" applyFont="true" applyBorder="true" applyAlignment="false" applyProtection="false">
      <alignment horizontal="general" vertical="bottom" textRotation="0" wrapText="false" indent="0" shrinkToFit="false"/>
      <protection locked="true" hidden="false"/>
    </xf>
    <xf numFmtId="164" fontId="14" fillId="3" borderId="0" xfId="0" applyFont="true" applyBorder="true" applyAlignment="true" applyProtection="false">
      <alignment horizontal="center" vertical="bottom" textRotation="0" wrapText="false" indent="0" shrinkToFit="false"/>
      <protection locked="true" hidden="false"/>
    </xf>
    <xf numFmtId="181" fontId="13" fillId="3" borderId="1"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82" fontId="19"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82" fontId="19"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83" fontId="19"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83" fontId="19"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84" fontId="1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85"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75" fontId="10" fillId="0" borderId="1"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86" fontId="19"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87" fontId="19" fillId="0" borderId="1" xfId="0" applyFont="true" applyBorder="true" applyAlignment="true" applyProtection="false">
      <alignment horizontal="center" vertical="bottom" textRotation="0" wrapText="false" indent="0" shrinkToFit="false"/>
      <protection locked="true" hidden="false"/>
    </xf>
    <xf numFmtId="188" fontId="19" fillId="0" borderId="0" xfId="0" applyFont="true" applyBorder="false" applyAlignment="true" applyProtection="false">
      <alignment horizontal="center" vertical="bottom" textRotation="0" wrapText="false" indent="0" shrinkToFit="false"/>
      <protection locked="true" hidden="false"/>
    </xf>
    <xf numFmtId="189" fontId="10" fillId="0" borderId="1" xfId="0" applyFont="true" applyBorder="true" applyAlignment="false" applyProtection="false">
      <alignment horizontal="general" vertical="bottom" textRotation="0" wrapText="false" indent="0" shrinkToFit="false"/>
      <protection locked="true" hidden="false"/>
    </xf>
    <xf numFmtId="190" fontId="19" fillId="0" borderId="1" xfId="0" applyFont="true" applyBorder="true" applyAlignment="true" applyProtection="false">
      <alignment horizontal="center" vertical="bottom" textRotation="0" wrapText="false" indent="0" shrinkToFit="false"/>
      <protection locked="true" hidden="false"/>
    </xf>
    <xf numFmtId="191" fontId="10" fillId="0" borderId="1" xfId="0" applyFont="true" applyBorder="true" applyAlignment="false" applyProtection="false">
      <alignment horizontal="general" vertical="bottom" textRotation="0" wrapText="false" indent="0" shrinkToFit="false"/>
      <protection locked="true" hidden="false"/>
    </xf>
    <xf numFmtId="192" fontId="10" fillId="0" borderId="0" xfId="0" applyFont="true" applyBorder="false" applyAlignment="false" applyProtection="false">
      <alignment horizontal="general" vertical="bottom" textRotation="0" wrapText="false" indent="0" shrinkToFit="false"/>
      <protection locked="true" hidden="false"/>
    </xf>
    <xf numFmtId="192" fontId="13" fillId="4" borderId="3" xfId="0" applyFont="true" applyBorder="true" applyAlignment="false" applyProtection="false">
      <alignment horizontal="general" vertical="bottom" textRotation="0" wrapText="false" indent="0" shrinkToFit="false"/>
      <protection locked="true" hidden="false"/>
    </xf>
    <xf numFmtId="164" fontId="13" fillId="4" borderId="4" xfId="0" applyFont="true" applyBorder="true" applyAlignment="true" applyProtection="false">
      <alignment horizontal="right" vertical="bottom" textRotation="0" wrapText="false" indent="0" shrinkToFit="false"/>
      <protection locked="true" hidden="false"/>
    </xf>
    <xf numFmtId="192" fontId="13" fillId="4" borderId="5" xfId="0" applyFont="true" applyBorder="true" applyAlignment="false" applyProtection="false">
      <alignment horizontal="general" vertical="bottom" textRotation="0" wrapText="false" indent="0" shrinkToFit="false"/>
      <protection locked="true" hidden="false"/>
    </xf>
    <xf numFmtId="164" fontId="13" fillId="4" borderId="6" xfId="0" applyFont="true" applyBorder="true" applyAlignment="true" applyProtection="false">
      <alignment horizontal="right" vertical="bottom" textRotation="0" wrapText="false" indent="0" shrinkToFit="false"/>
      <protection locked="true" hidden="false"/>
    </xf>
    <xf numFmtId="164" fontId="13" fillId="4" borderId="7" xfId="0" applyFont="true" applyBorder="true" applyAlignment="true" applyProtection="false">
      <alignment horizontal="right" vertical="bottom" textRotation="0" wrapText="false" indent="0" shrinkToFit="false"/>
      <protection locked="true" hidden="false"/>
    </xf>
    <xf numFmtId="164" fontId="13" fillId="4" borderId="5" xfId="0" applyFont="true" applyBorder="true" applyAlignment="false" applyProtection="false">
      <alignment horizontal="general" vertical="bottom" textRotation="0" wrapText="false" indent="0" shrinkToFit="false"/>
      <protection locked="true" hidden="false"/>
    </xf>
    <xf numFmtId="180" fontId="13" fillId="5" borderId="8" xfId="0" applyFont="true" applyBorder="true" applyAlignment="false" applyProtection="false">
      <alignment horizontal="general" vertical="bottom" textRotation="0" wrapText="false" indent="0" shrinkToFit="false"/>
      <protection locked="true" hidden="false"/>
    </xf>
    <xf numFmtId="176" fontId="13" fillId="5" borderId="9" xfId="17" applyFont="true" applyBorder="true" applyAlignment="true" applyProtection="true">
      <alignment horizontal="right" vertical="bottom" textRotation="0" wrapText="false" indent="0" shrinkToFit="false"/>
      <protection locked="true" hidden="false"/>
    </xf>
    <xf numFmtId="180" fontId="14" fillId="3" borderId="0" xfId="0" applyFont="true" applyBorder="false" applyAlignment="true" applyProtection="false">
      <alignment horizontal="center" vertical="bottom" textRotation="0" wrapText="false" indent="0" shrinkToFit="false"/>
      <protection locked="true" hidden="false"/>
    </xf>
    <xf numFmtId="177" fontId="10" fillId="0" borderId="0"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70" fontId="10" fillId="0" borderId="0" xfId="19" applyFont="true" applyBorder="true" applyAlignment="true" applyProtection="true">
      <alignment horizontal="general" vertical="bottom" textRotation="0" wrapText="false" indent="0" shrinkToFit="false"/>
      <protection locked="true" hidden="false"/>
    </xf>
    <xf numFmtId="193"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307800</xdr:colOff>
      <xdr:row>1</xdr:row>
      <xdr:rowOff>86040</xdr:rowOff>
    </xdr:from>
    <xdr:to>
      <xdr:col>13</xdr:col>
      <xdr:colOff>720</xdr:colOff>
      <xdr:row>20</xdr:row>
      <xdr:rowOff>133560</xdr:rowOff>
    </xdr:to>
    <xdr:sp>
      <xdr:nvSpPr>
        <xdr:cNvPr id="0" name="Rectangle 1"/>
        <xdr:cNvSpPr/>
      </xdr:nvSpPr>
      <xdr:spPr>
        <a:xfrm>
          <a:off x="307800" y="248040"/>
          <a:ext cx="7989120" cy="3124080"/>
        </a:xfrm>
        <a:prstGeom prst="roundRect">
          <a:avLst>
            <a:gd name="adj" fmla="val 16667"/>
          </a:avLst>
        </a:prstGeom>
        <a:gradFill rotWithShape="0">
          <a:gsLst>
            <a:gs pos="0">
              <a:srgbClr val="cc0000"/>
            </a:gs>
            <a:gs pos="100000">
              <a:srgbClr val="760000"/>
            </a:gs>
          </a:gsLst>
          <a:lin ang="13500000"/>
        </a:gradFill>
        <a:ln w="9360">
          <a:solidFill>
            <a:srgbClr val="ffff00"/>
          </a:solidFill>
          <a:miter/>
        </a:ln>
      </xdr:spPr>
      <xdr:style>
        <a:lnRef idx="0"/>
        <a:fillRef idx="0"/>
        <a:effectRef idx="0"/>
        <a:fontRef idx="minor"/>
      </xdr:style>
      <xdr:txBody>
        <a:bodyPr lIns="20160" rIns="20160" tIns="20160" bIns="20160" anchor="t">
          <a:noAutofit/>
        </a:bodyPr>
        <a:p>
          <a:r>
            <a:rPr b="1" lang="en-US" sz="1100" strike="noStrike" u="none">
              <a:solidFill>
                <a:srgbClr val="ffffff"/>
              </a:solidFill>
              <a:effectLst/>
              <a:uFillTx/>
              <a:latin typeface="Times New Roman"/>
            </a:rPr>
            <a:t>Welcome to the Timberland DCF Model. </a:t>
          </a:r>
          <a:r>
            <a:rPr b="1" lang="en-US" sz="900" strike="noStrike" u="none">
              <a:solidFill>
                <a:srgbClr val="ffffff"/>
              </a:solidFill>
              <a:effectLst/>
              <a:uFillTx/>
              <a:latin typeface="Times New Roman"/>
            </a:rPr>
            <a:t> Let's explain a few things first.</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This spreadsheet is set up in three separate worksheets.  The first is the Income Statement.  The second contains the Balance Sheet and a cash reconciliation from the Statement of Cash Flows to the Balance Sheet.  The third worksheet contains the adjustments to EBIT to arrive at Free Cash Flow, the Discounted Cash Flow Analysis, and a Ratio Analysis.  All three sheets are linked together.</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Anything in blue font is an input.  You can enter the values that correspond to your estimates directly into those cells.  The Assumptions column contains some cells that are blue text and numbers.  These cells are actually just numbers but are formatted to include descriptive text.  For example, the cell that says  </a:t>
          </a:r>
          <a:r>
            <a:rPr b="1" lang="en-US" sz="900" strike="noStrike" u="none">
              <a:solidFill>
                <a:srgbClr val="3333cc"/>
              </a:solidFill>
              <a:effectLst/>
              <a:uFillTx/>
              <a:latin typeface="Times New Roman"/>
            </a:rPr>
            <a:t> </a:t>
          </a:r>
          <a:r>
            <a:rPr b="1" lang="en-US" sz="900" strike="noStrike" u="none">
              <a:solidFill>
                <a:srgbClr val="3366ff"/>
              </a:solidFill>
              <a:effectLst/>
              <a:uFillTx/>
              <a:latin typeface="Times New Roman"/>
            </a:rPr>
            <a:t>32% Tax Rate  </a:t>
          </a:r>
          <a:r>
            <a:rPr b="1" lang="en-US" sz="900" strike="noStrike" u="none">
              <a:solidFill>
                <a:srgbClr val="ffffff"/>
              </a:solidFill>
              <a:effectLst/>
              <a:uFillTx/>
              <a:latin typeface="Times New Roman"/>
            </a:rPr>
            <a:t> is really only the number   0.32  and you can change this to your estimate.</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Once you have finished entering your estimate into a blue font input cell, you can change its color to black.  This allows for an effective check to remind you which cells you have changed and which ones you have left to input. </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The text in red font relates to Unreconciled Differences, which is a check-and-balance on your balance sheet to see if you have made an error in your modeling.  These cells should always read zero.</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This model is fairly straightforward.  It would be a good idea to spend time browsing through the model and the various formula cells to understand how the numbers are calculated and how the sheets are linked.  There are cell comment cards along the way to help out.    </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9</xdr:col>
      <xdr:colOff>102960</xdr:colOff>
      <xdr:row>19</xdr:row>
      <xdr:rowOff>37800</xdr:rowOff>
    </xdr:from>
    <xdr:to>
      <xdr:col>12</xdr:col>
      <xdr:colOff>194400</xdr:colOff>
      <xdr:row>20</xdr:row>
      <xdr:rowOff>29880</xdr:rowOff>
    </xdr:to>
    <xdr:sp>
      <xdr:nvSpPr>
        <xdr:cNvPr id="1" name="Text 4"/>
        <xdr:cNvSpPr/>
      </xdr:nvSpPr>
      <xdr:spPr>
        <a:xfrm>
          <a:off x="5846400" y="3114360"/>
          <a:ext cx="2006280" cy="154080"/>
        </a:xfrm>
        <a:prstGeom prst="rect">
          <a:avLst/>
        </a:prstGeom>
        <a:noFill/>
        <a:ln w="0">
          <a:noFill/>
        </a:ln>
      </xdr:spPr>
      <xdr:style>
        <a:lnRef idx="0"/>
        <a:fillRef idx="0"/>
        <a:effectRef idx="0"/>
        <a:fontRef idx="minor"/>
      </xdr:style>
      <xdr:txBody>
        <a:bodyPr lIns="20160" rIns="20160" tIns="20160" bIns="20160" anchor="t">
          <a:spAutoFit/>
        </a:bodyPr>
        <a:p>
          <a:r>
            <a:rPr b="0" lang="en-US" sz="800" strike="noStrike" u="none">
              <a:effectLst/>
              <a:uFillTx/>
              <a:latin typeface="Times New Roman"/>
            </a:rPr>
            <a:t>created by:  Scott Jenkins and Cory Satin</a:t>
          </a:r>
          <a:endParaRPr b="0" lang="en-US" sz="8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1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0546875" defaultRowHeight="12.75" customHeight="true" zeroHeight="false" outlineLevelRow="0" outlineLevelCol="0"/>
  <sheetData>
    <row r="1" customFormat="false" ht="12.7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12.75" hidden="false" customHeight="fals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2.7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2.75" hidden="false" customHeight="false" outlineLevel="0" collapsed="false">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customFormat="false" ht="12.75" hidden="false" customHeight="false" outlineLevel="0" collapsed="false">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customFormat="false" ht="12.75" hidden="false" customHeight="false" outlineLevel="0" collapsed="false">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customFormat="false" ht="12.75" hidden="false" customHeight="false" outlineLevel="0" collapsed="false">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customFormat="false" ht="12.75" hidden="false" customHeight="false" outlineLevel="0" collapsed="false">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customFormat="false" ht="12.75" hidden="false" customHeight="false" outlineLevel="0" collapsed="false">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customFormat="false" ht="12.75" hidden="false" customHeight="false" outlineLevel="0" collapsed="false">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customFormat="false" ht="12.75" hidden="false" customHeight="false" outlineLevel="0" collapsed="false">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customFormat="false" ht="12.75" hidden="false" customHeight="false" outlineLevel="0" collapsed="false">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customFormat="false" ht="12.75" hidden="false" customHeight="false" outlineLevel="0" collapsed="false">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customFormat="false" ht="12.75" hidden="false" customHeight="false" outlineLevel="0" collapsed="false">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customFormat="false" ht="12.75" hidden="false" customHeight="false" outlineLevel="0" collapsed="false">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customFormat="false" ht="12.75" hidden="false" customHeight="false" outlineLevel="0" collapsed="false">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customFormat="false" ht="12.75" hidden="false" customHeight="false" outlineLevel="0" collapsed="false">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customFormat="false" ht="12.75" hidden="false" customHeight="false" outlineLevel="0" collapsed="false">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customFormat="false" ht="12.75" hidden="false" customHeight="false" outlineLevel="0" collapsed="false">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customFormat="false" ht="12.75" hidden="false" customHeight="false" outlineLevel="0" collapsed="false">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customFormat="false" ht="12.75" hidden="false" customHeight="false" outlineLevel="0" collapsed="false">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customFormat="false" ht="12.75" hidden="false" customHeight="false" outlineLevel="0" collapsed="false">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customFormat="false" ht="12.75" hidden="false" customHeight="false" outlineLevel="0" collapsed="false">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customFormat="false" ht="12.75" hidden="false" customHeight="false" outlineLevel="0" collapsed="false">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customFormat="false" ht="12.75" hidden="false" customHeight="false" outlineLevel="0" collapsed="false">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customFormat="false" ht="12.75" hidden="false" customHeight="false" outlineLevel="0" collapsed="false">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customFormat="false" ht="12.75" hidden="false" customHeight="false" outlineLevel="0" collapsed="false">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customFormat="false" ht="12.75" hidden="false" customHeight="false" outlineLevel="0" collapsed="false">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customFormat="false" ht="12.75" hidden="false" customHeight="false" outlineLevel="0" collapsed="false">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customFormat="false" ht="12.75" hidden="false" customHeight="false" outlineLevel="0" collapsed="false">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customFormat="false" ht="12.75" hidden="false" customHeight="false" outlineLevel="0" collapsed="false">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customFormat="false" ht="12.75" hidden="false" customHeight="false" outlineLevel="0" collapsed="false">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customFormat="false" ht="12.75" hidden="false" customHeight="false" outlineLevel="0" collapsed="false">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customFormat="false" ht="12.75" hidden="false" customHeight="false" outlineLevel="0" collapsed="false">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customFormat="false" ht="12.75" hidden="false" customHeight="fals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customFormat="false" ht="12.75" hidden="false" customHeight="fals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customFormat="false" ht="12.75" hidden="false" customHeight="fals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customFormat="false" ht="12.75" hidden="false" customHeight="fals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customFormat="false" ht="12.75" hidden="false" customHeight="fals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customFormat="false" ht="12.75" hidden="false" customHeight="fals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customFormat="false" ht="12.75" hidden="false" customHeight="fals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customFormat="false" ht="12.75" hidden="false" customHeight="fals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customFormat="false" ht="12.75" hidden="false" customHeight="fals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customFormat="false" ht="12.75" hidden="false" customHeight="fals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customFormat="false" ht="12.75" hidden="false" customHeight="fals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customFormat="false" ht="12.75" hidden="false" customHeight="fals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customFormat="false" ht="12.75" hidden="false" customHeight="fals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customFormat="false" ht="12.75" hidden="false" customHeight="fals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customFormat="false" ht="12.75" hidden="false" customHeight="fals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customFormat="false" ht="12.75" hidden="false" customHeight="fals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customFormat="false" ht="12.75" hidden="false" customHeight="fals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customFormat="false" ht="12.75" hidden="false" customHeight="fals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customFormat="false" ht="12.75" hidden="false" customHeight="fals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customFormat="false" ht="12.75"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customFormat="false" ht="12.75"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customFormat="false" ht="12.75"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customFormat="false" ht="12.75"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customFormat="false" ht="12.75"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customFormat="false" ht="12.75"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customFormat="false" ht="12.75"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customFormat="false" ht="12.75"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customFormat="false" ht="12.75"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customFormat="false" ht="12.75"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customFormat="false" ht="12.75"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customFormat="false" ht="12.75"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customFormat="false" ht="12.75"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customFormat="false" ht="12.75"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customFormat="false" ht="12.75"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customFormat="false" ht="12.75"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customFormat="false" ht="12.75"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customFormat="false" ht="12.75"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customFormat="false" ht="12.75"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customFormat="false" ht="12.75"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customFormat="false" ht="12.75"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customFormat="false" ht="12.75"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customFormat="false" ht="12.75"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customFormat="false" ht="12.75"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customFormat="false" ht="12.75"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customFormat="false" ht="12.75"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customFormat="false" ht="12.75"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customFormat="false" ht="12.75"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customFormat="false" ht="12.75"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customFormat="false" ht="12.75"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customFormat="false" ht="12.75"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customFormat="false" ht="12.75"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customFormat="false" ht="12.75"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customFormat="false" ht="12.75"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customFormat="false" ht="12.75"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customFormat="false" ht="12.75"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customFormat="false" ht="12.75"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customFormat="false" ht="12.75"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customFormat="false" ht="12.75"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customFormat="false" ht="12.75"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customFormat="false" ht="12.75"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customFormat="false" ht="12.75"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customFormat="false" ht="12.75"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customFormat="false" ht="12.75"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customFormat="false" ht="12.75"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customFormat="false" ht="12.75"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customFormat="false" ht="12.75"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customFormat="false" ht="12.75"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customFormat="false" ht="12.75"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customFormat="false" ht="12.75"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customFormat="false" ht="12.75"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customFormat="false" ht="12.75"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customFormat="false" ht="12.75"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customFormat="false" ht="12.75"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customFormat="false" ht="12.75"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customFormat="false" ht="12.75"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customFormat="false" ht="12.75"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customFormat="false" ht="12.75"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customFormat="false" ht="12.75"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customFormat="false" ht="12.75"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customFormat="false" ht="12.75"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customFormat="false" ht="12.75"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customFormat="false" ht="12.75"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customFormat="false" ht="12.75"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customFormat="false" ht="12.75"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customFormat="false" ht="12.75"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52"/>
  <sheetViews>
    <sheetView showFormulas="false" showGridLines="true" showRowColHeaders="true" showZeros="true" rightToLeft="false" tabSelected="false" showOutlineSymbols="true" defaultGridColor="true" view="normal" topLeftCell="E3" colorId="64" zoomScale="90" zoomScaleNormal="90" zoomScalePageLayoutView="100" workbookViewId="0">
      <selection pane="topLeft" activeCell="F8" activeCellId="0" sqref="F8:N8"/>
    </sheetView>
  </sheetViews>
  <sheetFormatPr defaultColWidth="10.3515625" defaultRowHeight="12.75" customHeight="true" zeroHeight="false" outlineLevelRow="0" outlineLevelCol="0"/>
  <cols>
    <col collapsed="false" customWidth="true" hidden="false" outlineLevel="0" max="1" min="1" style="2" width="42.73"/>
    <col collapsed="false" customWidth="true" hidden="false" outlineLevel="0" max="3" min="2" style="2" width="11.46"/>
    <col collapsed="false" customWidth="true" hidden="false" outlineLevel="0" max="4" min="4" style="3" width="33.47"/>
    <col collapsed="false" customWidth="true" hidden="false" outlineLevel="0" max="14" min="5" style="2" width="13.12"/>
    <col collapsed="false" customWidth="false" hidden="false" outlineLevel="0" max="257" min="15" style="2" width="10.35"/>
  </cols>
  <sheetData>
    <row r="1" customFormat="false" ht="18" hidden="false" customHeight="false" outlineLevel="0" collapsed="false">
      <c r="A1" s="4" t="s">
        <v>0</v>
      </c>
      <c r="D1" s="2"/>
    </row>
    <row r="2" customFormat="false" ht="12.75" hidden="false" customHeight="false" outlineLevel="0" collapsed="false">
      <c r="A2" s="5" t="s">
        <v>1</v>
      </c>
      <c r="D2" s="6"/>
    </row>
    <row r="3" customFormat="false" ht="12.75" hidden="false" customHeight="false" outlineLevel="0" collapsed="false">
      <c r="A3" s="5"/>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9" t="s">
        <v>5</v>
      </c>
      <c r="B4" s="10" t="n">
        <v>1991</v>
      </c>
      <c r="C4" s="10" t="n">
        <v>1992</v>
      </c>
      <c r="D4" s="11"/>
      <c r="E4" s="12" t="n">
        <f aca="false">C4+1</f>
        <v>1993</v>
      </c>
      <c r="F4" s="12" t="n">
        <f aca="false">E4+1</f>
        <v>1994</v>
      </c>
      <c r="G4" s="12" t="n">
        <f aca="false">F4+1</f>
        <v>1995</v>
      </c>
      <c r="H4" s="12" t="n">
        <f aca="false">G4+1</f>
        <v>1996</v>
      </c>
      <c r="I4" s="12" t="n">
        <f aca="false">H4+1</f>
        <v>1997</v>
      </c>
      <c r="J4" s="12" t="n">
        <f aca="false">I4+1</f>
        <v>1998</v>
      </c>
      <c r="K4" s="12" t="n">
        <f aca="false">J4+1</f>
        <v>1999</v>
      </c>
      <c r="L4" s="12" t="n">
        <f aca="false">K4+1</f>
        <v>2000</v>
      </c>
      <c r="M4" s="12" t="n">
        <f aca="false">L4+1</f>
        <v>2001</v>
      </c>
      <c r="N4" s="12" t="n">
        <f aca="false">M4+1</f>
        <v>2002</v>
      </c>
      <c r="O4" s="12"/>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14" t="s">
        <v>6</v>
      </c>
      <c r="B5" s="15" t="n">
        <v>226082</v>
      </c>
      <c r="C5" s="15" t="n">
        <v>291368</v>
      </c>
      <c r="D5" s="16" t="s">
        <v>7</v>
      </c>
      <c r="E5" s="2" t="n">
        <f aca="false">C5*(1+E6)</f>
        <v>422483.6</v>
      </c>
      <c r="F5" s="2" t="n">
        <f aca="false">E5*(1+F6)</f>
        <v>633725.4</v>
      </c>
      <c r="G5" s="2" t="n">
        <f aca="false">F5*(1+G6)</f>
        <v>887215.56</v>
      </c>
      <c r="H5" s="2" t="n">
        <f aca="false">G5*(1+H6)</f>
        <v>1153380.228</v>
      </c>
      <c r="I5" s="2" t="n">
        <f aca="false">H5*(1+I6)</f>
        <v>1384056.2736</v>
      </c>
      <c r="J5" s="2" t="n">
        <f aca="false">I5*(1+J6)</f>
        <v>1660867.52832</v>
      </c>
      <c r="K5" s="2" t="n">
        <f aca="false">J5*(1+K6)</f>
        <v>1993041.033984</v>
      </c>
      <c r="L5" s="2" t="n">
        <f aca="false">K5*(1+L6)</f>
        <v>2391649.2407808</v>
      </c>
      <c r="M5" s="2" t="n">
        <f aca="false">L5*(1+M6)</f>
        <v>2869979.08893696</v>
      </c>
      <c r="N5" s="2" t="n">
        <f aca="false">M5*(1+N6)</f>
        <v>3443974.90672435</v>
      </c>
    </row>
    <row r="6" customFormat="false" ht="12.75" hidden="false" customHeight="false" outlineLevel="0" collapsed="false">
      <c r="A6" s="17" t="s">
        <v>8</v>
      </c>
      <c r="B6" s="17"/>
      <c r="C6" s="18" t="n">
        <f aca="false">C5/B5-1</f>
        <v>0.288771330756097</v>
      </c>
      <c r="D6" s="16"/>
      <c r="E6" s="19" t="n">
        <v>0.45</v>
      </c>
      <c r="F6" s="19" t="n">
        <v>0.5</v>
      </c>
      <c r="G6" s="19" t="n">
        <v>0.4</v>
      </c>
      <c r="H6" s="19" t="n">
        <v>0.3</v>
      </c>
      <c r="I6" s="19" t="n">
        <v>0.2</v>
      </c>
      <c r="J6" s="19" t="n">
        <v>0.2</v>
      </c>
      <c r="K6" s="19" t="n">
        <v>0.2</v>
      </c>
      <c r="L6" s="19" t="n">
        <v>0.2</v>
      </c>
      <c r="M6" s="19" t="n">
        <v>0.2</v>
      </c>
      <c r="N6" s="19" t="n">
        <v>0.2</v>
      </c>
    </row>
    <row r="7" customFormat="false" ht="12.75" hidden="false" customHeight="false" outlineLevel="0" collapsed="false">
      <c r="A7" s="20" t="s">
        <v>9</v>
      </c>
      <c r="B7" s="21" t="n">
        <v>146290</v>
      </c>
      <c r="C7" s="21" t="n">
        <v>183510</v>
      </c>
      <c r="D7" s="22" t="s">
        <v>10</v>
      </c>
      <c r="E7" s="23" t="n">
        <f aca="false">E5*E8</f>
        <v>261939.832</v>
      </c>
      <c r="F7" s="23" t="n">
        <f aca="false">F5*F8</f>
        <v>392909.748</v>
      </c>
      <c r="G7" s="23" t="n">
        <f aca="false">G5*G8</f>
        <v>550073.6472</v>
      </c>
      <c r="H7" s="23" t="n">
        <f aca="false">H5*H8</f>
        <v>715095.74136</v>
      </c>
      <c r="I7" s="23" t="n">
        <f aca="false">I5*I8</f>
        <v>858114.889632</v>
      </c>
      <c r="J7" s="23" t="n">
        <f aca="false">J5*J8</f>
        <v>1029737.8675584</v>
      </c>
      <c r="K7" s="23" t="n">
        <f aca="false">K5*K8</f>
        <v>1235685.44107008</v>
      </c>
      <c r="L7" s="23" t="n">
        <f aca="false">L5*L8</f>
        <v>1482822.5292841</v>
      </c>
      <c r="M7" s="23" t="n">
        <f aca="false">M5*M8</f>
        <v>1779387.03514091</v>
      </c>
      <c r="N7" s="23" t="n">
        <f aca="false">N5*N8</f>
        <v>2135264.4421691</v>
      </c>
      <c r="O7" s="23"/>
      <c r="P7" s="23"/>
      <c r="Q7" s="23"/>
      <c r="R7" s="23"/>
      <c r="S7" s="23"/>
      <c r="T7" s="23"/>
      <c r="U7" s="23"/>
      <c r="V7" s="23"/>
      <c r="W7" s="23"/>
      <c r="X7" s="23"/>
      <c r="Y7" s="23"/>
    </row>
    <row r="8" customFormat="false" ht="12.75" hidden="false" customHeight="true" outlineLevel="0" collapsed="false">
      <c r="A8" s="24" t="s">
        <v>11</v>
      </c>
      <c r="B8" s="25" t="n">
        <f aca="false">B7/B5</f>
        <v>0.647066108757</v>
      </c>
      <c r="C8" s="25" t="n">
        <f aca="false">C7/C5</f>
        <v>0.629822080667747</v>
      </c>
      <c r="D8" s="26"/>
      <c r="E8" s="27" t="n">
        <v>0.62</v>
      </c>
      <c r="F8" s="27" t="n">
        <v>0.62</v>
      </c>
      <c r="G8" s="27" t="n">
        <v>0.62</v>
      </c>
      <c r="H8" s="27" t="n">
        <v>0.62</v>
      </c>
      <c r="I8" s="27" t="n">
        <v>0.62</v>
      </c>
      <c r="J8" s="27" t="n">
        <v>0.62</v>
      </c>
      <c r="K8" s="27" t="n">
        <v>0.62</v>
      </c>
      <c r="L8" s="27" t="n">
        <v>0.62</v>
      </c>
      <c r="M8" s="27" t="n">
        <v>0.62</v>
      </c>
      <c r="N8" s="27" t="n">
        <v>0.62</v>
      </c>
      <c r="O8" s="28"/>
      <c r="P8" s="28"/>
      <c r="Q8" s="28"/>
      <c r="R8" s="28"/>
      <c r="S8" s="28"/>
      <c r="T8" s="28"/>
      <c r="U8" s="28"/>
      <c r="V8" s="28"/>
      <c r="W8" s="28"/>
      <c r="X8" s="28"/>
      <c r="Y8" s="28"/>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row>
    <row r="9" customFormat="false" ht="12.75" hidden="false" customHeight="false" outlineLevel="0" collapsed="false">
      <c r="A9" s="20" t="s">
        <v>12</v>
      </c>
      <c r="B9" s="21" t="n">
        <f aca="false">B5-B7</f>
        <v>79792</v>
      </c>
      <c r="C9" s="21" t="n">
        <f aca="false">C5-C7</f>
        <v>107858</v>
      </c>
      <c r="D9" s="30"/>
      <c r="E9" s="23" t="n">
        <f aca="false">E5-E7</f>
        <v>160543.768</v>
      </c>
      <c r="F9" s="23" t="n">
        <f aca="false">F5-F7</f>
        <v>240815.652</v>
      </c>
      <c r="G9" s="23" t="n">
        <f aca="false">G5-G7</f>
        <v>337141.9128</v>
      </c>
      <c r="H9" s="23" t="n">
        <f aca="false">H5-H7</f>
        <v>438284.48664</v>
      </c>
      <c r="I9" s="23" t="n">
        <f aca="false">I5-I7</f>
        <v>525941.383968</v>
      </c>
      <c r="J9" s="23" t="n">
        <f aca="false">J5-J7</f>
        <v>631129.6607616</v>
      </c>
      <c r="K9" s="23" t="n">
        <f aca="false">K5-K7</f>
        <v>757355.59291392</v>
      </c>
      <c r="L9" s="23" t="n">
        <f aca="false">L5-L7</f>
        <v>908826.711496704</v>
      </c>
      <c r="M9" s="23" t="n">
        <f aca="false">M5-M7</f>
        <v>1090592.05379604</v>
      </c>
      <c r="N9" s="23" t="n">
        <f aca="false">N5-N7</f>
        <v>1308710.46455525</v>
      </c>
      <c r="O9" s="23"/>
      <c r="P9" s="23"/>
      <c r="Q9" s="23"/>
      <c r="R9" s="23"/>
      <c r="S9" s="23"/>
      <c r="T9" s="23"/>
      <c r="U9" s="23"/>
      <c r="V9" s="23"/>
      <c r="W9" s="23"/>
      <c r="X9" s="23"/>
      <c r="Y9" s="23"/>
    </row>
    <row r="10" customFormat="false" ht="12.75" hidden="false" customHeight="false" outlineLevel="0" collapsed="false">
      <c r="A10" s="20"/>
      <c r="B10" s="21"/>
      <c r="C10" s="21"/>
      <c r="D10" s="30"/>
      <c r="E10" s="23"/>
      <c r="F10" s="23"/>
      <c r="G10" s="23"/>
      <c r="H10" s="23"/>
      <c r="I10" s="23"/>
      <c r="J10" s="23"/>
      <c r="K10" s="23"/>
      <c r="L10" s="23"/>
      <c r="M10" s="23"/>
      <c r="N10" s="23"/>
      <c r="O10" s="23"/>
      <c r="P10" s="23"/>
      <c r="Q10" s="23"/>
      <c r="R10" s="23"/>
      <c r="S10" s="23"/>
      <c r="T10" s="23"/>
      <c r="U10" s="23"/>
      <c r="V10" s="23"/>
      <c r="W10" s="23"/>
      <c r="X10" s="23"/>
      <c r="Y10" s="23"/>
    </row>
    <row r="11" customFormat="false" ht="12.75" hidden="false" customHeight="false" outlineLevel="0" collapsed="false">
      <c r="A11" s="20" t="s">
        <v>13</v>
      </c>
      <c r="B11" s="21" t="n">
        <v>61713</v>
      </c>
      <c r="C11" s="21" t="n">
        <v>81339</v>
      </c>
      <c r="D11" s="31" t="s">
        <v>10</v>
      </c>
      <c r="E11" s="23" t="n">
        <f aca="false">E5*E12</f>
        <v>109845.736</v>
      </c>
      <c r="F11" s="23" t="n">
        <f aca="false">F5*F12</f>
        <v>164768.604</v>
      </c>
      <c r="G11" s="23" t="n">
        <f aca="false">G5*G12</f>
        <v>230676.0456</v>
      </c>
      <c r="H11" s="23" t="n">
        <f aca="false">H5*H12</f>
        <v>299878.85928</v>
      </c>
      <c r="I11" s="23" t="n">
        <f aca="false">I5*I12</f>
        <v>359854.631136</v>
      </c>
      <c r="J11" s="23" t="n">
        <f aca="false">J5*J12</f>
        <v>431825.5573632</v>
      </c>
      <c r="K11" s="23" t="n">
        <f aca="false">K5*K12</f>
        <v>518190.66883584</v>
      </c>
      <c r="L11" s="23" t="n">
        <f aca="false">L5*L12</f>
        <v>621828.802603008</v>
      </c>
      <c r="M11" s="23" t="n">
        <f aca="false">M5*M12</f>
        <v>746194.563123609</v>
      </c>
      <c r="N11" s="23" t="n">
        <f aca="false">N5*N12</f>
        <v>895433.475748331</v>
      </c>
      <c r="O11" s="23"/>
      <c r="P11" s="23"/>
      <c r="Q11" s="23"/>
      <c r="R11" s="23"/>
      <c r="S11" s="23"/>
      <c r="T11" s="23"/>
      <c r="U11" s="23"/>
      <c r="V11" s="23"/>
      <c r="W11" s="23"/>
      <c r="X11" s="23"/>
      <c r="Y11" s="23"/>
    </row>
    <row r="12" customFormat="false" ht="12.75" hidden="false" customHeight="true" outlineLevel="0" collapsed="false">
      <c r="A12" s="24" t="s">
        <v>11</v>
      </c>
      <c r="B12" s="25" t="n">
        <f aca="false">B11/B5</f>
        <v>0.272967330437629</v>
      </c>
      <c r="C12" s="25" t="n">
        <f aca="false">C11/C5</f>
        <v>0.279162433760742</v>
      </c>
      <c r="D12" s="32"/>
      <c r="E12" s="27" t="n">
        <v>0.26</v>
      </c>
      <c r="F12" s="27" t="n">
        <v>0.26</v>
      </c>
      <c r="G12" s="27" t="n">
        <v>0.26</v>
      </c>
      <c r="H12" s="27" t="n">
        <v>0.26</v>
      </c>
      <c r="I12" s="27" t="n">
        <v>0.26</v>
      </c>
      <c r="J12" s="27" t="n">
        <v>0.26</v>
      </c>
      <c r="K12" s="27" t="n">
        <v>0.26</v>
      </c>
      <c r="L12" s="27" t="n">
        <v>0.26</v>
      </c>
      <c r="M12" s="27" t="n">
        <v>0.26</v>
      </c>
      <c r="N12" s="27" t="n">
        <v>0.26</v>
      </c>
      <c r="O12" s="28"/>
      <c r="P12" s="28"/>
      <c r="Q12" s="28"/>
      <c r="R12" s="28"/>
      <c r="S12" s="28"/>
      <c r="T12" s="28"/>
      <c r="U12" s="28"/>
      <c r="V12" s="28"/>
      <c r="W12" s="28"/>
      <c r="X12" s="28"/>
      <c r="Y12" s="28"/>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row>
    <row r="13" customFormat="false" ht="12.75" hidden="false" customHeight="false" outlineLevel="0" collapsed="false">
      <c r="A13" s="20" t="s">
        <v>14</v>
      </c>
      <c r="B13" s="21" t="n">
        <f aca="false">B9-B11</f>
        <v>18079</v>
      </c>
      <c r="C13" s="21" t="n">
        <f aca="false">C9-C11</f>
        <v>26519</v>
      </c>
      <c r="D13" s="33"/>
      <c r="E13" s="21" t="n">
        <f aca="false">E9-E11</f>
        <v>50698.032</v>
      </c>
      <c r="F13" s="21" t="n">
        <f aca="false">F9-F11</f>
        <v>76047.048</v>
      </c>
      <c r="G13" s="21" t="n">
        <f aca="false">G9-G11</f>
        <v>106465.8672</v>
      </c>
      <c r="H13" s="21" t="n">
        <f aca="false">H9-H11</f>
        <v>138405.62736</v>
      </c>
      <c r="I13" s="21" t="n">
        <f aca="false">I9-I11</f>
        <v>166086.752832</v>
      </c>
      <c r="J13" s="21" t="n">
        <f aca="false">J9-J11</f>
        <v>199304.1033984</v>
      </c>
      <c r="K13" s="21" t="n">
        <f aca="false">K9-K11</f>
        <v>239164.92407808</v>
      </c>
      <c r="L13" s="21" t="n">
        <f aca="false">L9-L11</f>
        <v>286997.908893696</v>
      </c>
      <c r="M13" s="21" t="n">
        <f aca="false">M9-M11</f>
        <v>344397.490672435</v>
      </c>
      <c r="N13" s="21" t="n">
        <f aca="false">N9-N11</f>
        <v>413276.988806922</v>
      </c>
      <c r="O13" s="23"/>
      <c r="P13" s="23"/>
      <c r="Q13" s="23"/>
      <c r="R13" s="23"/>
      <c r="S13" s="23"/>
      <c r="T13" s="23"/>
      <c r="U13" s="23"/>
      <c r="V13" s="23"/>
      <c r="W13" s="23"/>
      <c r="X13" s="23"/>
      <c r="Y13" s="23"/>
    </row>
    <row r="14" customFormat="false" ht="12.75" hidden="false" customHeight="false" outlineLevel="0" collapsed="false">
      <c r="A14" s="34"/>
      <c r="B14" s="21"/>
      <c r="C14" s="21"/>
      <c r="D14" s="33"/>
      <c r="E14" s="23"/>
      <c r="F14" s="23"/>
      <c r="G14" s="23"/>
      <c r="H14" s="23"/>
      <c r="I14" s="23"/>
      <c r="J14" s="23"/>
      <c r="K14" s="23"/>
      <c r="L14" s="23"/>
      <c r="M14" s="23"/>
      <c r="N14" s="23"/>
      <c r="O14" s="23"/>
      <c r="P14" s="23"/>
      <c r="Q14" s="23"/>
      <c r="R14" s="23"/>
      <c r="S14" s="23"/>
      <c r="T14" s="23"/>
      <c r="U14" s="23"/>
      <c r="V14" s="23"/>
      <c r="W14" s="23"/>
      <c r="X14" s="23"/>
      <c r="Y14" s="23"/>
    </row>
    <row r="15" customFormat="false" ht="12.75" hidden="false" customHeight="false" outlineLevel="0" collapsed="false">
      <c r="A15" s="35" t="s">
        <v>15</v>
      </c>
      <c r="B15" s="36" t="n">
        <v>-540</v>
      </c>
      <c r="C15" s="36" t="n">
        <v>-1992</v>
      </c>
      <c r="D15" s="37" t="n">
        <v>-0.003</v>
      </c>
      <c r="E15" s="38" t="n">
        <f aca="false">E5*$D$15</f>
        <v>-1267.4508</v>
      </c>
      <c r="F15" s="38" t="n">
        <f aca="false">F5*$D$15</f>
        <v>-1901.1762</v>
      </c>
      <c r="G15" s="38" t="n">
        <f aca="false">G5*$D$15</f>
        <v>-2661.64668</v>
      </c>
      <c r="H15" s="38" t="n">
        <f aca="false">H5*$D$15</f>
        <v>-3460.140684</v>
      </c>
      <c r="I15" s="38" t="n">
        <f aca="false">I5*$D$15</f>
        <v>-4152.1688208</v>
      </c>
      <c r="J15" s="38" t="n">
        <f aca="false">J5*$D$15</f>
        <v>-4982.60258496</v>
      </c>
      <c r="K15" s="38" t="n">
        <f aca="false">K5*$D$15</f>
        <v>-5979.123101952</v>
      </c>
      <c r="L15" s="38" t="n">
        <f aca="false">L5*$D$15</f>
        <v>-7174.9477223424</v>
      </c>
      <c r="M15" s="38" t="n">
        <f aca="false">M5*$D$15</f>
        <v>-8609.93726681088</v>
      </c>
      <c r="N15" s="38" t="n">
        <f aca="false">N5*$D$15</f>
        <v>-10331.9247201731</v>
      </c>
      <c r="O15" s="23"/>
      <c r="P15" s="23"/>
      <c r="Q15" s="23"/>
      <c r="R15" s="23"/>
      <c r="S15" s="23"/>
      <c r="T15" s="23"/>
      <c r="U15" s="23"/>
      <c r="V15" s="23"/>
      <c r="W15" s="23"/>
      <c r="X15" s="23"/>
      <c r="Y15" s="23"/>
    </row>
    <row r="16" customFormat="false" ht="12.75" hidden="false" customHeight="false" outlineLevel="0" collapsed="false">
      <c r="A16" s="39" t="s">
        <v>16</v>
      </c>
      <c r="B16" s="40" t="n">
        <f aca="false">B13+B15</f>
        <v>17539</v>
      </c>
      <c r="C16" s="40" t="n">
        <f aca="false">C13+C15</f>
        <v>24527</v>
      </c>
      <c r="D16" s="41"/>
      <c r="E16" s="40" t="n">
        <f aca="false">E13+E15</f>
        <v>49430.5812</v>
      </c>
      <c r="F16" s="40" t="n">
        <f aca="false">F13+F15</f>
        <v>74145.8718</v>
      </c>
      <c r="G16" s="40" t="n">
        <f aca="false">G13+G15</f>
        <v>103804.22052</v>
      </c>
      <c r="H16" s="40" t="n">
        <f aca="false">H13+H15</f>
        <v>134945.486676</v>
      </c>
      <c r="I16" s="40" t="n">
        <f aca="false">I13+I15</f>
        <v>161934.5840112</v>
      </c>
      <c r="J16" s="40" t="n">
        <f aca="false">J13+J15</f>
        <v>194321.50081344</v>
      </c>
      <c r="K16" s="40" t="n">
        <f aca="false">K13+K15</f>
        <v>233185.800976128</v>
      </c>
      <c r="L16" s="40" t="n">
        <f aca="false">L13+L15</f>
        <v>279822.961171354</v>
      </c>
      <c r="M16" s="40" t="n">
        <f aca="false">M13+M15</f>
        <v>335787.553405624</v>
      </c>
      <c r="N16" s="40" t="n">
        <f aca="false">N13+N15</f>
        <v>402945.064086749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c r="IW16" s="42"/>
    </row>
    <row r="17" customFormat="false" ht="12.75" hidden="false" customHeight="false" outlineLevel="0" collapsed="false">
      <c r="A17" s="39"/>
      <c r="B17" s="21"/>
      <c r="C17" s="21"/>
      <c r="D17" s="43"/>
      <c r="E17" s="23"/>
      <c r="F17" s="23"/>
      <c r="G17" s="23"/>
      <c r="H17" s="23"/>
      <c r="I17" s="23"/>
      <c r="J17" s="23"/>
      <c r="K17" s="23"/>
      <c r="L17" s="23"/>
      <c r="M17" s="23"/>
      <c r="N17" s="23"/>
      <c r="O17" s="23"/>
      <c r="P17" s="23"/>
      <c r="Q17" s="23"/>
      <c r="R17" s="23"/>
      <c r="S17" s="23"/>
      <c r="T17" s="23"/>
      <c r="U17" s="23"/>
      <c r="V17" s="23"/>
      <c r="W17" s="23"/>
      <c r="X17" s="23"/>
      <c r="Y17" s="23"/>
    </row>
    <row r="18" customFormat="false" ht="12.75" hidden="false" customHeight="false" outlineLevel="0" collapsed="false">
      <c r="A18" s="20" t="s">
        <v>17</v>
      </c>
      <c r="B18" s="21" t="n">
        <v>5822</v>
      </c>
      <c r="C18" s="21" t="n">
        <v>5528</v>
      </c>
      <c r="D18" s="44" t="n">
        <v>0.094</v>
      </c>
      <c r="E18" s="23" t="n">
        <f aca="false">(('Balance Sheet'!C20+'Balance Sheet'!C15+'Balance Sheet'!E20+'Balance Sheet'!E15)/2)*0.094</f>
        <v>5825.51129353733</v>
      </c>
      <c r="F18" s="23" t="n">
        <f aca="false">(('Balance Sheet'!E20+'Balance Sheet'!E15+'Balance Sheet'!F20+'Balance Sheet'!F15)/2)*0.094</f>
        <v>8446.28317126</v>
      </c>
      <c r="G18" s="23" t="n">
        <f aca="false">(('Balance Sheet'!F20+'Balance Sheet'!F15+'Balance Sheet'!G20+'Balance Sheet'!G15)/2)*0.094</f>
        <v>11949.8119605011</v>
      </c>
      <c r="H18" s="23" t="n">
        <f aca="false">(('Balance Sheet'!G20+'Balance Sheet'!G15+'Balance Sheet'!H20+'Balance Sheet'!H15)/2)*0.094</f>
        <v>15869.2518568737</v>
      </c>
      <c r="I18" s="23" t="n">
        <f aca="false">(('Balance Sheet'!H20+'Balance Sheet'!H15+'Balance Sheet'!I20+'Balance Sheet'!I15)/2)*0.094</f>
        <v>19615.9286779762</v>
      </c>
      <c r="J18" s="23" t="n">
        <f aca="false">(('Balance Sheet'!I20+'Balance Sheet'!I15+'Balance Sheet'!J20+'Balance Sheet'!J15)/2)*0.094</f>
        <v>23443.2282675381</v>
      </c>
      <c r="K18" s="23" t="n">
        <f aca="false">(('Balance Sheet'!J20+'Balance Sheet'!J15+'Balance Sheet'!K20+'Balance Sheet'!K15)/2)*0.094</f>
        <v>28039.1315830791</v>
      </c>
      <c r="L18" s="23" t="n">
        <f aca="false">(('Balance Sheet'!K20+'Balance Sheet'!K15+'Balance Sheet'!L20+'Balance Sheet'!L15)/2)*0.094</f>
        <v>33557.3593697949</v>
      </c>
      <c r="M18" s="23" t="n">
        <f aca="false">(('Balance Sheet'!L20+'Balance Sheet'!L15+'Balance Sheet'!M20+'Balance Sheet'!M15)/2)*0.094</f>
        <v>40182.3765219206</v>
      </c>
      <c r="N18" s="23" t="n">
        <f aca="false">(('Balance Sheet'!M20+'Balance Sheet'!M15+'Balance Sheet'!N20+'Balance Sheet'!N15)/2)*0.094</f>
        <v>48135.540912538</v>
      </c>
      <c r="O18" s="23"/>
      <c r="P18" s="23"/>
      <c r="Q18" s="23"/>
      <c r="R18" s="23"/>
      <c r="S18" s="23"/>
      <c r="T18" s="23"/>
      <c r="U18" s="23"/>
      <c r="V18" s="23"/>
      <c r="W18" s="23"/>
      <c r="X18" s="23"/>
      <c r="Y18" s="23"/>
    </row>
    <row r="19" customFormat="false" ht="12.75" hidden="false" customHeight="false" outlineLevel="0" collapsed="false">
      <c r="A19" s="20" t="s">
        <v>18</v>
      </c>
      <c r="B19" s="21" t="n">
        <f aca="false">B16-B18</f>
        <v>11717</v>
      </c>
      <c r="C19" s="21" t="n">
        <f aca="false">C16-C18</f>
        <v>18999</v>
      </c>
      <c r="D19" s="33"/>
      <c r="E19" s="23" t="n">
        <f aca="false">E16-E18</f>
        <v>43605.0699064626</v>
      </c>
      <c r="F19" s="23" t="n">
        <f aca="false">F16-F18</f>
        <v>65699.58862874</v>
      </c>
      <c r="G19" s="23" t="n">
        <f aca="false">G16-G18</f>
        <v>91854.4085594989</v>
      </c>
      <c r="H19" s="23" t="n">
        <f aca="false">H16-H18</f>
        <v>119076.234819126</v>
      </c>
      <c r="I19" s="23" t="n">
        <f aca="false">I16-I18</f>
        <v>142318.655333224</v>
      </c>
      <c r="J19" s="23" t="n">
        <f aca="false">J16-J18</f>
        <v>170878.272545902</v>
      </c>
      <c r="K19" s="23" t="n">
        <f aca="false">K16-K18</f>
        <v>205146.669393049</v>
      </c>
      <c r="L19" s="23" t="n">
        <f aca="false">L16-L18</f>
        <v>246265.601801559</v>
      </c>
      <c r="M19" s="23" t="n">
        <f aca="false">M16-M18</f>
        <v>295605.176883704</v>
      </c>
      <c r="N19" s="23" t="n">
        <f aca="false">N16-N18</f>
        <v>354809.523174211</v>
      </c>
      <c r="O19" s="23"/>
      <c r="P19" s="23"/>
      <c r="Q19" s="23"/>
      <c r="R19" s="23"/>
      <c r="S19" s="23"/>
      <c r="T19" s="23"/>
      <c r="U19" s="23"/>
      <c r="V19" s="23"/>
      <c r="W19" s="23"/>
      <c r="X19" s="23"/>
      <c r="Y19" s="23"/>
    </row>
    <row r="20" customFormat="false" ht="12.75" hidden="false" customHeight="false" outlineLevel="0" collapsed="false">
      <c r="A20" s="35" t="s">
        <v>19</v>
      </c>
      <c r="B20" s="36" t="n">
        <v>3632</v>
      </c>
      <c r="C20" s="36" t="n">
        <v>6080</v>
      </c>
      <c r="D20" s="45" t="n">
        <v>0.32</v>
      </c>
      <c r="E20" s="38" t="n">
        <f aca="false">$D$20*E19</f>
        <v>13953.622370068</v>
      </c>
      <c r="F20" s="38" t="n">
        <f aca="false">$D$20*F19</f>
        <v>21023.8683611968</v>
      </c>
      <c r="G20" s="38" t="n">
        <f aca="false">$D$20*G19</f>
        <v>29393.4107390397</v>
      </c>
      <c r="H20" s="38" t="n">
        <f aca="false">$D$20*H19</f>
        <v>38104.3951421204</v>
      </c>
      <c r="I20" s="38" t="n">
        <f aca="false">$D$20*I19</f>
        <v>45541.9697066316</v>
      </c>
      <c r="J20" s="38" t="n">
        <f aca="false">$D$20*J19</f>
        <v>54681.0472146886</v>
      </c>
      <c r="K20" s="38" t="n">
        <f aca="false">$D$20*K19</f>
        <v>65646.9342057757</v>
      </c>
      <c r="L20" s="38" t="n">
        <f aca="false">$D$20*L19</f>
        <v>78804.9925764988</v>
      </c>
      <c r="M20" s="38" t="n">
        <f aca="false">$D$20*M19</f>
        <v>94593.6566027852</v>
      </c>
      <c r="N20" s="38" t="n">
        <f aca="false">$D$20*N19</f>
        <v>113539.047415748</v>
      </c>
      <c r="O20" s="23"/>
      <c r="P20" s="23"/>
      <c r="Q20" s="23"/>
      <c r="R20" s="23"/>
      <c r="S20" s="23"/>
      <c r="T20" s="23"/>
      <c r="U20" s="23"/>
      <c r="V20" s="23"/>
      <c r="W20" s="23"/>
      <c r="X20" s="23"/>
      <c r="Y20" s="23"/>
    </row>
    <row r="21" customFormat="false" ht="12.75" hidden="false" customHeight="false" outlineLevel="0" collapsed="false">
      <c r="A21" s="46" t="s">
        <v>20</v>
      </c>
      <c r="B21" s="47" t="n">
        <f aca="false">B19-B20</f>
        <v>8085</v>
      </c>
      <c r="C21" s="47" t="n">
        <f aca="false">C19-C20</f>
        <v>12919</v>
      </c>
      <c r="D21" s="48"/>
      <c r="E21" s="49" t="n">
        <f aca="false">E19-E20</f>
        <v>29651.4475363946</v>
      </c>
      <c r="F21" s="49" t="n">
        <f aca="false">F19-F20</f>
        <v>44675.7202675432</v>
      </c>
      <c r="G21" s="49" t="n">
        <f aca="false">G19-G20</f>
        <v>62460.9978204593</v>
      </c>
      <c r="H21" s="49" t="n">
        <f aca="false">H19-H20</f>
        <v>80971.8396770059</v>
      </c>
      <c r="I21" s="49" t="n">
        <f aca="false">I19-I20</f>
        <v>96776.6856265922</v>
      </c>
      <c r="J21" s="49" t="n">
        <f aca="false">J19-J20</f>
        <v>116197.225331213</v>
      </c>
      <c r="K21" s="49" t="n">
        <f aca="false">K19-K20</f>
        <v>139499.735187273</v>
      </c>
      <c r="L21" s="49" t="n">
        <f aca="false">L19-L20</f>
        <v>167460.60922506</v>
      </c>
      <c r="M21" s="49" t="n">
        <f aca="false">M19-M20</f>
        <v>201011.520280918</v>
      </c>
      <c r="N21" s="49" t="n">
        <f aca="false">N19-N20</f>
        <v>241270.475758464</v>
      </c>
      <c r="O21" s="49"/>
      <c r="P21" s="49"/>
      <c r="Q21" s="49"/>
      <c r="R21" s="49"/>
      <c r="S21" s="49"/>
      <c r="T21" s="49"/>
      <c r="U21" s="49"/>
      <c r="V21" s="49"/>
      <c r="W21" s="49"/>
      <c r="X21" s="49"/>
      <c r="Y21" s="49"/>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customFormat="false" ht="12.75" hidden="false" customHeight="false" outlineLevel="0" collapsed="false">
      <c r="D22" s="51"/>
    </row>
    <row r="23" customFormat="false" ht="12.75" hidden="false" customHeight="false" outlineLevel="0" collapsed="false">
      <c r="A23" s="2" t="s">
        <v>21</v>
      </c>
      <c r="D23" s="51"/>
      <c r="E23" s="2" t="n">
        <v>11241</v>
      </c>
      <c r="F23" s="2" t="n">
        <v>11241</v>
      </c>
    </row>
    <row r="24" customFormat="false" ht="12.75" hidden="false" customHeight="false" outlineLevel="0" collapsed="false">
      <c r="D24" s="51"/>
    </row>
    <row r="25" customFormat="false" ht="12.75" hidden="false" customHeight="false" outlineLevel="0" collapsed="false">
      <c r="A25" s="2" t="s">
        <v>22</v>
      </c>
      <c r="D25" s="51"/>
      <c r="E25" s="52" t="n">
        <f aca="false">E21/E23</f>
        <v>2.63779446102612</v>
      </c>
      <c r="F25" s="52" t="n">
        <f aca="false">F21/F23</f>
        <v>3.9743546185876</v>
      </c>
    </row>
    <row r="26" customFormat="false" ht="12.75" hidden="false" customHeight="false" outlineLevel="0" collapsed="false">
      <c r="D26" s="53"/>
    </row>
    <row r="27" customFormat="false" ht="12.75" hidden="false" customHeight="false" outlineLevel="0" collapsed="false">
      <c r="D27" s="54"/>
    </row>
    <row r="28" customFormat="false" ht="12.75" hidden="false" customHeight="false" outlineLevel="0" collapsed="false">
      <c r="D28" s="8"/>
    </row>
    <row r="29" customFormat="false" ht="12.75" hidden="false" customHeight="false" outlineLevel="0" collapsed="false">
      <c r="D29" s="8"/>
    </row>
    <row r="30" customFormat="false" ht="12.75" hidden="false" customHeight="false" outlineLevel="0" collapsed="false">
      <c r="D30" s="8"/>
    </row>
    <row r="31" customFormat="false" ht="12.75" hidden="false" customHeight="false" outlineLevel="0" collapsed="false">
      <c r="D31" s="8"/>
    </row>
    <row r="32" customFormat="false" ht="12.75" hidden="false" customHeight="false" outlineLevel="0" collapsed="false">
      <c r="D32" s="8"/>
    </row>
    <row r="33" customFormat="false" ht="12.75" hidden="false" customHeight="false" outlineLevel="0" collapsed="false">
      <c r="D33" s="8"/>
    </row>
    <row r="34" customFormat="false" ht="12.75" hidden="false" customHeight="false" outlineLevel="0" collapsed="false">
      <c r="D34" s="8"/>
    </row>
    <row r="35" customFormat="false" ht="12.75" hidden="false" customHeight="false" outlineLevel="0" collapsed="false">
      <c r="D35" s="8"/>
    </row>
    <row r="36" customFormat="false" ht="12.75" hidden="false" customHeight="false" outlineLevel="0" collapsed="false">
      <c r="D36" s="8"/>
    </row>
    <row r="37" customFormat="false" ht="12.75" hidden="false" customHeight="false" outlineLevel="0" collapsed="false">
      <c r="D37" s="8"/>
    </row>
    <row r="38" customFormat="false" ht="12.75" hidden="false" customHeight="false" outlineLevel="0" collapsed="false">
      <c r="D38" s="8"/>
    </row>
    <row r="39" customFormat="false" ht="12.75" hidden="false" customHeight="false" outlineLevel="0" collapsed="false">
      <c r="D39" s="55"/>
    </row>
    <row r="40" customFormat="false" ht="12.75" hidden="false" customHeight="false" outlineLevel="0" collapsed="false">
      <c r="D40" s="8"/>
    </row>
    <row r="41" customFormat="false" ht="12.75" hidden="false" customHeight="false" outlineLevel="0" collapsed="false">
      <c r="D41" s="8"/>
    </row>
    <row r="42" customFormat="false" ht="12.75" hidden="false" customHeight="false" outlineLevel="0" collapsed="false">
      <c r="D42" s="56"/>
    </row>
    <row r="43" customFormat="false" ht="12.75" hidden="false" customHeight="false" outlineLevel="0" collapsed="false">
      <c r="D43" s="8"/>
    </row>
    <row r="44" customFormat="false" ht="12.75" hidden="false" customHeight="false" outlineLevel="0" collapsed="false">
      <c r="D44" s="8"/>
    </row>
    <row r="45" customFormat="false" ht="12.75" hidden="false" customHeight="false" outlineLevel="0" collapsed="false">
      <c r="D45" s="8"/>
    </row>
    <row r="46" customFormat="false" ht="12.75" hidden="false" customHeight="false" outlineLevel="0" collapsed="false">
      <c r="D46" s="8"/>
    </row>
    <row r="47" customFormat="false" ht="12.75" hidden="false" customHeight="false" outlineLevel="0" collapsed="false">
      <c r="D47" s="8"/>
    </row>
    <row r="48" customFormat="false" ht="12.75" hidden="false" customHeight="false" outlineLevel="0" collapsed="false">
      <c r="D48" s="8"/>
    </row>
    <row r="49" customFormat="false" ht="12.75" hidden="false" customHeight="false" outlineLevel="0" collapsed="false">
      <c r="D49" s="8"/>
    </row>
    <row r="50" customFormat="false" ht="12.75" hidden="false" customHeight="false" outlineLevel="0" collapsed="false">
      <c r="D50" s="8"/>
    </row>
    <row r="51" customFormat="false" ht="12.75" hidden="false" customHeight="false" outlineLevel="0" collapsed="false">
      <c r="D51" s="8"/>
    </row>
    <row r="52" customFormat="false" ht="12.75" hidden="false" customHeight="false" outlineLevel="0" collapsed="false">
      <c r="D52" s="8"/>
    </row>
    <row r="53" customFormat="false" ht="12.75" hidden="false" customHeight="false" outlineLevel="0" collapsed="false">
      <c r="D53" s="8"/>
    </row>
    <row r="54" customFormat="false" ht="12.75" hidden="false" customHeight="false" outlineLevel="0" collapsed="false">
      <c r="D54" s="8"/>
    </row>
    <row r="55" customFormat="false" ht="12.75" hidden="false" customHeight="false" outlineLevel="0" collapsed="false">
      <c r="D55" s="8"/>
    </row>
    <row r="56" customFormat="false" ht="12.75" hidden="false" customHeight="false" outlineLevel="0" collapsed="false">
      <c r="D56" s="8"/>
    </row>
    <row r="57" customFormat="false" ht="12.75" hidden="false" customHeight="false" outlineLevel="0" collapsed="false">
      <c r="D57" s="8"/>
    </row>
    <row r="58" customFormat="false" ht="12.75" hidden="false" customHeight="false" outlineLevel="0" collapsed="false">
      <c r="D58" s="8"/>
    </row>
    <row r="59" customFormat="false" ht="12.75" hidden="false" customHeight="false" outlineLevel="0" collapsed="false">
      <c r="D59" s="8"/>
    </row>
    <row r="60" customFormat="false" ht="12.75" hidden="false" customHeight="false" outlineLevel="0" collapsed="false">
      <c r="D60" s="8"/>
    </row>
    <row r="61" customFormat="false" ht="12.75" hidden="false" customHeight="false" outlineLevel="0" collapsed="false">
      <c r="D61" s="8"/>
    </row>
    <row r="62" customFormat="false" ht="12.75" hidden="false" customHeight="false" outlineLevel="0" collapsed="false">
      <c r="D62" s="8"/>
    </row>
    <row r="63" customFormat="false" ht="12.75" hidden="false" customHeight="false" outlineLevel="0" collapsed="false">
      <c r="D63" s="8"/>
    </row>
    <row r="64" customFormat="false" ht="12.75" hidden="false" customHeight="false" outlineLevel="0" collapsed="false">
      <c r="D64" s="8"/>
    </row>
    <row r="65" customFormat="false" ht="12.75" hidden="false" customHeight="false" outlineLevel="0" collapsed="false">
      <c r="D65" s="8"/>
    </row>
    <row r="66" customFormat="false" ht="12.75" hidden="false" customHeight="false" outlineLevel="0" collapsed="false">
      <c r="D66" s="8"/>
    </row>
    <row r="67" customFormat="false" ht="12.75" hidden="false" customHeight="false" outlineLevel="0" collapsed="false">
      <c r="D67" s="8"/>
    </row>
    <row r="68" customFormat="false" ht="12.75" hidden="false" customHeight="false" outlineLevel="0" collapsed="false">
      <c r="D68" s="8"/>
    </row>
    <row r="69" customFormat="false" ht="12.75" hidden="false" customHeight="false" outlineLevel="0" collapsed="false">
      <c r="D69" s="8"/>
    </row>
    <row r="70" customFormat="false" ht="12.75" hidden="false" customHeight="false" outlineLevel="0" collapsed="false">
      <c r="D70" s="8"/>
    </row>
    <row r="71" customFormat="false" ht="12.75" hidden="false" customHeight="false" outlineLevel="0" collapsed="false">
      <c r="D71" s="8"/>
    </row>
    <row r="72" customFormat="false" ht="12.75" hidden="false" customHeight="false" outlineLevel="0" collapsed="false">
      <c r="D72" s="57"/>
    </row>
    <row r="73" customFormat="false" ht="12.75" hidden="false" customHeight="false" outlineLevel="0" collapsed="false">
      <c r="D73" s="57"/>
    </row>
    <row r="74" customFormat="false" ht="12.75" hidden="false" customHeight="false" outlineLevel="0" collapsed="false">
      <c r="D74" s="57"/>
    </row>
    <row r="75" customFormat="false" ht="12.75" hidden="false" customHeight="false" outlineLevel="0" collapsed="false">
      <c r="D75" s="57"/>
    </row>
    <row r="76" customFormat="false" ht="12.75" hidden="false" customHeight="false" outlineLevel="0" collapsed="false">
      <c r="D76" s="57"/>
    </row>
    <row r="77" customFormat="false" ht="12.75" hidden="false" customHeight="false" outlineLevel="0" collapsed="false">
      <c r="D77" s="57"/>
    </row>
    <row r="78" customFormat="false" ht="12.75" hidden="false" customHeight="false" outlineLevel="0" collapsed="false">
      <c r="D78" s="57"/>
    </row>
    <row r="79" customFormat="false" ht="12.75" hidden="false" customHeight="false" outlineLevel="0" collapsed="false">
      <c r="D79" s="57"/>
    </row>
    <row r="80" customFormat="false" ht="12.75" hidden="false" customHeight="false" outlineLevel="0" collapsed="false">
      <c r="D80" s="57"/>
    </row>
    <row r="81" customFormat="false" ht="12.75" hidden="false" customHeight="false" outlineLevel="0" collapsed="false">
      <c r="D81" s="57"/>
    </row>
    <row r="82" customFormat="false" ht="12.75" hidden="false" customHeight="false" outlineLevel="0" collapsed="false">
      <c r="D82" s="57"/>
    </row>
    <row r="83" customFormat="false" ht="12.75" hidden="false" customHeight="false" outlineLevel="0" collapsed="false">
      <c r="D83" s="57"/>
    </row>
    <row r="84" customFormat="false" ht="12.75" hidden="false" customHeight="false" outlineLevel="0" collapsed="false">
      <c r="D84" s="57"/>
    </row>
    <row r="85" customFormat="false" ht="12.75" hidden="false" customHeight="false" outlineLevel="0" collapsed="false">
      <c r="D85" s="57"/>
    </row>
    <row r="86" customFormat="false" ht="12.75" hidden="false" customHeight="false" outlineLevel="0" collapsed="false">
      <c r="D86" s="57"/>
    </row>
    <row r="87" customFormat="false" ht="12.75" hidden="false" customHeight="false" outlineLevel="0" collapsed="false">
      <c r="D87" s="57"/>
    </row>
    <row r="88" customFormat="false" ht="12.75" hidden="false" customHeight="false" outlineLevel="0" collapsed="false">
      <c r="D88" s="8"/>
    </row>
    <row r="89" customFormat="false" ht="12.75" hidden="false" customHeight="false" outlineLevel="0" collapsed="false">
      <c r="D89" s="8"/>
    </row>
    <row r="90" customFormat="false" ht="12.75" hidden="false" customHeight="false" outlineLevel="0" collapsed="false">
      <c r="D90" s="8"/>
    </row>
    <row r="91" customFormat="false" ht="12.75" hidden="false" customHeight="false" outlineLevel="0" collapsed="false">
      <c r="D91" s="8"/>
    </row>
    <row r="92" customFormat="false" ht="12.75" hidden="false" customHeight="false" outlineLevel="0" collapsed="false">
      <c r="D92" s="8"/>
    </row>
    <row r="93" customFormat="false" ht="12.75" hidden="false" customHeight="false" outlineLevel="0" collapsed="false">
      <c r="D93" s="8"/>
    </row>
    <row r="94" customFormat="false" ht="12.75" hidden="false" customHeight="false" outlineLevel="0" collapsed="false">
      <c r="D94" s="8"/>
    </row>
    <row r="95" customFormat="false" ht="12.75" hidden="false" customHeight="false" outlineLevel="0" collapsed="false">
      <c r="D95" s="8"/>
    </row>
    <row r="96" customFormat="false" ht="12.75" hidden="false" customHeight="false" outlineLevel="0" collapsed="false">
      <c r="D96" s="8"/>
    </row>
    <row r="97" customFormat="false" ht="12.75" hidden="false" customHeight="false" outlineLevel="0" collapsed="false">
      <c r="D97" s="8"/>
    </row>
    <row r="98" customFormat="false" ht="12.75" hidden="false" customHeight="false" outlineLevel="0" collapsed="false">
      <c r="D98" s="8"/>
    </row>
    <row r="99" customFormat="false" ht="12.75" hidden="false" customHeight="false" outlineLevel="0" collapsed="false">
      <c r="D99" s="8"/>
    </row>
    <row r="100" customFormat="false" ht="12.75" hidden="false" customHeight="false" outlineLevel="0" collapsed="false">
      <c r="D100" s="8"/>
    </row>
    <row r="101" customFormat="false" ht="12.75" hidden="false" customHeight="false" outlineLevel="0" collapsed="false">
      <c r="D101" s="8"/>
    </row>
    <row r="102" customFormat="false" ht="12.75" hidden="false" customHeight="false" outlineLevel="0" collapsed="false">
      <c r="D102" s="8"/>
    </row>
    <row r="103" customFormat="false" ht="12.75" hidden="false" customHeight="false" outlineLevel="0" collapsed="false">
      <c r="D103" s="8"/>
    </row>
    <row r="104" customFormat="false" ht="12.75" hidden="false" customHeight="false" outlineLevel="0" collapsed="false">
      <c r="D104" s="8"/>
    </row>
    <row r="105" customFormat="false" ht="12.75" hidden="false" customHeight="false" outlineLevel="0" collapsed="false">
      <c r="D105" s="8"/>
    </row>
    <row r="106" customFormat="false" ht="12.75" hidden="false" customHeight="false" outlineLevel="0" collapsed="false">
      <c r="D106" s="8"/>
    </row>
    <row r="107" customFormat="false" ht="12.75" hidden="false" customHeight="false" outlineLevel="0" collapsed="false">
      <c r="D107" s="8"/>
    </row>
    <row r="108" customFormat="false" ht="12.75" hidden="false" customHeight="false" outlineLevel="0" collapsed="false">
      <c r="D108" s="8"/>
    </row>
    <row r="109" customFormat="false" ht="12.75" hidden="false" customHeight="false" outlineLevel="0" collapsed="false">
      <c r="D109" s="8"/>
    </row>
    <row r="110" customFormat="false" ht="12.75" hidden="false" customHeight="false" outlineLevel="0" collapsed="false">
      <c r="D110" s="8"/>
    </row>
    <row r="111" customFormat="false" ht="12.75" hidden="false" customHeight="false" outlineLevel="0" collapsed="false">
      <c r="D111" s="8"/>
    </row>
    <row r="112" customFormat="false" ht="12.75" hidden="false" customHeight="false" outlineLevel="0" collapsed="false">
      <c r="D112" s="8"/>
    </row>
    <row r="113" customFormat="false" ht="12.75" hidden="false" customHeight="false" outlineLevel="0" collapsed="false">
      <c r="D113" s="8"/>
    </row>
    <row r="114" customFormat="false" ht="12.75" hidden="false" customHeight="false" outlineLevel="0" collapsed="false">
      <c r="D114" s="8"/>
    </row>
    <row r="115" customFormat="false" ht="12.75" hidden="false" customHeight="false" outlineLevel="0" collapsed="false">
      <c r="D115" s="8"/>
    </row>
    <row r="116" customFormat="false" ht="12.75" hidden="false" customHeight="false" outlineLevel="0" collapsed="false">
      <c r="D116" s="8"/>
    </row>
    <row r="117" customFormat="false" ht="12.75" hidden="false" customHeight="false" outlineLevel="0" collapsed="false">
      <c r="D117" s="8"/>
    </row>
    <row r="118" customFormat="false" ht="12.75" hidden="false" customHeight="false" outlineLevel="0" collapsed="false">
      <c r="D118" s="8"/>
    </row>
    <row r="119" customFormat="false" ht="12.75" hidden="false" customHeight="false" outlineLevel="0" collapsed="false">
      <c r="D119" s="8"/>
    </row>
    <row r="120" customFormat="false" ht="12.75" hidden="false" customHeight="false" outlineLevel="0" collapsed="false">
      <c r="D120" s="8"/>
    </row>
    <row r="121" customFormat="false" ht="12.75" hidden="false" customHeight="false" outlineLevel="0" collapsed="false">
      <c r="D121" s="8"/>
    </row>
    <row r="122" customFormat="false" ht="12.75" hidden="false" customHeight="false" outlineLevel="0" collapsed="false">
      <c r="D122" s="8"/>
    </row>
    <row r="123" customFormat="false" ht="12.75" hidden="false" customHeight="false" outlineLevel="0" collapsed="false">
      <c r="D123" s="8"/>
    </row>
    <row r="124" customFormat="false" ht="12.75" hidden="false" customHeight="false" outlineLevel="0" collapsed="false">
      <c r="D124" s="8"/>
    </row>
    <row r="125" customFormat="false" ht="12.75" hidden="false" customHeight="false" outlineLevel="0" collapsed="false">
      <c r="D125" s="8"/>
    </row>
    <row r="126" customFormat="false" ht="12.75" hidden="false" customHeight="false" outlineLevel="0" collapsed="false">
      <c r="D126" s="8"/>
    </row>
    <row r="127" customFormat="false" ht="12.75" hidden="false" customHeight="false" outlineLevel="0" collapsed="false">
      <c r="D127" s="8"/>
    </row>
    <row r="128" customFormat="false" ht="12.75" hidden="false" customHeight="false" outlineLevel="0" collapsed="false">
      <c r="D128" s="8"/>
    </row>
    <row r="129" customFormat="false" ht="12.75" hidden="false" customHeight="false" outlineLevel="0" collapsed="false">
      <c r="D129" s="8"/>
    </row>
    <row r="130" customFormat="false" ht="12.75" hidden="false" customHeight="false" outlineLevel="0" collapsed="false">
      <c r="D130" s="8"/>
    </row>
    <row r="131" customFormat="false" ht="12.75" hidden="false" customHeight="false" outlineLevel="0" collapsed="false">
      <c r="D131" s="8"/>
    </row>
    <row r="132" customFormat="false" ht="12.75" hidden="false" customHeight="false" outlineLevel="0" collapsed="false">
      <c r="D132" s="8"/>
    </row>
    <row r="133" customFormat="false" ht="12.75" hidden="false" customHeight="false" outlineLevel="0" collapsed="false">
      <c r="D133" s="8"/>
    </row>
    <row r="134" customFormat="false" ht="12.75" hidden="false" customHeight="false" outlineLevel="0" collapsed="false">
      <c r="D134" s="8"/>
    </row>
    <row r="135" customFormat="false" ht="12.75" hidden="false" customHeight="false" outlineLevel="0" collapsed="false">
      <c r="D135" s="8"/>
    </row>
    <row r="136" customFormat="false" ht="12.75" hidden="false" customHeight="false" outlineLevel="0" collapsed="false">
      <c r="D136" s="8"/>
    </row>
    <row r="137" customFormat="false" ht="12.75" hidden="false" customHeight="false" outlineLevel="0" collapsed="false">
      <c r="D137" s="8"/>
    </row>
    <row r="138" customFormat="false" ht="12.75" hidden="false" customHeight="false" outlineLevel="0" collapsed="false">
      <c r="D138" s="8"/>
    </row>
    <row r="139" customFormat="false" ht="12.75" hidden="false" customHeight="false" outlineLevel="0" collapsed="false">
      <c r="D139" s="8"/>
    </row>
    <row r="140" customFormat="false" ht="12.75" hidden="false" customHeight="false" outlineLevel="0" collapsed="false">
      <c r="D140" s="8"/>
    </row>
    <row r="141" customFormat="false" ht="12.75" hidden="false" customHeight="false" outlineLevel="0" collapsed="false">
      <c r="D141" s="8"/>
    </row>
    <row r="142" customFormat="false" ht="12.75" hidden="false" customHeight="false" outlineLevel="0" collapsed="false">
      <c r="D142" s="8"/>
    </row>
    <row r="143" customFormat="false" ht="12.75" hidden="false" customHeight="false" outlineLevel="0" collapsed="false">
      <c r="D143" s="8"/>
    </row>
    <row r="144" customFormat="false" ht="12.75" hidden="false" customHeight="false" outlineLevel="0" collapsed="false">
      <c r="D144" s="8"/>
    </row>
    <row r="145" customFormat="false" ht="12.75" hidden="false" customHeight="false" outlineLevel="0" collapsed="false">
      <c r="D145" s="8"/>
    </row>
    <row r="146" customFormat="false" ht="12.75" hidden="false" customHeight="false" outlineLevel="0" collapsed="false">
      <c r="D146" s="8"/>
    </row>
    <row r="147" customFormat="false" ht="12.75" hidden="false" customHeight="false" outlineLevel="0" collapsed="false">
      <c r="D147" s="8"/>
    </row>
    <row r="148" customFormat="false" ht="12.75" hidden="false" customHeight="false" outlineLevel="0" collapsed="false">
      <c r="D148" s="8"/>
    </row>
    <row r="149" customFormat="false" ht="12.75" hidden="false" customHeight="false" outlineLevel="0" collapsed="false">
      <c r="D149" s="8"/>
    </row>
    <row r="150" customFormat="false" ht="12.75" hidden="false" customHeight="false" outlineLevel="0" collapsed="false">
      <c r="D150" s="8"/>
    </row>
    <row r="151" customFormat="false" ht="12.75" hidden="false" customHeight="false" outlineLevel="0" collapsed="false">
      <c r="D151" s="8"/>
    </row>
    <row r="152" customFormat="false" ht="12.75" hidden="false" customHeight="false" outlineLevel="0" collapsed="false">
      <c r="D152"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0.3515625" defaultRowHeight="12.75" customHeight="true" zeroHeight="false" outlineLevelRow="0" outlineLevelCol="0"/>
  <cols>
    <col collapsed="false" customWidth="true" hidden="false" outlineLevel="0" max="1" min="1" style="2" width="36.8"/>
    <col collapsed="false" customWidth="true" hidden="false" outlineLevel="0" max="3" min="2" style="2" width="11.46"/>
    <col collapsed="false" customWidth="true" hidden="false" outlineLevel="0" max="4" min="4" style="58" width="38.47"/>
    <col collapsed="false" customWidth="true" hidden="false" outlineLevel="0" max="14" min="5" style="2" width="13.12"/>
    <col collapsed="false" customWidth="false" hidden="false" outlineLevel="0" max="257" min="15" style="2" width="10.35"/>
  </cols>
  <sheetData>
    <row r="1" customFormat="false" ht="18" hidden="false" customHeight="false" outlineLevel="0" collapsed="false">
      <c r="A1" s="4" t="s">
        <v>0</v>
      </c>
    </row>
    <row r="2" customFormat="false" ht="12.75" hidden="false" customHeight="false" outlineLevel="0" collapsed="false">
      <c r="A2" s="5" t="s">
        <v>23</v>
      </c>
    </row>
    <row r="3" customFormat="false" ht="12.75" hidden="false" customHeight="false" outlineLevel="0" collapsed="false">
      <c r="A3" s="42"/>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59" t="s">
        <v>24</v>
      </c>
      <c r="B4" s="60" t="n">
        <v>1991</v>
      </c>
      <c r="C4" s="60" t="n">
        <v>1992</v>
      </c>
      <c r="D4" s="61"/>
      <c r="E4" s="62" t="n">
        <f aca="false">C4+1</f>
        <v>1993</v>
      </c>
      <c r="F4" s="62" t="n">
        <f aca="false">E4+1</f>
        <v>1994</v>
      </c>
      <c r="G4" s="62" t="n">
        <f aca="false">F4+1</f>
        <v>1995</v>
      </c>
      <c r="H4" s="62" t="n">
        <f aca="false">G4+1</f>
        <v>1996</v>
      </c>
      <c r="I4" s="62" t="n">
        <f aca="false">H4+1</f>
        <v>1997</v>
      </c>
      <c r="J4" s="62" t="n">
        <f aca="false">I4+1</f>
        <v>1998</v>
      </c>
      <c r="K4" s="62" t="n">
        <f aca="false">J4+1</f>
        <v>1999</v>
      </c>
      <c r="L4" s="62" t="n">
        <f aca="false">K4+1</f>
        <v>2000</v>
      </c>
      <c r="M4" s="62" t="n">
        <f aca="false">L4+1</f>
        <v>2001</v>
      </c>
      <c r="N4" s="62" t="n">
        <f aca="false">M4+1</f>
        <v>2002</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2" t="s">
        <v>25</v>
      </c>
      <c r="B5" s="63" t="n">
        <v>7509</v>
      </c>
      <c r="C5" s="63" t="n">
        <v>1220</v>
      </c>
      <c r="D5" s="64" t="n">
        <v>0.008</v>
      </c>
      <c r="E5" s="2" t="n">
        <f aca="false">$D$5*'Income Statement'!E5</f>
        <v>3379.8688</v>
      </c>
      <c r="F5" s="2" t="n">
        <f aca="false">$D$5*'Income Statement'!F5</f>
        <v>5069.8032</v>
      </c>
      <c r="G5" s="2" t="n">
        <f aca="false">$D$5*'Income Statement'!G5</f>
        <v>7097.72448</v>
      </c>
      <c r="H5" s="2" t="n">
        <f aca="false">$D$5*'Income Statement'!H5</f>
        <v>9227.041824</v>
      </c>
      <c r="I5" s="2" t="n">
        <f aca="false">$D$5*'Income Statement'!I5</f>
        <v>11072.4501888</v>
      </c>
      <c r="J5" s="2" t="n">
        <f aca="false">$D$5*'Income Statement'!J5</f>
        <v>13286.94022656</v>
      </c>
      <c r="K5" s="2" t="n">
        <f aca="false">$D$5*'Income Statement'!K5</f>
        <v>15944.328271872</v>
      </c>
      <c r="L5" s="2" t="n">
        <f aca="false">$D$5*'Income Statement'!L5</f>
        <v>19133.1939262464</v>
      </c>
      <c r="M5" s="2" t="n">
        <f aca="false">$D$5*'Income Statement'!M5</f>
        <v>22959.8327114957</v>
      </c>
      <c r="N5" s="2" t="n">
        <f aca="false">$D$5*'Income Statement'!N5</f>
        <v>27551.7992537948</v>
      </c>
    </row>
    <row r="6" customFormat="false" ht="12.75" hidden="false" customHeight="false" outlineLevel="0" collapsed="false">
      <c r="A6" s="2" t="s">
        <v>26</v>
      </c>
      <c r="B6" s="63" t="n">
        <v>48043</v>
      </c>
      <c r="C6" s="63" t="n">
        <v>54141</v>
      </c>
      <c r="D6" s="64" t="n">
        <v>0.2</v>
      </c>
      <c r="E6" s="2" t="n">
        <f aca="false">$D$6*'Income Statement'!E5</f>
        <v>84496.72</v>
      </c>
      <c r="F6" s="2" t="n">
        <f aca="false">$D$6*'Income Statement'!F5</f>
        <v>126745.08</v>
      </c>
      <c r="G6" s="2" t="n">
        <f aca="false">$D$6*'Income Statement'!G5</f>
        <v>177443.112</v>
      </c>
      <c r="H6" s="2" t="n">
        <f aca="false">$D$6*'Income Statement'!H5</f>
        <v>230676.0456</v>
      </c>
      <c r="I6" s="2" t="n">
        <f aca="false">$D$6*'Income Statement'!I5</f>
        <v>276811.25472</v>
      </c>
      <c r="J6" s="2" t="n">
        <f aca="false">$D$6*'Income Statement'!J5</f>
        <v>332173.505664</v>
      </c>
      <c r="K6" s="2" t="n">
        <f aca="false">$D$6*'Income Statement'!K5</f>
        <v>398608.2067968</v>
      </c>
      <c r="L6" s="2" t="n">
        <f aca="false">$D$6*'Income Statement'!L5</f>
        <v>478329.84815616</v>
      </c>
      <c r="M6" s="2" t="n">
        <f aca="false">$D$6*'Income Statement'!M5</f>
        <v>573995.817787392</v>
      </c>
      <c r="N6" s="2" t="n">
        <f aca="false">$D$6*'Income Statement'!N5</f>
        <v>688794.98134487</v>
      </c>
    </row>
    <row r="7" customFormat="false" ht="12.75" hidden="false" customHeight="false" outlineLevel="0" collapsed="false">
      <c r="A7" s="2" t="s">
        <v>27</v>
      </c>
      <c r="B7" s="63" t="n">
        <v>58311</v>
      </c>
      <c r="C7" s="63" t="n">
        <v>70542</v>
      </c>
      <c r="D7" s="64" t="n">
        <v>0.24</v>
      </c>
      <c r="E7" s="2" t="n">
        <f aca="false">$D$7*'Income Statement'!E5</f>
        <v>101396.064</v>
      </c>
      <c r="F7" s="2" t="n">
        <f aca="false">$D$7*'Income Statement'!F5</f>
        <v>152094.096</v>
      </c>
      <c r="G7" s="2" t="n">
        <f aca="false">$D$7*'Income Statement'!G5</f>
        <v>212931.7344</v>
      </c>
      <c r="H7" s="2" t="n">
        <f aca="false">$D$7*'Income Statement'!H5</f>
        <v>276811.25472</v>
      </c>
      <c r="I7" s="2" t="n">
        <f aca="false">$D$7*'Income Statement'!I5</f>
        <v>332173.505664</v>
      </c>
      <c r="J7" s="2" t="n">
        <f aca="false">$D$7*'Income Statement'!J5</f>
        <v>398608.2067968</v>
      </c>
      <c r="K7" s="2" t="n">
        <f aca="false">$D$7*'Income Statement'!K5</f>
        <v>478329.84815616</v>
      </c>
      <c r="L7" s="2" t="n">
        <f aca="false">$D$7*'Income Statement'!L5</f>
        <v>573995.817787392</v>
      </c>
      <c r="M7" s="2" t="n">
        <f aca="false">$D$7*'Income Statement'!M5</f>
        <v>688794.98134487</v>
      </c>
      <c r="N7" s="2" t="n">
        <f aca="false">$D$7*'Income Statement'!N5</f>
        <v>826553.977613844</v>
      </c>
    </row>
    <row r="8" customFormat="false" ht="12.75" hidden="false" customHeight="false" outlineLevel="0" collapsed="false">
      <c r="A8" s="38" t="s">
        <v>28</v>
      </c>
      <c r="B8" s="65" t="n">
        <v>9184</v>
      </c>
      <c r="C8" s="65" t="n">
        <v>11967</v>
      </c>
      <c r="D8" s="66" t="n">
        <v>0.035</v>
      </c>
      <c r="E8" s="38" t="n">
        <f aca="false">$D$8*'Income Statement'!E5</f>
        <v>14786.926</v>
      </c>
      <c r="F8" s="38" t="n">
        <f aca="false">$D$8*'Income Statement'!F5</f>
        <v>22180.389</v>
      </c>
      <c r="G8" s="38" t="n">
        <f aca="false">$D$8*'Income Statement'!G5</f>
        <v>31052.5446</v>
      </c>
      <c r="H8" s="38" t="n">
        <f aca="false">$D$8*'Income Statement'!H5</f>
        <v>40368.30798</v>
      </c>
      <c r="I8" s="38" t="n">
        <f aca="false">$D$8*'Income Statement'!I5</f>
        <v>48441.969576</v>
      </c>
      <c r="J8" s="38" t="n">
        <f aca="false">$D$8*'Income Statement'!J5</f>
        <v>58130.3634912</v>
      </c>
      <c r="K8" s="38" t="n">
        <f aca="false">$D$8*'Income Statement'!K5</f>
        <v>69756.43618944</v>
      </c>
      <c r="L8" s="38" t="n">
        <f aca="false">$D$8*'Income Statement'!L5</f>
        <v>83707.723427328</v>
      </c>
      <c r="M8" s="38" t="n">
        <f aca="false">$D$8*'Income Statement'!M5</f>
        <v>100449.268112794</v>
      </c>
      <c r="N8" s="38" t="n">
        <f aca="false">$D$8*'Income Statement'!N5</f>
        <v>120539.121735352</v>
      </c>
    </row>
    <row r="9" customFormat="false" ht="12.75" hidden="false" customHeight="false" outlineLevel="0" collapsed="false">
      <c r="A9" s="2" t="s">
        <v>29</v>
      </c>
      <c r="B9" s="63" t="n">
        <f aca="false">SUM(B5:B8)</f>
        <v>123047</v>
      </c>
      <c r="C9" s="63" t="n">
        <f aca="false">SUM(C5:C8)</f>
        <v>137870</v>
      </c>
      <c r="E9" s="63" t="n">
        <f aca="false">SUM(E5:E8)</f>
        <v>204059.5788</v>
      </c>
      <c r="F9" s="63" t="n">
        <f aca="false">SUM(F5:F8)</f>
        <v>306089.3682</v>
      </c>
      <c r="G9" s="63" t="n">
        <f aca="false">SUM(G5:G8)</f>
        <v>428525.11548</v>
      </c>
      <c r="H9" s="63" t="n">
        <f aca="false">SUM(H5:H8)</f>
        <v>557082.650124</v>
      </c>
      <c r="I9" s="63" t="n">
        <f aca="false">SUM(I5:I8)</f>
        <v>668499.1801488</v>
      </c>
      <c r="J9" s="63" t="n">
        <f aca="false">SUM(J5:J8)</f>
        <v>802199.01617856</v>
      </c>
      <c r="K9" s="63" t="n">
        <f aca="false">SUM(K5:K8)</f>
        <v>962638.819414272</v>
      </c>
      <c r="L9" s="63" t="n">
        <f aca="false">SUM(L5:L8)</f>
        <v>1155166.58329713</v>
      </c>
      <c r="M9" s="63" t="n">
        <f aca="false">SUM(M5:M8)</f>
        <v>1386199.89995655</v>
      </c>
      <c r="N9" s="63" t="n">
        <f aca="false">SUM(N5:N8)</f>
        <v>1663439.87994786</v>
      </c>
    </row>
    <row r="10" customFormat="false" ht="12.75" hidden="false" customHeight="false" outlineLevel="0" collapsed="false">
      <c r="A10" s="2" t="s">
        <v>30</v>
      </c>
      <c r="B10" s="63" t="n">
        <v>29749</v>
      </c>
      <c r="C10" s="63" t="n">
        <v>32669</v>
      </c>
      <c r="D10" s="64" t="n">
        <v>0.11</v>
      </c>
      <c r="E10" s="2" t="n">
        <f aca="false">$D$10*'Income Statement'!E5</f>
        <v>46473.196</v>
      </c>
      <c r="F10" s="2" t="n">
        <f aca="false">$D$10*'Income Statement'!F5</f>
        <v>69709.794</v>
      </c>
      <c r="G10" s="2" t="n">
        <f aca="false">$D$10*'Income Statement'!G5</f>
        <v>97593.7116</v>
      </c>
      <c r="H10" s="2" t="n">
        <f aca="false">$D$10*'Income Statement'!H5</f>
        <v>126871.82508</v>
      </c>
      <c r="I10" s="2" t="n">
        <f aca="false">$D$10*'Income Statement'!I5</f>
        <v>152246.190096</v>
      </c>
      <c r="J10" s="2" t="n">
        <f aca="false">$D$10*'Income Statement'!J5</f>
        <v>182695.4281152</v>
      </c>
      <c r="K10" s="2" t="n">
        <f aca="false">$D$10*'Income Statement'!K5</f>
        <v>219234.51373824</v>
      </c>
      <c r="L10" s="2" t="n">
        <f aca="false">$D$10*'Income Statement'!L5</f>
        <v>263081.416485888</v>
      </c>
      <c r="M10" s="2" t="n">
        <f aca="false">$D$10*'Income Statement'!M5</f>
        <v>315697.699783066</v>
      </c>
      <c r="N10" s="2" t="n">
        <f aca="false">$D$10*'Income Statement'!N5</f>
        <v>378837.239739679</v>
      </c>
    </row>
    <row r="11" customFormat="false" ht="12.75" hidden="false" customHeight="false" outlineLevel="0" collapsed="false">
      <c r="A11" s="2" t="s">
        <v>31</v>
      </c>
      <c r="B11" s="63" t="n">
        <v>19608</v>
      </c>
      <c r="C11" s="63" t="n">
        <v>18931</v>
      </c>
      <c r="D11" s="67" t="s">
        <v>32</v>
      </c>
      <c r="E11" s="2" t="n">
        <f aca="false">C11-($C$11/30)</f>
        <v>18299.9666666667</v>
      </c>
      <c r="F11" s="2" t="n">
        <f aca="false">E11-($C$11/30)</f>
        <v>17668.9333333333</v>
      </c>
      <c r="G11" s="2" t="n">
        <f aca="false">F11-($C$11/30)</f>
        <v>17037.9</v>
      </c>
      <c r="H11" s="2" t="n">
        <f aca="false">G11-($C$11/30)</f>
        <v>16406.8666666667</v>
      </c>
      <c r="I11" s="2" t="n">
        <f aca="false">H11-($C$11/30)</f>
        <v>15775.8333333333</v>
      </c>
      <c r="J11" s="2" t="n">
        <f aca="false">I11-($C$11/30)</f>
        <v>15144.8</v>
      </c>
      <c r="K11" s="2" t="n">
        <f aca="false">J11-($C$11/30)</f>
        <v>14513.7666666667</v>
      </c>
      <c r="L11" s="2" t="n">
        <f aca="false">K11-($C$11/30)</f>
        <v>13882.7333333333</v>
      </c>
      <c r="M11" s="2" t="n">
        <f aca="false">L11-($C$11/30)</f>
        <v>13251.7</v>
      </c>
      <c r="N11" s="2" t="n">
        <f aca="false">M11-($C$11/30)</f>
        <v>12620.6666666667</v>
      </c>
    </row>
    <row r="12" customFormat="false" ht="12.75" hidden="false" customHeight="false" outlineLevel="0" collapsed="false">
      <c r="A12" s="38" t="s">
        <v>33</v>
      </c>
      <c r="B12" s="65" t="n">
        <v>5066</v>
      </c>
      <c r="C12" s="65" t="n">
        <v>4647</v>
      </c>
      <c r="D12" s="66" t="n">
        <v>0.015</v>
      </c>
      <c r="E12" s="38" t="n">
        <f aca="false">$D$12*'Income Statement'!E5</f>
        <v>6337.254</v>
      </c>
      <c r="F12" s="38" t="n">
        <f aca="false">$D$12*'Income Statement'!F5</f>
        <v>9505.881</v>
      </c>
      <c r="G12" s="38" t="n">
        <f aca="false">$D$12*'Income Statement'!G5</f>
        <v>13308.2334</v>
      </c>
      <c r="H12" s="38" t="n">
        <f aca="false">$D$12*'Income Statement'!H5</f>
        <v>17300.70342</v>
      </c>
      <c r="I12" s="38" t="n">
        <f aca="false">$D$12*'Income Statement'!I5</f>
        <v>20760.844104</v>
      </c>
      <c r="J12" s="38" t="n">
        <f aca="false">$D$12*'Income Statement'!J5</f>
        <v>24913.0129248</v>
      </c>
      <c r="K12" s="38" t="n">
        <f aca="false">$D$12*'Income Statement'!K5</f>
        <v>29895.61550976</v>
      </c>
      <c r="L12" s="38" t="n">
        <f aca="false">$D$12*'Income Statement'!L5</f>
        <v>35874.738611712</v>
      </c>
      <c r="M12" s="38" t="n">
        <f aca="false">$D$12*'Income Statement'!M5</f>
        <v>43049.6863340544</v>
      </c>
      <c r="N12" s="38" t="n">
        <f aca="false">$D$12*'Income Statement'!N5</f>
        <v>51659.6236008653</v>
      </c>
    </row>
    <row r="13" customFormat="false" ht="12.75" hidden="false" customHeight="false" outlineLevel="0" collapsed="false">
      <c r="A13" s="49" t="s">
        <v>34</v>
      </c>
      <c r="B13" s="68" t="n">
        <f aca="false">SUM(B9:B12)</f>
        <v>177470</v>
      </c>
      <c r="C13" s="68" t="n">
        <f aca="false">SUM(C9:C12)</f>
        <v>194117</v>
      </c>
      <c r="D13" s="69"/>
      <c r="E13" s="68" t="n">
        <f aca="false">SUM(E9:E12)</f>
        <v>275169.995466667</v>
      </c>
      <c r="F13" s="68" t="n">
        <f aca="false">SUM(F9:F12)</f>
        <v>402973.976533333</v>
      </c>
      <c r="G13" s="68" t="n">
        <f aca="false">SUM(G9:G12)</f>
        <v>556464.96048</v>
      </c>
      <c r="H13" s="68" t="n">
        <f aca="false">SUM(H9:H12)</f>
        <v>717662.045290667</v>
      </c>
      <c r="I13" s="68" t="n">
        <f aca="false">SUM(I9:I12)</f>
        <v>857282.047682133</v>
      </c>
      <c r="J13" s="68" t="n">
        <f aca="false">SUM(J9:J12)</f>
        <v>1024952.25721856</v>
      </c>
      <c r="K13" s="68" t="n">
        <f aca="false">SUM(K9:K12)</f>
        <v>1226282.71532894</v>
      </c>
      <c r="L13" s="68" t="n">
        <f aca="false">SUM(L9:L12)</f>
        <v>1468005.47172806</v>
      </c>
      <c r="M13" s="68" t="n">
        <f aca="false">SUM(M9:M12)</f>
        <v>1758198.98607367</v>
      </c>
      <c r="N13" s="68" t="n">
        <f aca="false">SUM(N9:N12)</f>
        <v>2106557.40995507</v>
      </c>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row>
    <row r="14" customFormat="false" ht="12.75" hidden="false" customHeight="false" outlineLevel="0" collapsed="false">
      <c r="A14" s="70"/>
      <c r="B14" s="71"/>
      <c r="C14" s="71"/>
      <c r="D14" s="72"/>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c r="IW14" s="70"/>
    </row>
    <row r="15" customFormat="false" ht="12.75" hidden="false" customHeight="false" outlineLevel="0" collapsed="false">
      <c r="A15" s="70" t="s">
        <v>35</v>
      </c>
      <c r="B15" s="71" t="n">
        <v>759</v>
      </c>
      <c r="C15" s="71" t="n">
        <v>6851</v>
      </c>
      <c r="D15" s="73" t="n">
        <v>0.035</v>
      </c>
      <c r="E15" s="70" t="n">
        <f aca="false">$D$15*E13</f>
        <v>9630.94984133333</v>
      </c>
      <c r="F15" s="70" t="n">
        <f aca="false">$D$15*F13</f>
        <v>14104.0891786667</v>
      </c>
      <c r="G15" s="70" t="n">
        <f aca="false">$D$15*G13</f>
        <v>19476.2736168</v>
      </c>
      <c r="H15" s="70" t="n">
        <f aca="false">$D$15*H13</f>
        <v>25118.1715851733</v>
      </c>
      <c r="I15" s="70" t="n">
        <f aca="false">$D$15*I13</f>
        <v>30004.8716688747</v>
      </c>
      <c r="J15" s="70" t="n">
        <f aca="false">$D$15*J13</f>
        <v>35873.3290026496</v>
      </c>
      <c r="K15" s="70" t="n">
        <f aca="false">$D$15*K13</f>
        <v>42919.8950365129</v>
      </c>
      <c r="L15" s="70" t="n">
        <f aca="false">$D$15*L13</f>
        <v>51380.1915104821</v>
      </c>
      <c r="M15" s="70" t="n">
        <f aca="false">$D$15*M13</f>
        <v>61536.9645125785</v>
      </c>
      <c r="N15" s="70" t="n">
        <f aca="false">$D$15*N13</f>
        <v>73729.5093484275</v>
      </c>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c r="IW15" s="70"/>
    </row>
    <row r="16" customFormat="false" ht="12.75" hidden="false" customHeight="false" outlineLevel="0" collapsed="false">
      <c r="A16" s="70" t="s">
        <v>36</v>
      </c>
      <c r="B16" s="71" t="n">
        <v>12372</v>
      </c>
      <c r="C16" s="71" t="n">
        <v>14121</v>
      </c>
      <c r="D16" s="64" t="n">
        <v>0.06</v>
      </c>
      <c r="E16" s="70" t="n">
        <f aca="false">$D$16*'Income Statement'!E5</f>
        <v>25349.016</v>
      </c>
      <c r="F16" s="70" t="n">
        <f aca="false">$D$16*'Income Statement'!F5</f>
        <v>38023.524</v>
      </c>
      <c r="G16" s="70" t="n">
        <f aca="false">$D$16*'Income Statement'!G5</f>
        <v>53232.9336</v>
      </c>
      <c r="H16" s="70" t="n">
        <f aca="false">$D$16*'Income Statement'!H5</f>
        <v>69202.81368</v>
      </c>
      <c r="I16" s="70" t="n">
        <f aca="false">$D$16*'Income Statement'!I5</f>
        <v>83043.376416</v>
      </c>
      <c r="J16" s="70" t="n">
        <f aca="false">$D$16*'Income Statement'!J5</f>
        <v>99652.0516992</v>
      </c>
      <c r="K16" s="70" t="n">
        <f aca="false">$D$16*'Income Statement'!K5</f>
        <v>119582.46203904</v>
      </c>
      <c r="L16" s="70" t="n">
        <f aca="false">$D$16*'Income Statement'!L5</f>
        <v>143498.954446848</v>
      </c>
      <c r="M16" s="70" t="n">
        <f aca="false">$D$16*'Income Statement'!M5</f>
        <v>172198.745336218</v>
      </c>
      <c r="N16" s="70" t="n">
        <f aca="false">$D$16*'Income Statement'!N5</f>
        <v>206638.494403461</v>
      </c>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c r="IW16" s="70"/>
    </row>
    <row r="17" customFormat="false" ht="12.75" hidden="false" customHeight="false" outlineLevel="0" collapsed="false">
      <c r="A17" s="74" t="s">
        <v>37</v>
      </c>
      <c r="B17" s="75" t="n">
        <v>19591</v>
      </c>
      <c r="C17" s="75" t="n">
        <v>19828</v>
      </c>
      <c r="D17" s="66" t="n">
        <v>0.052</v>
      </c>
      <c r="E17" s="74" t="n">
        <f aca="false">$D$17*'Income Statement'!E5</f>
        <v>21969.1472</v>
      </c>
      <c r="F17" s="74" t="n">
        <f aca="false">$D$17*'Income Statement'!F5</f>
        <v>32953.7208</v>
      </c>
      <c r="G17" s="74" t="n">
        <f aca="false">$D$17*'Income Statement'!G5</f>
        <v>46135.20912</v>
      </c>
      <c r="H17" s="74" t="n">
        <f aca="false">$D$17*'Income Statement'!H5</f>
        <v>59975.771856</v>
      </c>
      <c r="I17" s="74" t="n">
        <f aca="false">$D$17*'Income Statement'!I5</f>
        <v>71970.9262272</v>
      </c>
      <c r="J17" s="74" t="n">
        <f aca="false">$D$17*'Income Statement'!J5</f>
        <v>86365.11147264</v>
      </c>
      <c r="K17" s="74" t="n">
        <f aca="false">$D$17*'Income Statement'!K5</f>
        <v>103638.133767168</v>
      </c>
      <c r="L17" s="74" t="n">
        <f aca="false">$D$17*'Income Statement'!L5</f>
        <v>124365.760520602</v>
      </c>
      <c r="M17" s="74" t="n">
        <f aca="false">$D$17*'Income Statement'!M5</f>
        <v>149238.912624722</v>
      </c>
      <c r="N17" s="74" t="n">
        <f aca="false">$D$17*'Income Statement'!N5</f>
        <v>179086.695149666</v>
      </c>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c r="IW17" s="70"/>
    </row>
    <row r="18" customFormat="false" ht="12.75" hidden="false" customHeight="false" outlineLevel="0" collapsed="false">
      <c r="A18" s="70" t="s">
        <v>38</v>
      </c>
      <c r="B18" s="71" t="n">
        <f aca="false">SUM(B15:B17)</f>
        <v>32722</v>
      </c>
      <c r="C18" s="71" t="n">
        <f aca="false">SUM(C15:C17)</f>
        <v>40800</v>
      </c>
      <c r="D18" s="72"/>
      <c r="E18" s="71" t="n">
        <f aca="false">SUM(E15:E17)</f>
        <v>56949.1130413333</v>
      </c>
      <c r="F18" s="71" t="n">
        <f aca="false">SUM(F15:F17)</f>
        <v>85081.3339786667</v>
      </c>
      <c r="G18" s="71" t="n">
        <f aca="false">SUM(G15:G17)</f>
        <v>118844.4163368</v>
      </c>
      <c r="H18" s="71" t="n">
        <f aca="false">SUM(H15:H17)</f>
        <v>154296.757121173</v>
      </c>
      <c r="I18" s="71" t="n">
        <f aca="false">SUM(I15:I17)</f>
        <v>185019.174312075</v>
      </c>
      <c r="J18" s="71" t="n">
        <f aca="false">SUM(J15:J17)</f>
        <v>221890.49217449</v>
      </c>
      <c r="K18" s="71" t="n">
        <f aca="false">SUM(K15:K17)</f>
        <v>266140.490842721</v>
      </c>
      <c r="L18" s="71" t="n">
        <f aca="false">SUM(L15:L17)</f>
        <v>319244.906477932</v>
      </c>
      <c r="M18" s="71" t="n">
        <f aca="false">SUM(M15:M17)</f>
        <v>382974.622473518</v>
      </c>
      <c r="N18" s="71" t="n">
        <f aca="false">SUM(N15:N17)</f>
        <v>459454.698901555</v>
      </c>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c r="IW18" s="70"/>
    </row>
    <row r="19" customFormat="false" ht="12.75" hidden="false" customHeight="false" outlineLevel="0" collapsed="false">
      <c r="A19" s="70" t="s">
        <v>39</v>
      </c>
      <c r="B19" s="71" t="n">
        <v>4422</v>
      </c>
      <c r="C19" s="71" t="n">
        <v>4541</v>
      </c>
      <c r="D19" s="64" t="n">
        <v>0.02</v>
      </c>
      <c r="E19" s="70" t="n">
        <f aca="false">$D$19*'Income Statement'!E5</f>
        <v>8449.672</v>
      </c>
      <c r="F19" s="70" t="n">
        <f aca="false">$D$19*'Income Statement'!F5</f>
        <v>12674.508</v>
      </c>
      <c r="G19" s="70" t="n">
        <f aca="false">$D$19*'Income Statement'!G5</f>
        <v>17744.3112</v>
      </c>
      <c r="H19" s="70" t="n">
        <f aca="false">$D$19*'Income Statement'!H5</f>
        <v>23067.60456</v>
      </c>
      <c r="I19" s="70" t="n">
        <f aca="false">$D$19*'Income Statement'!I5</f>
        <v>27681.125472</v>
      </c>
      <c r="J19" s="70" t="n">
        <f aca="false">$D$19*'Income Statement'!J5</f>
        <v>33217.3505664</v>
      </c>
      <c r="K19" s="70" t="n">
        <f aca="false">$D$19*'Income Statement'!K5</f>
        <v>39860.82067968</v>
      </c>
      <c r="L19" s="70" t="n">
        <f aca="false">$D$19*'Income Statement'!L5</f>
        <v>47832.984815616</v>
      </c>
      <c r="M19" s="70" t="n">
        <f aca="false">$D$19*'Income Statement'!M5</f>
        <v>57399.5817787392</v>
      </c>
      <c r="N19" s="70" t="n">
        <f aca="false">$D$19*'Income Statement'!N5</f>
        <v>68879.498134487</v>
      </c>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c r="IW19" s="70"/>
    </row>
    <row r="20" customFormat="false" ht="12.75" hidden="false" customHeight="false" outlineLevel="0" collapsed="false">
      <c r="A20" s="74" t="s">
        <v>40</v>
      </c>
      <c r="B20" s="75" t="n">
        <v>46914</v>
      </c>
      <c r="C20" s="75" t="n">
        <v>44176</v>
      </c>
      <c r="D20" s="76" t="n">
        <v>0.23</v>
      </c>
      <c r="E20" s="74" t="n">
        <f aca="false">$D$20*E13</f>
        <v>63289.0989573333</v>
      </c>
      <c r="F20" s="74" t="n">
        <f aca="false">$D$20*F13</f>
        <v>92684.0146026667</v>
      </c>
      <c r="G20" s="74" t="n">
        <f aca="false">$D$20*G13</f>
        <v>127986.9409104</v>
      </c>
      <c r="H20" s="74" t="n">
        <f aca="false">$D$20*H13</f>
        <v>165062.270416853</v>
      </c>
      <c r="I20" s="74" t="n">
        <f aca="false">$D$20*I13</f>
        <v>197174.870966891</v>
      </c>
      <c r="J20" s="74" t="n">
        <f aca="false">$D$20*J13</f>
        <v>235739.019160269</v>
      </c>
      <c r="K20" s="74" t="n">
        <f aca="false">$D$20*K13</f>
        <v>282045.024525656</v>
      </c>
      <c r="L20" s="74" t="n">
        <f aca="false">$D$20*L13</f>
        <v>337641.258497454</v>
      </c>
      <c r="M20" s="74" t="n">
        <f aca="false">$D$20*M13</f>
        <v>404385.766796944</v>
      </c>
      <c r="N20" s="74" t="n">
        <f aca="false">$D$20*N13</f>
        <v>484508.204289667</v>
      </c>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c r="IW20" s="70"/>
    </row>
    <row r="21" customFormat="false" ht="12.75" hidden="false" customHeight="false" outlineLevel="0" collapsed="false">
      <c r="A21" s="50" t="s">
        <v>41</v>
      </c>
      <c r="B21" s="77" t="n">
        <f aca="false">SUM(B18:B20)</f>
        <v>84058</v>
      </c>
      <c r="C21" s="77" t="n">
        <f aca="false">SUM(C18:C20)</f>
        <v>89517</v>
      </c>
      <c r="D21" s="78"/>
      <c r="E21" s="77" t="n">
        <f aca="false">SUM(E18:E20)</f>
        <v>128687.883998667</v>
      </c>
      <c r="F21" s="77" t="n">
        <f aca="false">SUM(F18:F20)</f>
        <v>190439.856581333</v>
      </c>
      <c r="G21" s="77" t="n">
        <f aca="false">SUM(G18:G20)</f>
        <v>264575.6684472</v>
      </c>
      <c r="H21" s="77" t="n">
        <f aca="false">SUM(H18:H20)</f>
        <v>342426.632098027</v>
      </c>
      <c r="I21" s="77" t="n">
        <f aca="false">SUM(I18:I20)</f>
        <v>409875.170750965</v>
      </c>
      <c r="J21" s="77" t="n">
        <f aca="false">SUM(J18:J20)</f>
        <v>490846.861901158</v>
      </c>
      <c r="K21" s="77" t="n">
        <f aca="false">SUM(K18:K20)</f>
        <v>588046.336048057</v>
      </c>
      <c r="L21" s="77" t="n">
        <f aca="false">SUM(L18:L20)</f>
        <v>704719.149791001</v>
      </c>
      <c r="M21" s="77" t="n">
        <f aca="false">SUM(M18:M20)</f>
        <v>844759.971049201</v>
      </c>
      <c r="N21" s="77" t="n">
        <f aca="false">SUM(N18:N20)</f>
        <v>1012842.40132571</v>
      </c>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customFormat="false" ht="12.75" hidden="false" customHeight="false" outlineLevel="0" collapsed="false">
      <c r="A22" s="70" t="s">
        <v>42</v>
      </c>
      <c r="B22" s="71" t="n">
        <v>107</v>
      </c>
      <c r="C22" s="71" t="n">
        <v>107</v>
      </c>
      <c r="D22" s="72"/>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c r="IW22" s="70"/>
    </row>
    <row r="23" customFormat="false" ht="12.75" hidden="false" customHeight="false" outlineLevel="0" collapsed="false">
      <c r="A23" s="70" t="s">
        <v>43</v>
      </c>
      <c r="B23" s="71" t="n">
        <v>53293</v>
      </c>
      <c r="C23" s="71" t="n">
        <v>53758</v>
      </c>
      <c r="D23" s="72"/>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c r="IW23" s="70"/>
    </row>
    <row r="24" customFormat="false" ht="12.75" hidden="false" customHeight="false" outlineLevel="0" collapsed="false">
      <c r="A24" s="70" t="s">
        <v>44</v>
      </c>
      <c r="B24" s="71" t="n">
        <v>38666</v>
      </c>
      <c r="C24" s="71" t="n">
        <v>51585</v>
      </c>
      <c r="D24" s="72"/>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c r="IW24" s="70"/>
    </row>
    <row r="25" customFormat="false" ht="12.75" hidden="false" customHeight="false" outlineLevel="0" collapsed="false">
      <c r="A25" s="70" t="s">
        <v>45</v>
      </c>
      <c r="B25" s="71" t="n">
        <v>1346</v>
      </c>
      <c r="C25" s="71" t="n">
        <v>-850</v>
      </c>
      <c r="D25" s="72"/>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c r="IW25" s="70"/>
    </row>
    <row r="26" customFormat="false" ht="12.75" hidden="false" customHeight="false" outlineLevel="0" collapsed="false">
      <c r="A26" s="74" t="s">
        <v>46</v>
      </c>
      <c r="B26" s="75" t="n">
        <v>93412</v>
      </c>
      <c r="C26" s="75" t="n">
        <v>104600</v>
      </c>
      <c r="D26" s="79" t="s">
        <v>47</v>
      </c>
      <c r="E26" s="80" t="n">
        <f aca="false">E27-E21</f>
        <v>146482.111468</v>
      </c>
      <c r="F26" s="80" t="n">
        <f aca="false">F27-F21</f>
        <v>212534.119952</v>
      </c>
      <c r="G26" s="80" t="n">
        <f aca="false">G27-G21</f>
        <v>291889.2920328</v>
      </c>
      <c r="H26" s="80" t="n">
        <f aca="false">H27-H21</f>
        <v>375235.41319264</v>
      </c>
      <c r="I26" s="80" t="n">
        <f aca="false">I27-I21</f>
        <v>447406.876931168</v>
      </c>
      <c r="J26" s="80" t="n">
        <f aca="false">J27-J21</f>
        <v>534105.395317402</v>
      </c>
      <c r="K26" s="80" t="n">
        <f aca="false">K27-K21</f>
        <v>638236.379280882</v>
      </c>
      <c r="L26" s="80" t="n">
        <f aca="false">L27-L21</f>
        <v>763286.321937058</v>
      </c>
      <c r="M26" s="80" t="n">
        <f aca="false">M27-M21</f>
        <v>913439.01502447</v>
      </c>
      <c r="N26" s="80" t="n">
        <f aca="false">N27-N21</f>
        <v>1093715.00862936</v>
      </c>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c r="IW26" s="70"/>
    </row>
    <row r="27" customFormat="false" ht="12.75" hidden="false" customHeight="false" outlineLevel="0" collapsed="false">
      <c r="A27" s="81" t="s">
        <v>48</v>
      </c>
      <c r="B27" s="82" t="n">
        <f aca="false">B26+B21</f>
        <v>177470</v>
      </c>
      <c r="C27" s="82" t="n">
        <f aca="false">C26+C21</f>
        <v>194117</v>
      </c>
      <c r="D27" s="83"/>
      <c r="E27" s="84" t="n">
        <f aca="false">E13</f>
        <v>275169.995466667</v>
      </c>
      <c r="F27" s="84" t="n">
        <f aca="false">F13</f>
        <v>402973.976533333</v>
      </c>
      <c r="G27" s="84" t="n">
        <f aca="false">G13</f>
        <v>556464.96048</v>
      </c>
      <c r="H27" s="84" t="n">
        <f aca="false">H13</f>
        <v>717662.045290667</v>
      </c>
      <c r="I27" s="84" t="n">
        <f aca="false">I13</f>
        <v>857282.047682133</v>
      </c>
      <c r="J27" s="84" t="n">
        <f aca="false">J13</f>
        <v>1024952.25721856</v>
      </c>
      <c r="K27" s="84" t="n">
        <f aca="false">K13</f>
        <v>1226282.71532894</v>
      </c>
      <c r="L27" s="84" t="n">
        <f aca="false">L13</f>
        <v>1468005.47172806</v>
      </c>
      <c r="M27" s="84" t="n">
        <f aca="false">M13</f>
        <v>1758198.98607367</v>
      </c>
      <c r="N27" s="84" t="n">
        <f aca="false">N13</f>
        <v>2106557.40995507</v>
      </c>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row>
    <row r="28" customFormat="false" ht="12.75" hidden="false" customHeight="false" outlineLevel="0" collapsed="false">
      <c r="A28" s="70"/>
      <c r="B28" s="85"/>
      <c r="C28" s="85"/>
      <c r="D28" s="86" t="s">
        <v>49</v>
      </c>
      <c r="E28" s="87" t="n">
        <f aca="false">E26-C26-E35-'Income Statement'!E21</f>
        <v>0</v>
      </c>
      <c r="F28" s="87" t="n">
        <f aca="false">F26-E26-F35-'Income Statement'!F21</f>
        <v>0</v>
      </c>
      <c r="G28" s="87" t="n">
        <f aca="false">G26-F26-G35-'Income Statement'!G21</f>
        <v>0</v>
      </c>
      <c r="H28" s="87" t="n">
        <f aca="false">H26-G26-H35-'Income Statement'!H21</f>
        <v>0</v>
      </c>
      <c r="I28" s="87" t="n">
        <f aca="false">I26-H26-I35-'Income Statement'!I21</f>
        <v>0</v>
      </c>
      <c r="J28" s="87" t="n">
        <f aca="false">J26-I26-J35-'Income Statement'!J21</f>
        <v>0</v>
      </c>
      <c r="K28" s="87" t="n">
        <f aca="false">K26-J26-K35-'Income Statement'!K21</f>
        <v>0</v>
      </c>
      <c r="L28" s="87" t="n">
        <f aca="false">L26-K26-L35-'Income Statement'!L21</f>
        <v>0</v>
      </c>
      <c r="M28" s="87" t="n">
        <f aca="false">M26-L26-M35-'Income Statement'!M21</f>
        <v>0</v>
      </c>
      <c r="N28" s="87" t="n">
        <f aca="false">N26-M26-N35-'Income Statement'!N21</f>
        <v>0</v>
      </c>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c r="IW28" s="70"/>
    </row>
    <row r="29" customFormat="false" ht="12.75" hidden="false" customHeight="false" outlineLevel="0" collapsed="false">
      <c r="A29" s="70"/>
      <c r="B29" s="85"/>
      <c r="C29" s="85"/>
      <c r="D29" s="72"/>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c r="IW29" s="70"/>
    </row>
    <row r="30" customFormat="false" ht="12.75" hidden="false" customHeight="false" outlineLevel="0" collapsed="false">
      <c r="A30" s="88" t="s">
        <v>50</v>
      </c>
      <c r="B30" s="70"/>
      <c r="C30" s="70"/>
      <c r="D30" s="72"/>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c r="IW30" s="70"/>
    </row>
    <row r="31" customFormat="false" ht="12.75" hidden="false" customHeight="false" outlineLevel="0" collapsed="false">
      <c r="A31" s="70" t="s">
        <v>51</v>
      </c>
      <c r="B31" s="70"/>
      <c r="C31" s="70"/>
      <c r="D31" s="72"/>
      <c r="E31" s="70" t="n">
        <f aca="false">'Cash Flow, DCF, Ratios'!E20</f>
        <v>-28002.4962506667</v>
      </c>
      <c r="F31" s="70" t="n">
        <f aca="false">'Cash Flow, DCF, Ratios'!F20</f>
        <v>-47810.9362426667</v>
      </c>
      <c r="G31" s="70" t="n">
        <f aca="false">'Cash Flow, DCF, Ratios'!G20</f>
        <v>-47415.4915930666</v>
      </c>
      <c r="H31" s="70" t="n">
        <f aca="false">'Cash Flow, DCF, Ratios'!H20</f>
        <v>-32171.1003509867</v>
      </c>
      <c r="I31" s="70" t="n">
        <f aca="false">'Cash Flow, DCF, Ratios'!I20</f>
        <v>2790.16112014939</v>
      </c>
      <c r="J31" s="70" t="n">
        <f aca="false">'Cash Flow, DCF, Ratios'!J20</f>
        <v>3221.98667751258</v>
      </c>
      <c r="K31" s="70" t="n">
        <f aca="false">'Cash Flow, DCF, Ratios'!K20</f>
        <v>3740.17734634844</v>
      </c>
      <c r="L31" s="70" t="n">
        <f aca="false">'Cash Flow, DCF, Ratios'!L20</f>
        <v>4362.00614895154</v>
      </c>
      <c r="M31" s="70" t="n">
        <f aca="false">'Cash Flow, DCF, Ratios'!M20</f>
        <v>5108.20071207496</v>
      </c>
      <c r="N31" s="70" t="n">
        <f aca="false">'Cash Flow, DCF, Ratios'!N20</f>
        <v>6003.63418782339</v>
      </c>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c r="IW31" s="70"/>
    </row>
    <row r="32" customFormat="false" ht="12.75" hidden="false" customHeight="false" outlineLevel="0" collapsed="false">
      <c r="A32" s="70" t="s">
        <v>52</v>
      </c>
      <c r="B32" s="70"/>
      <c r="C32" s="70"/>
      <c r="D32" s="89" t="s">
        <v>53</v>
      </c>
      <c r="E32" s="70" t="n">
        <f aca="false">-('Income Statement'!E18*(1-'Income Statement'!$D$20))</f>
        <v>-3961.34767960539</v>
      </c>
      <c r="F32" s="70" t="n">
        <f aca="false">-('Income Statement'!F18*(1-'Income Statement'!$D$20))</f>
        <v>-5743.4725564568</v>
      </c>
      <c r="G32" s="70" t="n">
        <f aca="false">-('Income Statement'!G18*(1-'Income Statement'!$D$20))</f>
        <v>-8125.87213314072</v>
      </c>
      <c r="H32" s="70" t="n">
        <f aca="false">-('Income Statement'!H18*(1-'Income Statement'!$D$20))</f>
        <v>-10791.0912626741</v>
      </c>
      <c r="I32" s="70" t="n">
        <f aca="false">-('Income Statement'!I18*(1-'Income Statement'!$D$20))</f>
        <v>-13338.8315010238</v>
      </c>
      <c r="J32" s="70" t="n">
        <f aca="false">-('Income Statement'!J18*(1-'Income Statement'!$D$20))</f>
        <v>-15941.3952219259</v>
      </c>
      <c r="K32" s="70" t="n">
        <f aca="false">-('Income Statement'!K18*(1-'Income Statement'!$D$20))</f>
        <v>-19066.6094764938</v>
      </c>
      <c r="L32" s="70" t="n">
        <f aca="false">-('Income Statement'!L18*(1-'Income Statement'!$D$20))</f>
        <v>-22819.0043714605</v>
      </c>
      <c r="M32" s="70" t="n">
        <f aca="false">-('Income Statement'!M18*(1-'Income Statement'!$D$20))</f>
        <v>-27324.016034906</v>
      </c>
      <c r="N32" s="70" t="n">
        <f aca="false">-('Income Statement'!N18*(1-'Income Statement'!$D$20))</f>
        <v>-32732.1678205258</v>
      </c>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c r="IW32" s="70"/>
    </row>
    <row r="33" customFormat="false" ht="12.75" hidden="false" customHeight="false" outlineLevel="0" collapsed="false">
      <c r="A33" s="70" t="s">
        <v>54</v>
      </c>
      <c r="B33" s="70"/>
      <c r="C33" s="70"/>
      <c r="D33" s="89"/>
      <c r="E33" s="70" t="n">
        <f aca="false">E31+E32</f>
        <v>-31963.8439302721</v>
      </c>
      <c r="F33" s="70" t="n">
        <f aca="false">F31+F32</f>
        <v>-53554.4087991235</v>
      </c>
      <c r="G33" s="70" t="n">
        <f aca="false">G31+G32</f>
        <v>-55541.3637262074</v>
      </c>
      <c r="H33" s="70" t="n">
        <f aca="false">H31+H32</f>
        <v>-42962.1916136608</v>
      </c>
      <c r="I33" s="70" t="n">
        <f aca="false">I31+I32</f>
        <v>-10548.6703808744</v>
      </c>
      <c r="J33" s="70" t="n">
        <f aca="false">J31+J32</f>
        <v>-12719.4085444133</v>
      </c>
      <c r="K33" s="70" t="n">
        <f aca="false">K31+K32</f>
        <v>-15326.4321301453</v>
      </c>
      <c r="L33" s="70" t="n">
        <f aca="false">L31+L32</f>
        <v>-18456.998222509</v>
      </c>
      <c r="M33" s="70" t="n">
        <f aca="false">M31+M32</f>
        <v>-22215.815322831</v>
      </c>
      <c r="N33" s="70" t="n">
        <f aca="false">N31+N32</f>
        <v>-26728.5336327024</v>
      </c>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c r="IW33" s="70"/>
    </row>
    <row r="34" customFormat="false" ht="12.75" hidden="false" customHeight="false" outlineLevel="0" collapsed="false">
      <c r="A34" s="70" t="s">
        <v>55</v>
      </c>
      <c r="B34" s="70"/>
      <c r="C34" s="70"/>
      <c r="D34" s="90" t="s">
        <v>56</v>
      </c>
      <c r="E34" s="70" t="n">
        <f aca="false">(E20+E15)-(C20+C15)</f>
        <v>21893.0487986667</v>
      </c>
      <c r="F34" s="70" t="n">
        <f aca="false">(F20+F15)-(E20+E15)</f>
        <v>33868.0549826667</v>
      </c>
      <c r="G34" s="70" t="n">
        <f aca="false">(G20+G15)-(F20+F15)</f>
        <v>40675.1107458667</v>
      </c>
      <c r="H34" s="70" t="n">
        <f aca="false">(H20+H15)-(G20+G15)</f>
        <v>42717.2274748267</v>
      </c>
      <c r="I34" s="70" t="n">
        <f aca="false">(I20+I15)-(H20+H15)</f>
        <v>36999.3006337386</v>
      </c>
      <c r="J34" s="70" t="n">
        <f aca="false">(J20+J15)-(I20+I15)</f>
        <v>44432.605527153</v>
      </c>
      <c r="K34" s="70" t="n">
        <f aca="false">(K20+K15)-(J20+J15)</f>
        <v>53352.5713992504</v>
      </c>
      <c r="L34" s="70" t="n">
        <f aca="false">(L20+L15)-(K20+K15)</f>
        <v>64056.530445767</v>
      </c>
      <c r="M34" s="70" t="n">
        <f aca="false">(M20+M15)-(L20+L15)</f>
        <v>76901.2813015871</v>
      </c>
      <c r="N34" s="70" t="n">
        <f aca="false">(N20+N15)-(M20+M15)</f>
        <v>92314.9823285713</v>
      </c>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c r="IW34" s="70"/>
    </row>
    <row r="35" customFormat="false" ht="12.75" hidden="false" customHeight="false" outlineLevel="0" collapsed="false">
      <c r="A35" s="70" t="s">
        <v>57</v>
      </c>
      <c r="B35" s="70"/>
      <c r="C35" s="70"/>
      <c r="D35" s="90" t="s">
        <v>58</v>
      </c>
      <c r="E35" s="70" t="n">
        <f aca="false">(E26-C26)-'Income Statement'!E21</f>
        <v>12230.6639316054</v>
      </c>
      <c r="F35" s="70" t="n">
        <f aca="false">(F26-E26)-'Income Statement'!F21</f>
        <v>21376.2882164568</v>
      </c>
      <c r="G35" s="70" t="n">
        <f aca="false">(G26-F26)-'Income Statement'!G21</f>
        <v>16894.1742603407</v>
      </c>
      <c r="H35" s="70" t="n">
        <f aca="false">(H26-G26)-'Income Statement'!H21</f>
        <v>2374.28148283409</v>
      </c>
      <c r="I35" s="70" t="n">
        <f aca="false">(I26-H26)-'Income Statement'!I21</f>
        <v>-24605.2218880641</v>
      </c>
      <c r="J35" s="70" t="n">
        <f aca="false">(J26-I26)-'Income Statement'!J21</f>
        <v>-29498.7069449798</v>
      </c>
      <c r="K35" s="70" t="n">
        <f aca="false">(K26-J26)-'Income Statement'!K21</f>
        <v>-35368.7512237928</v>
      </c>
      <c r="L35" s="70" t="n">
        <f aca="false">(L26-K26)-'Income Statement'!L21</f>
        <v>-42410.6665688839</v>
      </c>
      <c r="M35" s="70" t="n">
        <f aca="false">(M26-L26)-'Income Statement'!M21</f>
        <v>-50858.8271935068</v>
      </c>
      <c r="N35" s="70" t="n">
        <f aca="false">(N26-M26)-'Income Statement'!N21</f>
        <v>-60994.4821535692</v>
      </c>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c r="IW35" s="70"/>
    </row>
    <row r="36" customFormat="false" ht="12.75" hidden="false" customHeight="false" outlineLevel="0" collapsed="false">
      <c r="A36" s="70" t="s">
        <v>59</v>
      </c>
      <c r="B36" s="70"/>
      <c r="C36" s="70"/>
      <c r="D36" s="90"/>
      <c r="E36" s="70" t="n">
        <f aca="false">E34+E35</f>
        <v>34123.7127302721</v>
      </c>
      <c r="F36" s="70" t="n">
        <f aca="false">F34+F35</f>
        <v>55244.3431991235</v>
      </c>
      <c r="G36" s="70" t="n">
        <f aca="false">G34+G35</f>
        <v>57569.2850062073</v>
      </c>
      <c r="H36" s="70" t="n">
        <f aca="false">H34+H35</f>
        <v>45091.5089576608</v>
      </c>
      <c r="I36" s="70" t="n">
        <f aca="false">I34+I35</f>
        <v>12394.0787456745</v>
      </c>
      <c r="J36" s="70" t="n">
        <f aca="false">J34+J35</f>
        <v>14933.8985821732</v>
      </c>
      <c r="K36" s="70" t="n">
        <f aca="false">K34+K35</f>
        <v>17983.8201754576</v>
      </c>
      <c r="L36" s="70" t="n">
        <f aca="false">L34+L35</f>
        <v>21645.8638768831</v>
      </c>
      <c r="M36" s="70" t="n">
        <f aca="false">M34+M35</f>
        <v>26042.4541080804</v>
      </c>
      <c r="N36" s="70" t="n">
        <f aca="false">N34+N35</f>
        <v>31320.500175002</v>
      </c>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c r="IW36" s="70"/>
    </row>
    <row r="37" customFormat="false" ht="12.75" hidden="false" customHeight="false" outlineLevel="0" collapsed="false">
      <c r="A37" s="70" t="s">
        <v>60</v>
      </c>
      <c r="B37" s="70"/>
      <c r="C37" s="70"/>
      <c r="D37" s="90"/>
      <c r="E37" s="70" t="n">
        <f aca="false">E33+E36</f>
        <v>2159.86879999999</v>
      </c>
      <c r="F37" s="70" t="n">
        <f aca="false">F33+F36</f>
        <v>1689.93440000003</v>
      </c>
      <c r="G37" s="70" t="n">
        <f aca="false">G33+G36</f>
        <v>2027.92127999998</v>
      </c>
      <c r="H37" s="70" t="n">
        <f aca="false">H33+H36</f>
        <v>2129.31734400003</v>
      </c>
      <c r="I37" s="70" t="n">
        <f aca="false">I33+I36</f>
        <v>1845.40836480007</v>
      </c>
      <c r="J37" s="70" t="n">
        <f aca="false">J33+J36</f>
        <v>2214.49003775989</v>
      </c>
      <c r="K37" s="70" t="n">
        <f aca="false">K33+K36</f>
        <v>2657.38804531229</v>
      </c>
      <c r="L37" s="70" t="n">
        <f aca="false">L33+L36</f>
        <v>3188.86565437408</v>
      </c>
      <c r="M37" s="70" t="n">
        <f aca="false">M33+M36</f>
        <v>3826.63878524935</v>
      </c>
      <c r="N37" s="70" t="n">
        <f aca="false">N33+N36</f>
        <v>4591.96654229959</v>
      </c>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c r="IW37" s="70"/>
    </row>
    <row r="38" customFormat="false" ht="12.75" hidden="false" customHeight="false" outlineLevel="0" collapsed="false">
      <c r="A38" s="38" t="s">
        <v>61</v>
      </c>
      <c r="B38" s="38"/>
      <c r="C38" s="38"/>
      <c r="D38" s="91" t="s">
        <v>56</v>
      </c>
      <c r="E38" s="38" t="n">
        <f aca="false">E5-C5</f>
        <v>2159.8688</v>
      </c>
      <c r="F38" s="38" t="n">
        <f aca="false">F5-E5</f>
        <v>1689.9344</v>
      </c>
      <c r="G38" s="38" t="n">
        <f aca="false">G5-F5</f>
        <v>2027.92128</v>
      </c>
      <c r="H38" s="38" t="n">
        <f aca="false">H5-G5</f>
        <v>2129.317344</v>
      </c>
      <c r="I38" s="38" t="n">
        <f aca="false">I5-H5</f>
        <v>1845.4083648</v>
      </c>
      <c r="J38" s="38" t="n">
        <f aca="false">J5-I5</f>
        <v>2214.49003776</v>
      </c>
      <c r="K38" s="38" t="n">
        <f aca="false">K5-J5</f>
        <v>2657.388045312</v>
      </c>
      <c r="L38" s="38" t="n">
        <f aca="false">L5-K5</f>
        <v>3188.8656543744</v>
      </c>
      <c r="M38" s="38" t="n">
        <f aca="false">M5-L5</f>
        <v>3826.63878524928</v>
      </c>
      <c r="N38" s="38" t="n">
        <f aca="false">N5-M5</f>
        <v>4591.96654229914</v>
      </c>
    </row>
    <row r="39" customFormat="false" ht="12.75" hidden="false" customHeight="false" outlineLevel="0" collapsed="false">
      <c r="D39" s="92" t="s">
        <v>49</v>
      </c>
      <c r="E39" s="93" t="n">
        <f aca="false">E37-E38</f>
        <v>0</v>
      </c>
      <c r="F39" s="93" t="n">
        <f aca="false">F37-F38</f>
        <v>3.50155460182577E-011</v>
      </c>
      <c r="G39" s="93" t="n">
        <f aca="false">G37-G38</f>
        <v>-1.90993887372315E-011</v>
      </c>
      <c r="H39" s="93" t="n">
        <f aca="false">H37-H38</f>
        <v>3.09228198602796E-011</v>
      </c>
      <c r="I39" s="93" t="n">
        <f aca="false">I37-I38</f>
        <v>7.6397554948926E-011</v>
      </c>
      <c r="J39" s="93" t="n">
        <f aca="false">J37-J38</f>
        <v>-1.07320374809206E-010</v>
      </c>
      <c r="K39" s="93" t="n">
        <f aca="false">K37-K38</f>
        <v>2.89219315163791E-010</v>
      </c>
      <c r="L39" s="93" t="n">
        <f aca="false">L37-L38</f>
        <v>-3.14685166813433E-010</v>
      </c>
      <c r="M39" s="93" t="n">
        <f aca="false">M37-M38</f>
        <v>7.27595761418343E-011</v>
      </c>
      <c r="N39" s="93" t="n">
        <f aca="false">N37-N38</f>
        <v>4.51109372079372E-010</v>
      </c>
    </row>
    <row r="41" customFormat="false" ht="12.75" hidden="false" customHeight="false" outlineLevel="0" collapsed="false">
      <c r="D41" s="6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5"/>
  <sheetViews>
    <sheetView showFormulas="false" showGridLines="true" showRowColHeaders="true" showZeros="true" rightToLeft="false" tabSelected="true" showOutlineSymbols="true" defaultGridColor="true" view="normal" topLeftCell="A13" colorId="64" zoomScale="90" zoomScaleNormal="90" zoomScalePageLayoutView="100" workbookViewId="0">
      <selection pane="topLeft" activeCell="A41" activeCellId="0" sqref="A41"/>
    </sheetView>
  </sheetViews>
  <sheetFormatPr defaultColWidth="10.3515625" defaultRowHeight="12.75" customHeight="true" zeroHeight="false" outlineLevelRow="0" outlineLevelCol="0"/>
  <cols>
    <col collapsed="false" customWidth="true" hidden="false" outlineLevel="0" max="1" min="1" style="2" width="38.65"/>
    <col collapsed="false" customWidth="true" hidden="false" outlineLevel="0" max="3" min="2" style="2" width="12.01"/>
    <col collapsed="false" customWidth="true" hidden="false" outlineLevel="0" max="4" min="4" style="94" width="44.95"/>
    <col collapsed="false" customWidth="true" hidden="false" outlineLevel="0" max="14" min="5" style="2" width="13.12"/>
    <col collapsed="false" customWidth="true" hidden="false" outlineLevel="0" max="15" min="15" style="2" width="12.01"/>
    <col collapsed="false" customWidth="false" hidden="false" outlineLevel="0" max="257" min="16" style="2" width="10.35"/>
  </cols>
  <sheetData>
    <row r="1" customFormat="false" ht="18" hidden="false" customHeight="false" outlineLevel="0" collapsed="false">
      <c r="A1" s="4" t="s">
        <v>0</v>
      </c>
    </row>
    <row r="2" customFormat="false" ht="12.75" hidden="false" customHeight="false" outlineLevel="0" collapsed="false">
      <c r="A2" s="5" t="s">
        <v>62</v>
      </c>
    </row>
    <row r="3" customFormat="false" ht="12.75" hidden="false" customHeight="false" outlineLevel="0" collapsed="false">
      <c r="A3" s="42"/>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9" t="s">
        <v>5</v>
      </c>
      <c r="B4" s="12" t="n">
        <v>1991</v>
      </c>
      <c r="C4" s="12" t="n">
        <v>1992</v>
      </c>
      <c r="D4" s="61"/>
      <c r="E4" s="12" t="n">
        <f aca="false">C4+1</f>
        <v>1993</v>
      </c>
      <c r="F4" s="12" t="n">
        <f aca="false">E4+1</f>
        <v>1994</v>
      </c>
      <c r="G4" s="12" t="n">
        <f aca="false">F4+1</f>
        <v>1995</v>
      </c>
      <c r="H4" s="12" t="n">
        <f aca="false">G4+1</f>
        <v>1996</v>
      </c>
      <c r="I4" s="12" t="n">
        <f aca="false">H4+1</f>
        <v>1997</v>
      </c>
      <c r="J4" s="12" t="n">
        <f aca="false">I4+1</f>
        <v>1998</v>
      </c>
      <c r="K4" s="12" t="n">
        <f aca="false">J4+1</f>
        <v>1999</v>
      </c>
      <c r="L4" s="12" t="n">
        <f aca="false">K4+1</f>
        <v>2000</v>
      </c>
      <c r="M4" s="12" t="n">
        <f aca="false">L4+1</f>
        <v>2001</v>
      </c>
      <c r="N4" s="12" t="n">
        <f aca="false">M4+1</f>
        <v>2002</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88" t="s">
        <v>16</v>
      </c>
      <c r="B5" s="2" t="n">
        <f aca="false">'Income Statement'!B16</f>
        <v>17539</v>
      </c>
      <c r="C5" s="2" t="n">
        <f aca="false">'Income Statement'!C16</f>
        <v>24527</v>
      </c>
      <c r="D5" s="67" t="s">
        <v>63</v>
      </c>
      <c r="E5" s="2" t="n">
        <f aca="false">'Income Statement'!E16</f>
        <v>49430.5812</v>
      </c>
      <c r="F5" s="2" t="n">
        <f aca="false">'Income Statement'!F16</f>
        <v>74145.8718</v>
      </c>
      <c r="G5" s="2" t="n">
        <f aca="false">'Income Statement'!G16</f>
        <v>103804.22052</v>
      </c>
      <c r="H5" s="2" t="n">
        <f aca="false">'Income Statement'!H16</f>
        <v>134945.486676</v>
      </c>
      <c r="I5" s="2" t="n">
        <f aca="false">'Income Statement'!I16</f>
        <v>161934.5840112</v>
      </c>
      <c r="J5" s="2" t="n">
        <f aca="false">'Income Statement'!J16</f>
        <v>194321.50081344</v>
      </c>
      <c r="K5" s="2" t="n">
        <f aca="false">'Income Statement'!K16</f>
        <v>233185.800976128</v>
      </c>
      <c r="L5" s="2" t="n">
        <f aca="false">'Income Statement'!L16</f>
        <v>279822.961171354</v>
      </c>
      <c r="M5" s="2" t="n">
        <f aca="false">'Income Statement'!M16</f>
        <v>335787.553405624</v>
      </c>
      <c r="N5" s="2" t="n">
        <f aca="false">'Income Statement'!N16</f>
        <v>402945.064086749</v>
      </c>
    </row>
    <row r="6" customFormat="false" ht="12.75" hidden="false" customHeight="false" outlineLevel="0" collapsed="false">
      <c r="A6" s="38" t="s">
        <v>64</v>
      </c>
      <c r="B6" s="38" t="n">
        <f aca="false">B5*('Income Statement'!B20/'Income Statement'!B19)</f>
        <v>5436.6858410856</v>
      </c>
      <c r="C6" s="38" t="n">
        <f aca="false">C5*('Income Statement'!C20/'Income Statement'!C19)</f>
        <v>7849.05310805832</v>
      </c>
      <c r="D6" s="95" t="n">
        <f aca="false">'Income Statement'!D20</f>
        <v>0.32</v>
      </c>
      <c r="E6" s="38" t="n">
        <f aca="false">$D$6*E5</f>
        <v>15817.785984</v>
      </c>
      <c r="F6" s="38" t="n">
        <f aca="false">$D$6*F5</f>
        <v>23726.678976</v>
      </c>
      <c r="G6" s="38" t="n">
        <f aca="false">$D$6*G5</f>
        <v>33217.3505664</v>
      </c>
      <c r="H6" s="38" t="n">
        <f aca="false">$D$6*H5</f>
        <v>43182.55573632</v>
      </c>
      <c r="I6" s="38" t="n">
        <f aca="false">$D$6*I5</f>
        <v>51819.066883584</v>
      </c>
      <c r="J6" s="38" t="n">
        <f aca="false">$D$6*J5</f>
        <v>62182.8802603008</v>
      </c>
      <c r="K6" s="38" t="n">
        <f aca="false">$D$6*K5</f>
        <v>74619.456312361</v>
      </c>
      <c r="L6" s="38" t="n">
        <f aca="false">$D$6*L5</f>
        <v>89543.3475748332</v>
      </c>
      <c r="M6" s="38" t="n">
        <f aca="false">$D$6*M5</f>
        <v>107452.0170898</v>
      </c>
      <c r="N6" s="38" t="n">
        <f aca="false">$D$6*N5</f>
        <v>128942.42050776</v>
      </c>
    </row>
    <row r="7" customFormat="false" ht="12.75" hidden="false" customHeight="false" outlineLevel="0" collapsed="false">
      <c r="A7" s="88" t="s">
        <v>65</v>
      </c>
      <c r="B7" s="88" t="n">
        <f aca="false">B5-B6</f>
        <v>12102.3141589144</v>
      </c>
      <c r="C7" s="88" t="n">
        <f aca="false">C5-C6</f>
        <v>16677.9468919417</v>
      </c>
      <c r="D7" s="96"/>
      <c r="E7" s="2" t="n">
        <f aca="false">E5-E6</f>
        <v>33612.795216</v>
      </c>
      <c r="F7" s="2" t="n">
        <f aca="false">F5-F6</f>
        <v>50419.192824</v>
      </c>
      <c r="G7" s="2" t="n">
        <f aca="false">G5-G6</f>
        <v>70586.8699536</v>
      </c>
      <c r="H7" s="2" t="n">
        <f aca="false">H5-H6</f>
        <v>91762.93093968</v>
      </c>
      <c r="I7" s="2" t="n">
        <f aca="false">I5-I6</f>
        <v>110115.517127616</v>
      </c>
      <c r="J7" s="2" t="n">
        <f aca="false">J5-J6</f>
        <v>132138.620553139</v>
      </c>
      <c r="K7" s="2" t="n">
        <f aca="false">K5-K6</f>
        <v>158566.344663767</v>
      </c>
      <c r="L7" s="2" t="n">
        <f aca="false">L5-L6</f>
        <v>190279.61359652</v>
      </c>
      <c r="M7" s="2" t="n">
        <f aca="false">M5-M6</f>
        <v>228335.536315824</v>
      </c>
      <c r="N7" s="2" t="n">
        <f aca="false">N5-N6</f>
        <v>274002.643578989</v>
      </c>
    </row>
    <row r="8" customFormat="false" ht="12.75" hidden="false" customHeight="false" outlineLevel="0" collapsed="false">
      <c r="A8" s="88"/>
      <c r="B8" s="88"/>
      <c r="C8" s="88"/>
      <c r="D8" s="96"/>
    </row>
    <row r="9" customFormat="false" ht="12.75" hidden="false" customHeight="false" outlineLevel="0" collapsed="false">
      <c r="A9" s="2" t="s">
        <v>66</v>
      </c>
      <c r="B9" s="2" t="n">
        <v>6304</v>
      </c>
      <c r="C9" s="2" t="n">
        <v>7959</v>
      </c>
      <c r="D9" s="97" t="n">
        <v>0.2</v>
      </c>
      <c r="E9" s="2" t="n">
        <f aca="false">(D9*'Balance Sheet'!C10)+('Balance Sheet'!C11-'Balance Sheet'!E11)</f>
        <v>7164.83333333333</v>
      </c>
      <c r="F9" s="2" t="n">
        <f aca="false">($D$9*'Balance Sheet'!E10)+('Balance Sheet'!E11-'Balance Sheet'!F11)</f>
        <v>9925.67253333333</v>
      </c>
      <c r="G9" s="2" t="n">
        <f aca="false">($D$9*'Balance Sheet'!F10)+('Balance Sheet'!F11-'Balance Sheet'!G11)</f>
        <v>14572.9921333333</v>
      </c>
      <c r="H9" s="2" t="n">
        <f aca="false">($D$9*'Balance Sheet'!G10)+('Balance Sheet'!G11-'Balance Sheet'!H11)</f>
        <v>20149.7756533333</v>
      </c>
      <c r="I9" s="2" t="n">
        <f aca="false">($D$9*'Balance Sheet'!H10)+('Balance Sheet'!H11-'Balance Sheet'!I11)</f>
        <v>26005.3983493333</v>
      </c>
      <c r="J9" s="2" t="n">
        <f aca="false">($D$9*'Balance Sheet'!I10)+('Balance Sheet'!I11-'Balance Sheet'!J11)</f>
        <v>31080.2713525333</v>
      </c>
      <c r="K9" s="2" t="n">
        <f aca="false">($D$9*'Balance Sheet'!J10)+('Balance Sheet'!J11-'Balance Sheet'!K11)</f>
        <v>37170.1189563733</v>
      </c>
      <c r="L9" s="2" t="n">
        <f aca="false">($D$9*'Balance Sheet'!K10)+('Balance Sheet'!K11-'Balance Sheet'!L11)</f>
        <v>44477.9360809813</v>
      </c>
      <c r="M9" s="2" t="n">
        <f aca="false">($D$9*'Balance Sheet'!L10)+('Balance Sheet'!L11-'Balance Sheet'!M11)</f>
        <v>53247.3166305109</v>
      </c>
      <c r="N9" s="2" t="n">
        <f aca="false">($D$9*'Balance Sheet'!M10)+('Balance Sheet'!M11-'Balance Sheet'!N11)</f>
        <v>63770.5732899464</v>
      </c>
    </row>
    <row r="10" customFormat="false" ht="12.75" hidden="false" customHeight="false" outlineLevel="0" collapsed="false">
      <c r="A10" s="2" t="s">
        <v>67</v>
      </c>
      <c r="B10" s="2" t="n">
        <v>0</v>
      </c>
      <c r="C10" s="2" t="n">
        <v>0</v>
      </c>
      <c r="D10" s="67" t="s">
        <v>56</v>
      </c>
      <c r="E10" s="2" t="n">
        <f aca="false">-('Balance Sheet'!E12-'Balance Sheet'!C12)</f>
        <v>-1690.254</v>
      </c>
      <c r="F10" s="2" t="n">
        <f aca="false">-('Balance Sheet'!F12-'Balance Sheet'!E12)</f>
        <v>-3168.627</v>
      </c>
      <c r="G10" s="2" t="n">
        <f aca="false">-('Balance Sheet'!G12-'Balance Sheet'!F12)</f>
        <v>-3802.3524</v>
      </c>
      <c r="H10" s="2" t="n">
        <f aca="false">-('Balance Sheet'!H12-'Balance Sheet'!G12)</f>
        <v>-3992.47002</v>
      </c>
      <c r="I10" s="2" t="n">
        <f aca="false">-('Balance Sheet'!I12-'Balance Sheet'!H12)</f>
        <v>-3460.140684</v>
      </c>
      <c r="J10" s="2" t="n">
        <f aca="false">-('Balance Sheet'!J12-'Balance Sheet'!I12)</f>
        <v>-4152.1688208</v>
      </c>
      <c r="K10" s="2" t="n">
        <f aca="false">-('Balance Sheet'!K12-'Balance Sheet'!J12)</f>
        <v>-4982.60258496</v>
      </c>
      <c r="L10" s="2" t="n">
        <f aca="false">-('Balance Sheet'!L12-'Balance Sheet'!K12)</f>
        <v>-5979.123101952</v>
      </c>
      <c r="M10" s="2" t="n">
        <f aca="false">-('Balance Sheet'!M12-'Balance Sheet'!L12)</f>
        <v>-7174.9477223424</v>
      </c>
      <c r="N10" s="2" t="n">
        <f aca="false">-('Balance Sheet'!N12-'Balance Sheet'!M12)</f>
        <v>-8609.93726681087</v>
      </c>
    </row>
    <row r="11" customFormat="false" ht="12.75" hidden="false" customHeight="false" outlineLevel="0" collapsed="false">
      <c r="A11" s="23" t="s">
        <v>68</v>
      </c>
      <c r="B11" s="23" t="n">
        <v>-3748</v>
      </c>
      <c r="C11" s="23" t="n">
        <v>119</v>
      </c>
      <c r="D11" s="67" t="s">
        <v>56</v>
      </c>
      <c r="E11" s="23" t="n">
        <f aca="false">'Balance Sheet'!E19-'Balance Sheet'!C19</f>
        <v>3908.672</v>
      </c>
      <c r="F11" s="2" t="n">
        <f aca="false">'Balance Sheet'!F19-'Balance Sheet'!E19</f>
        <v>4224.836</v>
      </c>
      <c r="G11" s="2" t="n">
        <f aca="false">'Balance Sheet'!G19-'Balance Sheet'!F19</f>
        <v>5069.8032</v>
      </c>
      <c r="H11" s="2" t="n">
        <f aca="false">'Balance Sheet'!H19-'Balance Sheet'!G19</f>
        <v>5323.29336</v>
      </c>
      <c r="I11" s="2" t="n">
        <f aca="false">'Balance Sheet'!I19-'Balance Sheet'!H19</f>
        <v>4613.520912</v>
      </c>
      <c r="J11" s="2" t="n">
        <f aca="false">'Balance Sheet'!J19-'Balance Sheet'!I19</f>
        <v>5536.22509439999</v>
      </c>
      <c r="K11" s="2" t="n">
        <f aca="false">'Balance Sheet'!K19-'Balance Sheet'!J19</f>
        <v>6643.47011328</v>
      </c>
      <c r="L11" s="2" t="n">
        <f aca="false">'Balance Sheet'!L19-'Balance Sheet'!K19</f>
        <v>7972.164135936</v>
      </c>
      <c r="M11" s="2" t="n">
        <f aca="false">'Balance Sheet'!M19-'Balance Sheet'!L19</f>
        <v>9566.59696312319</v>
      </c>
      <c r="N11" s="2" t="n">
        <f aca="false">'Balance Sheet'!N19-'Balance Sheet'!M19</f>
        <v>11479.9163557478</v>
      </c>
    </row>
    <row r="12" customFormat="false" ht="12.75" hidden="false" customHeight="false" outlineLevel="0" collapsed="false">
      <c r="A12" s="98" t="s">
        <v>69</v>
      </c>
      <c r="B12" s="2" t="n">
        <v>-6499</v>
      </c>
      <c r="C12" s="2" t="n">
        <v>-6210</v>
      </c>
      <c r="D12" s="67" t="s">
        <v>56</v>
      </c>
      <c r="E12" s="2" t="n">
        <f aca="false">-('Balance Sheet'!E6-'Balance Sheet'!C6)</f>
        <v>-30355.72</v>
      </c>
      <c r="F12" s="2" t="n">
        <f aca="false">-('Balance Sheet'!F6-'Balance Sheet'!E6)</f>
        <v>-42248.36</v>
      </c>
      <c r="G12" s="2" t="n">
        <f aca="false">-('Balance Sheet'!G6-'Balance Sheet'!F6)</f>
        <v>-50698.032</v>
      </c>
      <c r="H12" s="2" t="n">
        <f aca="false">-('Balance Sheet'!H6-'Balance Sheet'!G6)</f>
        <v>-53232.9336</v>
      </c>
      <c r="I12" s="2" t="n">
        <f aca="false">-('Balance Sheet'!I6-'Balance Sheet'!H6)</f>
        <v>-46135.20912</v>
      </c>
      <c r="J12" s="2" t="n">
        <f aca="false">-('Balance Sheet'!J6-'Balance Sheet'!I6)</f>
        <v>-55362.250944</v>
      </c>
      <c r="K12" s="2" t="n">
        <f aca="false">-('Balance Sheet'!K6-'Balance Sheet'!J6)</f>
        <v>-66434.7011328</v>
      </c>
      <c r="L12" s="2" t="n">
        <f aca="false">-('Balance Sheet'!L6-'Balance Sheet'!K6)</f>
        <v>-79721.64135936</v>
      </c>
      <c r="M12" s="2" t="n">
        <f aca="false">-('Balance Sheet'!M6-'Balance Sheet'!L6)</f>
        <v>-95665.969631232</v>
      </c>
      <c r="N12" s="2" t="n">
        <f aca="false">-('Balance Sheet'!N6-'Balance Sheet'!M6)</f>
        <v>-114799.163557478</v>
      </c>
    </row>
    <row r="13" customFormat="false" ht="12.75" hidden="false" customHeight="false" outlineLevel="0" collapsed="false">
      <c r="A13" s="98" t="s">
        <v>70</v>
      </c>
      <c r="B13" s="2" t="n">
        <v>10607</v>
      </c>
      <c r="C13" s="2" t="n">
        <v>-13892</v>
      </c>
      <c r="D13" s="67" t="s">
        <v>56</v>
      </c>
      <c r="E13" s="2" t="n">
        <f aca="false">-('Balance Sheet'!E7-'Balance Sheet'!C7)</f>
        <v>-30854.064</v>
      </c>
      <c r="F13" s="2" t="n">
        <f aca="false">-('Balance Sheet'!F7-'Balance Sheet'!E7)</f>
        <v>-50698.032</v>
      </c>
      <c r="G13" s="2" t="n">
        <f aca="false">-('Balance Sheet'!G7-'Balance Sheet'!F7)</f>
        <v>-60837.6384</v>
      </c>
      <c r="H13" s="2" t="n">
        <f aca="false">-('Balance Sheet'!H7-'Balance Sheet'!G7)</f>
        <v>-63879.52032</v>
      </c>
      <c r="I13" s="2" t="n">
        <f aca="false">-('Balance Sheet'!I7-'Balance Sheet'!H7)</f>
        <v>-55362.250944</v>
      </c>
      <c r="J13" s="2" t="n">
        <f aca="false">-('Balance Sheet'!J7-'Balance Sheet'!I7)</f>
        <v>-66434.7011328</v>
      </c>
      <c r="K13" s="2" t="n">
        <f aca="false">-('Balance Sheet'!K7-'Balance Sheet'!J7)</f>
        <v>-79721.64135936</v>
      </c>
      <c r="L13" s="2" t="n">
        <f aca="false">-('Balance Sheet'!L7-'Balance Sheet'!K7)</f>
        <v>-95665.969631232</v>
      </c>
      <c r="M13" s="2" t="n">
        <f aca="false">-('Balance Sheet'!M7-'Balance Sheet'!L7)</f>
        <v>-114799.163557478</v>
      </c>
      <c r="N13" s="2" t="n">
        <f aca="false">-('Balance Sheet'!N7-'Balance Sheet'!M7)</f>
        <v>-137758.996268974</v>
      </c>
    </row>
    <row r="14" customFormat="false" ht="12.75" hidden="false" customHeight="false" outlineLevel="0" collapsed="false">
      <c r="A14" s="98" t="s">
        <v>71</v>
      </c>
      <c r="B14" s="2" t="n">
        <v>4826</v>
      </c>
      <c r="C14" s="2" t="n">
        <v>-6440</v>
      </c>
      <c r="D14" s="67" t="s">
        <v>56</v>
      </c>
      <c r="E14" s="2" t="n">
        <f aca="false">-('Balance Sheet'!E8-'Balance Sheet'!C8)</f>
        <v>-2819.926</v>
      </c>
      <c r="F14" s="2" t="n">
        <f aca="false">-('Balance Sheet'!F8-'Balance Sheet'!E8)</f>
        <v>-7393.463</v>
      </c>
      <c r="G14" s="2" t="n">
        <f aca="false">-('Balance Sheet'!G8-'Balance Sheet'!F8)</f>
        <v>-8872.1556</v>
      </c>
      <c r="H14" s="2" t="n">
        <f aca="false">-('Balance Sheet'!H8-'Balance Sheet'!G8)</f>
        <v>-9315.76338</v>
      </c>
      <c r="I14" s="2" t="n">
        <f aca="false">-('Balance Sheet'!I8-'Balance Sheet'!H8)</f>
        <v>-8073.661596</v>
      </c>
      <c r="J14" s="2" t="n">
        <f aca="false">-('Balance Sheet'!J8-'Balance Sheet'!I8)</f>
        <v>-9688.3939152</v>
      </c>
      <c r="K14" s="2" t="n">
        <f aca="false">-('Balance Sheet'!K8-'Balance Sheet'!J8)</f>
        <v>-11626.07269824</v>
      </c>
      <c r="L14" s="2" t="n">
        <f aca="false">-('Balance Sheet'!L8-'Balance Sheet'!K8)</f>
        <v>-13951.287237888</v>
      </c>
      <c r="M14" s="2" t="n">
        <f aca="false">-('Balance Sheet'!M8-'Balance Sheet'!L8)</f>
        <v>-16741.5446854656</v>
      </c>
      <c r="N14" s="2" t="n">
        <f aca="false">-('Balance Sheet'!N8-'Balance Sheet'!M8)</f>
        <v>-20089.8536225587</v>
      </c>
    </row>
    <row r="15" customFormat="false" ht="12.75" hidden="false" customHeight="false" outlineLevel="0" collapsed="false">
      <c r="A15" s="98" t="s">
        <v>72</v>
      </c>
      <c r="B15" s="2" t="n">
        <v>5724</v>
      </c>
      <c r="C15" s="2" t="n">
        <v>1841</v>
      </c>
      <c r="D15" s="67" t="s">
        <v>56</v>
      </c>
      <c r="E15" s="2" t="n">
        <f aca="false">'Balance Sheet'!E16-'Balance Sheet'!C16</f>
        <v>11228.016</v>
      </c>
      <c r="F15" s="2" t="n">
        <f aca="false">'Balance Sheet'!F16-'Balance Sheet'!E16</f>
        <v>12674.508</v>
      </c>
      <c r="G15" s="2" t="n">
        <f aca="false">'Balance Sheet'!G16-'Balance Sheet'!F16</f>
        <v>15209.4096</v>
      </c>
      <c r="H15" s="2" t="n">
        <f aca="false">'Balance Sheet'!H16-'Balance Sheet'!G16</f>
        <v>15969.88008</v>
      </c>
      <c r="I15" s="2" t="n">
        <f aca="false">'Balance Sheet'!I16-'Balance Sheet'!H16</f>
        <v>13840.562736</v>
      </c>
      <c r="J15" s="2" t="n">
        <f aca="false">'Balance Sheet'!J16-'Balance Sheet'!I16</f>
        <v>16608.6752832</v>
      </c>
      <c r="K15" s="2" t="n">
        <f aca="false">'Balance Sheet'!K16-'Balance Sheet'!J16</f>
        <v>19930.41033984</v>
      </c>
      <c r="L15" s="2" t="n">
        <f aca="false">'Balance Sheet'!L16-'Balance Sheet'!K16</f>
        <v>23916.492407808</v>
      </c>
      <c r="M15" s="2" t="n">
        <f aca="false">'Balance Sheet'!M16-'Balance Sheet'!L16</f>
        <v>28699.7908893696</v>
      </c>
      <c r="N15" s="2" t="n">
        <f aca="false">'Balance Sheet'!N16-'Balance Sheet'!M16</f>
        <v>34439.7490672435</v>
      </c>
    </row>
    <row r="16" customFormat="false" ht="12.75" hidden="false" customHeight="false" outlineLevel="0" collapsed="false">
      <c r="A16" s="65" t="s">
        <v>73</v>
      </c>
      <c r="B16" s="38" t="n">
        <v>2326</v>
      </c>
      <c r="C16" s="38" t="n">
        <v>3712</v>
      </c>
      <c r="D16" s="99" t="s">
        <v>56</v>
      </c>
      <c r="E16" s="38" t="n">
        <f aca="false">'Balance Sheet'!E17-'Balance Sheet'!C17</f>
        <v>2141.1472</v>
      </c>
      <c r="F16" s="38" t="n">
        <f aca="false">'Balance Sheet'!F17-'Balance Sheet'!E17</f>
        <v>10984.5736</v>
      </c>
      <c r="G16" s="38" t="n">
        <f aca="false">'Balance Sheet'!G17-'Balance Sheet'!F17</f>
        <v>13181.48832</v>
      </c>
      <c r="H16" s="38" t="n">
        <f aca="false">'Balance Sheet'!H17-'Balance Sheet'!G17</f>
        <v>13840.562736</v>
      </c>
      <c r="I16" s="38" t="n">
        <f aca="false">'Balance Sheet'!I17-'Balance Sheet'!H17</f>
        <v>11995.1543712</v>
      </c>
      <c r="J16" s="38" t="n">
        <f aca="false">'Balance Sheet'!J17-'Balance Sheet'!I17</f>
        <v>14394.18524544</v>
      </c>
      <c r="K16" s="38" t="n">
        <f aca="false">'Balance Sheet'!K17-'Balance Sheet'!J17</f>
        <v>17273.022294528</v>
      </c>
      <c r="L16" s="38" t="n">
        <f aca="false">'Balance Sheet'!L17-'Balance Sheet'!K17</f>
        <v>20727.6267534336</v>
      </c>
      <c r="M16" s="38" t="n">
        <f aca="false">'Balance Sheet'!M17-'Balance Sheet'!L17</f>
        <v>24873.1521041203</v>
      </c>
      <c r="N16" s="38" t="n">
        <f aca="false">'Balance Sheet'!N17-'Balance Sheet'!M17</f>
        <v>29847.7825249444</v>
      </c>
      <c r="O16" s="23"/>
    </row>
    <row r="17" customFormat="false" ht="12.75" hidden="false" customHeight="false" outlineLevel="0" collapsed="false">
      <c r="A17" s="88" t="s">
        <v>74</v>
      </c>
      <c r="B17" s="88" t="n">
        <f aca="false">SUM(B7:B16)</f>
        <v>31642.3141589144</v>
      </c>
      <c r="C17" s="88" t="n">
        <f aca="false">SUM(C7:C16)</f>
        <v>3766.94689194168</v>
      </c>
      <c r="D17" s="96"/>
      <c r="E17" s="2" t="n">
        <f aca="false">SUM(E7:E16)</f>
        <v>-7664.50025066667</v>
      </c>
      <c r="F17" s="2" t="n">
        <f aca="false">SUM(F7:F16)</f>
        <v>-15279.6990426667</v>
      </c>
      <c r="G17" s="2" t="n">
        <f aca="false">SUM(G7:G16)</f>
        <v>-5589.61519306665</v>
      </c>
      <c r="H17" s="2" t="n">
        <f aca="false">SUM(H7:H16)</f>
        <v>16625.7554490133</v>
      </c>
      <c r="I17" s="2" t="n">
        <f aca="false">SUM(I7:I16)</f>
        <v>53538.8911521494</v>
      </c>
      <c r="J17" s="2" t="n">
        <f aca="false">SUM(J7:J16)</f>
        <v>64120.4627159126</v>
      </c>
      <c r="K17" s="2" t="n">
        <f aca="false">SUM(K7:K16)</f>
        <v>76818.3485924284</v>
      </c>
      <c r="L17" s="2" t="n">
        <f aca="false">SUM(L7:L16)</f>
        <v>92055.8116442475</v>
      </c>
      <c r="M17" s="2" t="n">
        <f aca="false">SUM(M7:M16)</f>
        <v>110340.76730643</v>
      </c>
      <c r="N17" s="2" t="n">
        <f aca="false">SUM(N7:N16)</f>
        <v>132282.71410105</v>
      </c>
    </row>
    <row r="18" customFormat="false" ht="12.75" hidden="false" customHeight="false" outlineLevel="0" collapsed="false">
      <c r="A18" s="88"/>
      <c r="B18" s="88"/>
      <c r="C18" s="88"/>
      <c r="D18" s="96"/>
    </row>
    <row r="19" customFormat="false" ht="12.75" hidden="false" customHeight="false" outlineLevel="0" collapsed="false">
      <c r="A19" s="38" t="s">
        <v>75</v>
      </c>
      <c r="B19" s="38"/>
      <c r="C19" s="38"/>
      <c r="D19" s="99" t="s">
        <v>76</v>
      </c>
      <c r="E19" s="38" t="n">
        <f aca="false">('Balance Sheet'!E10-'Balance Sheet'!C10)+(D9*'Balance Sheet'!C10)</f>
        <v>20337.996</v>
      </c>
      <c r="F19" s="38" t="n">
        <f aca="false">('Balance Sheet'!F10-'Balance Sheet'!E10)+($D$9*'Balance Sheet'!E10)</f>
        <v>32531.2372</v>
      </c>
      <c r="G19" s="38" t="n">
        <f aca="false">('Balance Sheet'!G10-'Balance Sheet'!F10)+($D$9*'Balance Sheet'!F10)</f>
        <v>41825.8764</v>
      </c>
      <c r="H19" s="38" t="n">
        <f aca="false">('Balance Sheet'!H10-'Balance Sheet'!G10)+($D$9*'Balance Sheet'!G10)</f>
        <v>48796.8558</v>
      </c>
      <c r="I19" s="38" t="n">
        <f aca="false">('Balance Sheet'!I10-'Balance Sheet'!H10)+($D$9*'Balance Sheet'!H10)</f>
        <v>50748.730032</v>
      </c>
      <c r="J19" s="38" t="n">
        <f aca="false">('Balance Sheet'!J10-'Balance Sheet'!I10)+($D$9*'Balance Sheet'!I10)</f>
        <v>60898.4760384</v>
      </c>
      <c r="K19" s="38" t="n">
        <f aca="false">('Balance Sheet'!K10-'Balance Sheet'!J10)+($D$9*'Balance Sheet'!J10)</f>
        <v>73078.17124608</v>
      </c>
      <c r="L19" s="38" t="n">
        <f aca="false">('Balance Sheet'!L10-'Balance Sheet'!K10)+($D$9*'Balance Sheet'!K10)</f>
        <v>87693.8054952959</v>
      </c>
      <c r="M19" s="38" t="n">
        <f aca="false">('Balance Sheet'!M10-'Balance Sheet'!L10)+($D$9*'Balance Sheet'!L10)</f>
        <v>105232.566594355</v>
      </c>
      <c r="N19" s="38" t="n">
        <f aca="false">('Balance Sheet'!N10-'Balance Sheet'!M10)+($D$9*'Balance Sheet'!M10)</f>
        <v>126279.079913226</v>
      </c>
    </row>
    <row r="20" customFormat="false" ht="12.75" hidden="false" customHeight="false" outlineLevel="0" collapsed="false">
      <c r="A20" s="88" t="s">
        <v>77</v>
      </c>
      <c r="B20" s="88"/>
      <c r="C20" s="88"/>
      <c r="D20" s="96"/>
      <c r="E20" s="2" t="n">
        <f aca="false">E17-E19</f>
        <v>-28002.4962506667</v>
      </c>
      <c r="F20" s="2" t="n">
        <f aca="false">F17-F19</f>
        <v>-47810.9362426667</v>
      </c>
      <c r="G20" s="2" t="n">
        <f aca="false">G17-G19</f>
        <v>-47415.4915930666</v>
      </c>
      <c r="H20" s="2" t="n">
        <f aca="false">H17-H19</f>
        <v>-32171.1003509867</v>
      </c>
      <c r="I20" s="2" t="n">
        <f aca="false">I17-I19</f>
        <v>2790.16112014939</v>
      </c>
      <c r="J20" s="2" t="n">
        <f aca="false">J17-J19</f>
        <v>3221.98667751258</v>
      </c>
      <c r="K20" s="2" t="n">
        <f aca="false">K17-K19</f>
        <v>3740.17734634844</v>
      </c>
      <c r="L20" s="2" t="n">
        <f aca="false">L17-L19</f>
        <v>4362.00614895154</v>
      </c>
      <c r="M20" s="2" t="n">
        <f aca="false">M17-M19</f>
        <v>5108.20071207496</v>
      </c>
      <c r="N20" s="2" t="n">
        <f aca="false">N17-N19</f>
        <v>6003.63418782339</v>
      </c>
    </row>
    <row r="21" customFormat="false" ht="12.75" hidden="false" customHeight="false" outlineLevel="0" collapsed="false">
      <c r="A21" s="88"/>
      <c r="B21" s="88"/>
      <c r="C21" s="88"/>
      <c r="D21" s="96"/>
    </row>
    <row r="22" customFormat="false" ht="12.75" hidden="false" customHeight="false" outlineLevel="0" collapsed="false">
      <c r="A22" s="38" t="s">
        <v>78</v>
      </c>
      <c r="B22" s="100"/>
      <c r="C22" s="100"/>
      <c r="D22" s="101" t="n">
        <v>0</v>
      </c>
      <c r="E22" s="38"/>
      <c r="F22" s="38"/>
      <c r="G22" s="38"/>
      <c r="H22" s="38"/>
      <c r="I22" s="38"/>
      <c r="J22" s="38"/>
      <c r="K22" s="38"/>
      <c r="L22" s="38"/>
      <c r="M22" s="38"/>
      <c r="N22" s="38" t="n">
        <f aca="false">N7/(D25-D22)</f>
        <v>2740026.43578989</v>
      </c>
    </row>
    <row r="23" customFormat="false" ht="12.75" hidden="false" customHeight="false" outlineLevel="0" collapsed="false">
      <c r="A23" s="2" t="s">
        <v>79</v>
      </c>
      <c r="B23" s="88"/>
      <c r="C23" s="88"/>
      <c r="D23" s="102"/>
      <c r="E23" s="2" t="n">
        <f aca="false">E20+E22</f>
        <v>-28002.4962506667</v>
      </c>
      <c r="F23" s="2" t="n">
        <f aca="false">F20+F22</f>
        <v>-47810.9362426667</v>
      </c>
      <c r="G23" s="2" t="n">
        <f aca="false">G20+G22</f>
        <v>-47415.4915930666</v>
      </c>
      <c r="H23" s="2" t="n">
        <f aca="false">H20+H22</f>
        <v>-32171.1003509867</v>
      </c>
      <c r="I23" s="2" t="n">
        <f aca="false">I20+I22</f>
        <v>2790.16112014939</v>
      </c>
      <c r="J23" s="2" t="n">
        <f aca="false">J20+J22</f>
        <v>3221.98667751258</v>
      </c>
      <c r="K23" s="2" t="n">
        <f aca="false">K20+K22</f>
        <v>3740.17734634844</v>
      </c>
      <c r="L23" s="2" t="n">
        <f aca="false">L20+L22</f>
        <v>4362.00614895154</v>
      </c>
      <c r="M23" s="2" t="n">
        <f aca="false">M20+M22</f>
        <v>5108.20071207496</v>
      </c>
      <c r="N23" s="2" t="n">
        <f aca="false">N20+N22</f>
        <v>2746030.06997772</v>
      </c>
    </row>
    <row r="24" customFormat="false" ht="12.75" hidden="false" customHeight="false" outlineLevel="0" collapsed="false">
      <c r="B24" s="88"/>
      <c r="C24" s="88"/>
      <c r="D24" s="102"/>
    </row>
    <row r="25" customFormat="false" ht="12.75" hidden="false" customHeight="false" outlineLevel="0" collapsed="false">
      <c r="A25" s="103" t="s">
        <v>80</v>
      </c>
      <c r="B25" s="103"/>
      <c r="C25" s="103"/>
      <c r="D25" s="104" t="n">
        <v>0.1</v>
      </c>
      <c r="E25" s="105" t="n">
        <f aca="false">1/((1+$D$25)^(E4-$C$4))</f>
        <v>0.909090909090909</v>
      </c>
      <c r="F25" s="105" t="n">
        <f aca="false">1/((1+$D$25)^(F4-$C$4))</f>
        <v>0.826446280991735</v>
      </c>
      <c r="G25" s="105" t="n">
        <f aca="false">1/((1+$D$25)^(G4-$C$4))</f>
        <v>0.751314800901578</v>
      </c>
      <c r="H25" s="105" t="n">
        <f aca="false">1/((1+$D$25)^(H4-$C$4))</f>
        <v>0.683013455365071</v>
      </c>
      <c r="I25" s="105" t="n">
        <f aca="false">1/((1+$D$25)^(I4-$C$4))</f>
        <v>0.620921323059155</v>
      </c>
      <c r="J25" s="105" t="n">
        <f aca="false">1/((1+$D$25)^(J4-$C$4))</f>
        <v>0.564473930053777</v>
      </c>
      <c r="K25" s="105" t="n">
        <f aca="false">1/((1+$D$25)^(K4-$C$4))</f>
        <v>0.513158118230707</v>
      </c>
      <c r="L25" s="105" t="n">
        <f aca="false">1/((1+$D$25)^(L4-$C$4))</f>
        <v>0.466507380209733</v>
      </c>
      <c r="M25" s="105" t="n">
        <f aca="false">1/((1+$D$25)^(M4-$C$4))</f>
        <v>0.424097618372485</v>
      </c>
      <c r="N25" s="105" t="n">
        <f aca="false">1/((1+$D$25)^(N4-$C$4))</f>
        <v>0.385543289429531</v>
      </c>
    </row>
    <row r="26" customFormat="false" ht="12.75" hidden="false" customHeight="false" outlineLevel="0" collapsed="false">
      <c r="A26" s="106" t="s">
        <v>81</v>
      </c>
      <c r="D26" s="58"/>
      <c r="E26" s="2" t="n">
        <f aca="false">E23*E25</f>
        <v>-25456.8147733333</v>
      </c>
      <c r="F26" s="2" t="n">
        <f aca="false">F23*F25</f>
        <v>-39513.1704484848</v>
      </c>
      <c r="G26" s="2" t="n">
        <f aca="false">G23*G25</f>
        <v>-35623.9606258953</v>
      </c>
      <c r="H26" s="2" t="n">
        <f aca="false">H23*H25</f>
        <v>-21973.2944136238</v>
      </c>
      <c r="I26" s="2" t="n">
        <f aca="false">I23*I25</f>
        <v>1732.47053427137</v>
      </c>
      <c r="J26" s="2" t="n">
        <f aca="false">J23*J25</f>
        <v>1818.72748243644</v>
      </c>
      <c r="K26" s="2" t="n">
        <f aca="false">K23*K25</f>
        <v>1919.30236890128</v>
      </c>
      <c r="L26" s="2" t="n">
        <f aca="false">L23*L25</f>
        <v>2034.90806100613</v>
      </c>
      <c r="M26" s="2" t="n">
        <f aca="false">M23*M25</f>
        <v>2166.37575615962</v>
      </c>
      <c r="N26" s="2" t="n">
        <f aca="false">N23*N25</f>
        <v>1058713.46605162</v>
      </c>
    </row>
    <row r="27" customFormat="false" ht="12.75" hidden="false" customHeight="false" outlineLevel="0" collapsed="false">
      <c r="A27" s="106"/>
      <c r="D27" s="58"/>
    </row>
    <row r="28" customFormat="false" ht="12.75" hidden="false" customHeight="false" outlineLevel="0" collapsed="false">
      <c r="A28" s="107" t="s">
        <v>82</v>
      </c>
      <c r="B28" s="108" t="n">
        <f aca="false">SUM(E26:N26)</f>
        <v>945818.009993053</v>
      </c>
      <c r="C28" s="80"/>
      <c r="D28" s="2"/>
    </row>
    <row r="29" customFormat="false" ht="12.75" hidden="false" customHeight="false" outlineLevel="0" collapsed="false">
      <c r="A29" s="109" t="s">
        <v>83</v>
      </c>
      <c r="B29" s="110" t="n">
        <f aca="false">-('Balance Sheet'!C20+'Balance Sheet'!C15)</f>
        <v>-51027</v>
      </c>
      <c r="C29" s="80"/>
      <c r="D29" s="2"/>
    </row>
    <row r="30" customFormat="false" ht="12.75" hidden="false" customHeight="false" outlineLevel="0" collapsed="false">
      <c r="A30" s="109" t="s">
        <v>84</v>
      </c>
      <c r="B30" s="111" t="n">
        <v>0</v>
      </c>
      <c r="C30" s="80"/>
      <c r="D30" s="2"/>
    </row>
    <row r="31" customFormat="false" ht="12.75" hidden="false" customHeight="false" outlineLevel="0" collapsed="false">
      <c r="A31" s="109" t="s">
        <v>85</v>
      </c>
      <c r="B31" s="110" t="n">
        <f aca="false">SUM(B28:B30)</f>
        <v>894791.009993053</v>
      </c>
      <c r="C31" s="80"/>
      <c r="D31" s="2"/>
    </row>
    <row r="32" customFormat="false" ht="12.75" hidden="false" customHeight="false" outlineLevel="0" collapsed="false">
      <c r="A32" s="112" t="s">
        <v>86</v>
      </c>
      <c r="B32" s="110" t="n">
        <v>11241</v>
      </c>
      <c r="C32" s="80"/>
      <c r="D32" s="2"/>
    </row>
    <row r="33" customFormat="false" ht="12.75" hidden="false" customHeight="false" outlineLevel="0" collapsed="false">
      <c r="A33" s="113" t="s">
        <v>87</v>
      </c>
      <c r="B33" s="114" t="n">
        <f aca="false">B31/B32</f>
        <v>79.6006591934038</v>
      </c>
      <c r="C33" s="80"/>
      <c r="D33" s="2"/>
    </row>
    <row r="34" customFormat="false" ht="12.75" hidden="false" customHeight="false" outlineLevel="0" collapsed="false">
      <c r="B34" s="23"/>
      <c r="C34" s="23"/>
      <c r="D34" s="33"/>
    </row>
    <row r="35" customFormat="false" ht="12.75" hidden="false" customHeight="false" outlineLevel="0" collapsed="false">
      <c r="D35" s="58"/>
    </row>
    <row r="36" customFormat="false" ht="12.75" hidden="false" customHeight="false" outlineLevel="0" collapsed="false">
      <c r="A36" s="59" t="s">
        <v>88</v>
      </c>
      <c r="B36" s="12" t="n">
        <v>1991</v>
      </c>
      <c r="C36" s="12" t="n">
        <v>1992</v>
      </c>
      <c r="D36" s="115"/>
      <c r="E36" s="12" t="n">
        <f aca="false">C36+1</f>
        <v>1993</v>
      </c>
      <c r="F36" s="12" t="n">
        <f aca="false">E36+1</f>
        <v>1994</v>
      </c>
      <c r="G36" s="12" t="n">
        <f aca="false">F36+1</f>
        <v>1995</v>
      </c>
      <c r="H36" s="12" t="n">
        <f aca="false">G36+1</f>
        <v>1996</v>
      </c>
      <c r="I36" s="12" t="n">
        <f aca="false">H36+1</f>
        <v>1997</v>
      </c>
      <c r="J36" s="12" t="n">
        <f aca="false">I36+1</f>
        <v>1998</v>
      </c>
      <c r="K36" s="12" t="n">
        <f aca="false">J36+1</f>
        <v>1999</v>
      </c>
      <c r="L36" s="12" t="n">
        <f aca="false">K36+1</f>
        <v>2000</v>
      </c>
      <c r="M36" s="12" t="n">
        <f aca="false">L36+1</f>
        <v>2001</v>
      </c>
      <c r="N36" s="12" t="n">
        <f aca="false">M36+1</f>
        <v>2002</v>
      </c>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customFormat="false" ht="12.75" hidden="false" customHeight="false" outlineLevel="0" collapsed="false">
      <c r="A37" s="2" t="s">
        <v>89</v>
      </c>
      <c r="B37" s="116"/>
      <c r="C37" s="116" t="n">
        <f aca="false">C7/'Income Statement'!C5</f>
        <v>0.0572401461105601</v>
      </c>
      <c r="D37" s="117" t="s">
        <v>90</v>
      </c>
      <c r="E37" s="118" t="n">
        <f aca="false">E7/'Income Statement'!E5</f>
        <v>0.07956</v>
      </c>
      <c r="F37" s="118" t="n">
        <f aca="false">F7/'Income Statement'!F5</f>
        <v>0.07956</v>
      </c>
      <c r="G37" s="118" t="n">
        <f aca="false">G7/'Income Statement'!G5</f>
        <v>0.07956</v>
      </c>
      <c r="H37" s="118" t="n">
        <f aca="false">H7/'Income Statement'!H5</f>
        <v>0.07956</v>
      </c>
      <c r="I37" s="118" t="n">
        <f aca="false">I7/'Income Statement'!I5</f>
        <v>0.07956</v>
      </c>
      <c r="J37" s="118" t="n">
        <f aca="false">J7/'Income Statement'!J5</f>
        <v>0.07956</v>
      </c>
      <c r="K37" s="118" t="n">
        <f aca="false">K7/'Income Statement'!K5</f>
        <v>0.07956</v>
      </c>
      <c r="L37" s="118" t="n">
        <f aca="false">L7/'Income Statement'!L5</f>
        <v>0.07956</v>
      </c>
      <c r="M37" s="118" t="n">
        <f aca="false">M7/'Income Statement'!M5</f>
        <v>0.07956</v>
      </c>
      <c r="N37" s="118" t="n">
        <f aca="false">N7/'Income Statement'!N5</f>
        <v>0.07956</v>
      </c>
    </row>
    <row r="38" customFormat="false" ht="12.75" hidden="false" customHeight="false" outlineLevel="0" collapsed="false">
      <c r="A38" s="2" t="s">
        <v>91</v>
      </c>
      <c r="B38" s="119"/>
      <c r="C38" s="119" t="n">
        <f aca="false">'Income Statement'!C5/(('Balance Sheet'!B13+'Balance Sheet'!C13)/2)</f>
        <v>1.56823570254072</v>
      </c>
      <c r="D38" s="117" t="s">
        <v>92</v>
      </c>
      <c r="E38" s="119" t="n">
        <f aca="false">'Income Statement'!E5/(('Balance Sheet'!C13+'Balance Sheet'!E13)/2)</f>
        <v>1.80053401897436</v>
      </c>
      <c r="F38" s="119" t="n">
        <f aca="false">'Income Statement'!F5/(('Balance Sheet'!E13+'Balance Sheet'!F13)/2)</f>
        <v>1.86899958169944</v>
      </c>
      <c r="G38" s="119" t="n">
        <f aca="false">'Income Statement'!G5/(('Balance Sheet'!F13+'Balance Sheet'!G13)/2)</f>
        <v>1.84944664172551</v>
      </c>
      <c r="H38" s="119" t="n">
        <f aca="false">'Income Statement'!H5/(('Balance Sheet'!G13+'Balance Sheet'!H13)/2)</f>
        <v>1.81046351388238</v>
      </c>
      <c r="I38" s="119" t="n">
        <f aca="false">'Income Statement'!I5/(('Balance Sheet'!H13+'Balance Sheet'!I13)/2)</f>
        <v>1.75759416448556</v>
      </c>
      <c r="J38" s="119" t="n">
        <f aca="false">'Income Statement'!J5/(('Balance Sheet'!I13+'Balance Sheet'!J13)/2)</f>
        <v>1.76478297520736</v>
      </c>
      <c r="K38" s="119" t="n">
        <f aca="false">'Income Statement'!K5/(('Balance Sheet'!J13+'Balance Sheet'!K13)/2)</f>
        <v>1.77062017806935</v>
      </c>
      <c r="L38" s="119" t="n">
        <f aca="false">'Income Statement'!L5/(('Balance Sheet'!K13+'Balance Sheet'!L13)/2)</f>
        <v>1.7753477540153</v>
      </c>
      <c r="M38" s="119" t="n">
        <f aca="false">'Income Statement'!M5/(('Balance Sheet'!L13+'Balance Sheet'!M13)/2)</f>
        <v>1.77916751803914</v>
      </c>
      <c r="N38" s="119" t="n">
        <f aca="false">'Income Statement'!N5/(('Balance Sheet'!M13+'Balance Sheet'!N13)/2)</f>
        <v>1.78224682428276</v>
      </c>
    </row>
    <row r="39" customFormat="false" ht="12.75" hidden="false" customHeight="false" outlineLevel="0" collapsed="false">
      <c r="A39" s="2" t="s">
        <v>93</v>
      </c>
      <c r="B39" s="116"/>
      <c r="C39" s="116" t="n">
        <f aca="false">C37*C38</f>
        <v>0.089766040749228</v>
      </c>
      <c r="D39" s="67" t="s">
        <v>94</v>
      </c>
      <c r="E39" s="118" t="n">
        <f aca="false">E37*E38</f>
        <v>0.1432504865496</v>
      </c>
      <c r="F39" s="118" t="n">
        <f aca="false">F37*F38</f>
        <v>0.148697606720008</v>
      </c>
      <c r="G39" s="118" t="n">
        <f aca="false">G37*G38</f>
        <v>0.147141974815681</v>
      </c>
      <c r="H39" s="118" t="n">
        <f aca="false">H37*H38</f>
        <v>0.144040477164482</v>
      </c>
      <c r="I39" s="118" t="n">
        <f aca="false">I37*I38</f>
        <v>0.139834191726471</v>
      </c>
      <c r="J39" s="118" t="n">
        <f aca="false">J37*J38</f>
        <v>0.140406133507497</v>
      </c>
      <c r="K39" s="118" t="n">
        <f aca="false">K37*K38</f>
        <v>0.140870541367197</v>
      </c>
      <c r="L39" s="118" t="n">
        <f aca="false">L37*L38</f>
        <v>0.141246667309457</v>
      </c>
      <c r="M39" s="118" t="n">
        <f aca="false">M37*M38</f>
        <v>0.141550567735194</v>
      </c>
      <c r="N39" s="118" t="n">
        <f aca="false">N37*N38</f>
        <v>0.141795557339936</v>
      </c>
    </row>
    <row r="40" customFormat="false" ht="12.75" hidden="false" customHeight="false" outlineLevel="0" collapsed="false">
      <c r="A40" s="2" t="s">
        <v>95</v>
      </c>
      <c r="B40" s="120"/>
      <c r="C40" s="120" t="n">
        <f aca="false">'Income Statement'!C21/'Cash Flow, DCF, Ratios'!C7</f>
        <v>0.77461572960411</v>
      </c>
      <c r="D40" s="117" t="s">
        <v>96</v>
      </c>
      <c r="E40" s="120" t="n">
        <f aca="false">'Income Statement'!E21/'Cash Flow, DCF, Ratios'!E7</f>
        <v>0.882147626992957</v>
      </c>
      <c r="F40" s="120" t="n">
        <f aca="false">'Income Statement'!F21/'Cash Flow, DCF, Ratios'!F7</f>
        <v>0.886085590927531</v>
      </c>
      <c r="G40" s="120" t="n">
        <f aca="false">'Income Statement'!G21/'Cash Flow, DCF, Ratios'!G7</f>
        <v>0.884881251449707</v>
      </c>
      <c r="H40" s="120" t="n">
        <f aca="false">'Income Statement'!H21/'Cash Flow, DCF, Ratios'!H7</f>
        <v>0.882402500092684</v>
      </c>
      <c r="I40" s="120" t="n">
        <f aca="false">'Income Statement'!I21/'Cash Flow, DCF, Ratios'!I7</f>
        <v>0.878865105945377</v>
      </c>
      <c r="J40" s="120" t="n">
        <f aca="false">'Income Statement'!J21/'Cash Flow, DCF, Ratios'!J7</f>
        <v>0.879358546689875</v>
      </c>
      <c r="K40" s="120" t="n">
        <f aca="false">'Income Statement'!K21/'Cash Flow, DCF, Ratios'!K7</f>
        <v>0.879756265322735</v>
      </c>
      <c r="L40" s="120" t="n">
        <f aca="false">'Income Statement'!L21/'Cash Flow, DCF, Ratios'!L7</f>
        <v>0.880076462527156</v>
      </c>
      <c r="M40" s="120" t="n">
        <f aca="false">'Income Statement'!M21/'Cash Flow, DCF, Ratios'!M7</f>
        <v>0.880333931039483</v>
      </c>
      <c r="N40" s="120" t="n">
        <f aca="false">'Income Statement'!N21/'Cash Flow, DCF, Ratios'!N7</f>
        <v>0.880540686056958</v>
      </c>
    </row>
    <row r="41" customFormat="false" ht="12.75" hidden="false" customHeight="false" outlineLevel="0" collapsed="false">
      <c r="A41" s="2" t="s">
        <v>97</v>
      </c>
      <c r="B41" s="119"/>
      <c r="C41" s="119" t="n">
        <f aca="false">(('Balance Sheet'!B13+'Balance Sheet'!C13)/2)/(('Balance Sheet'!B26+'Balance Sheet'!C26)/2)</f>
        <v>1.87658828757853</v>
      </c>
      <c r="D41" s="117" t="s">
        <v>98</v>
      </c>
      <c r="E41" s="119" t="n">
        <f aca="false">(('Balance Sheet'!C13+'Balance Sheet'!E13)/2)/(('Balance Sheet'!C26+'Balance Sheet'!E26)/2)</f>
        <v>1.86905786606178</v>
      </c>
      <c r="F41" s="119" t="n">
        <f aca="false">(('Balance Sheet'!E13+'Balance Sheet'!F13)/2)/(('Balance Sheet'!E26+'Balance Sheet'!F26)/2)</f>
        <v>1.88889502103504</v>
      </c>
      <c r="G41" s="119" t="n">
        <f aca="false">(('Balance Sheet'!F13+'Balance Sheet'!G13)/2)/(('Balance Sheet'!F26+'Balance Sheet'!G26)/2)</f>
        <v>1.90205076572109</v>
      </c>
      <c r="H41" s="119" t="n">
        <f aca="false">(('Balance Sheet'!G13+'Balance Sheet'!H13)/2)/(('Balance Sheet'!G26+'Balance Sheet'!H26)/2)</f>
        <v>1.90987831179195</v>
      </c>
      <c r="I41" s="119" t="n">
        <f aca="false">(('Balance Sheet'!H13+'Balance Sheet'!I13)/2)/(('Balance Sheet'!H26+'Balance Sheet'!I26)/2)</f>
        <v>1.91449444294405</v>
      </c>
      <c r="J41" s="119" t="n">
        <f aca="false">(('Balance Sheet'!I13+'Balance Sheet'!J13)/2)/(('Balance Sheet'!I26+'Balance Sheet'!J26)/2)</f>
        <v>1.9176879985297</v>
      </c>
      <c r="K41" s="119" t="n">
        <f aca="false">(('Balance Sheet'!J13+'Balance Sheet'!K13)/2)/(('Balance Sheet'!J26+'Balance Sheet'!K26)/2)</f>
        <v>1.92028896463995</v>
      </c>
      <c r="L41" s="119" t="n">
        <f aca="false">(('Balance Sheet'!K13+'Balance Sheet'!L13)/2)/(('Balance Sheet'!K26+'Balance Sheet'!L26)/2)</f>
        <v>1.92240067514827</v>
      </c>
      <c r="M41" s="119" t="n">
        <f aca="false">(('Balance Sheet'!L13+'Balance Sheet'!M13)/2)/(('Balance Sheet'!L26+'Balance Sheet'!M26)/2)</f>
        <v>1.92411028012977</v>
      </c>
      <c r="N41" s="119" t="n">
        <f aca="false">(('Balance Sheet'!M13+'Balance Sheet'!N13)/2)/(('Balance Sheet'!M26+'Balance Sheet'!N26)/2)</f>
        <v>1.92549069502565</v>
      </c>
    </row>
    <row r="42" customFormat="false" ht="12.75" hidden="false" customHeight="false" outlineLevel="0" collapsed="false">
      <c r="A42" s="2" t="s">
        <v>99</v>
      </c>
      <c r="B42" s="118"/>
      <c r="C42" s="118" t="n">
        <f aca="false">C39*C40*C41</f>
        <v>0.130487041189423</v>
      </c>
      <c r="D42" s="67" t="s">
        <v>100</v>
      </c>
      <c r="E42" s="118" t="n">
        <f aca="false">E39*E40*E41</f>
        <v>0.236189247916004</v>
      </c>
      <c r="F42" s="118" t="n">
        <f aca="false">F39*F40*F41</f>
        <v>0.24887855399094</v>
      </c>
      <c r="G42" s="118" t="n">
        <f aca="false">G39*G40*G41</f>
        <v>0.247653048357484</v>
      </c>
      <c r="H42" s="118" t="n">
        <f aca="false">H39*H40*H41</f>
        <v>0.242748736608827</v>
      </c>
      <c r="I42" s="118" t="n">
        <f aca="false">I39*I40*I41</f>
        <v>0.235282544523762</v>
      </c>
      <c r="J42" s="118" t="n">
        <f aca="false">J39*J40*J41</f>
        <v>0.236771823677791</v>
      </c>
      <c r="K42" s="118" t="n">
        <f aca="false">K39*K40*K41</f>
        <v>0.237984755316042</v>
      </c>
      <c r="L42" s="118" t="n">
        <f aca="false">L39*L40*L41</f>
        <v>0.238969528041943</v>
      </c>
      <c r="M42" s="118" t="n">
        <f aca="false">M39*M40*M41</f>
        <v>0.23976678332443</v>
      </c>
      <c r="N42" s="118" t="n">
        <f aca="false">N39*N40*N41</f>
        <v>0.240410524469122</v>
      </c>
    </row>
    <row r="43" customFormat="false" ht="12.75" hidden="false" customHeight="false" outlineLevel="0" collapsed="false">
      <c r="D43" s="67"/>
    </row>
    <row r="44" customFormat="false" ht="12.75" hidden="false" customHeight="false" outlineLevel="0" collapsed="false">
      <c r="D44" s="58"/>
      <c r="F44" s="116"/>
    </row>
    <row r="45" customFormat="false" ht="12.75" hidden="false" customHeight="false" outlineLevel="0" collapsed="false">
      <c r="D45" s="5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1998-02-10T15:11:39Z</dcterms:created>
  <dc:creator>Charles Lee</dc:creator>
  <dc:description/>
  <dc:language>en-US</dc:language>
  <cp:lastModifiedBy>jdasovic</cp:lastModifiedBy>
  <cp:lastPrinted>1999-02-17T00:15:34Z</cp:lastPrinted>
  <dcterms:modified xsi:type="dcterms:W3CDTF">2001-02-18T22:36:09Z</dcterms:modified>
  <cp:revision>0</cp:revision>
  <dc:subject/>
  <dc:title/>
</cp:coreProperties>
</file>