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true" date1904="true"/>
  <workbookProtection/>
  <bookViews>
    <workbookView showHorizontalScroll="true" showVerticalScroll="true" showSheetTabs="true" xWindow="0" yWindow="0" windowWidth="16384" windowHeight="8192" tabRatio="500" firstSheet="0" activeTab="0"/>
  </bookViews>
  <sheets>
    <sheet name="Greetings" sheetId="1" state="visible" r:id="rId3"/>
    <sheet name="Income Statement" sheetId="2" state="visible" r:id="rId4"/>
    <sheet name="Balance Sheet" sheetId="3" state="visible" r:id="rId5"/>
    <sheet name="Cash Flow, DCF, Ratios" sheetId="4" state="visible" r:id="rId6"/>
  </sheets>
  <definedNames>
    <definedName function="false" hidden="false" localSheetId="2" name="_xlnm.Print_Area" vbProcedure="false">'Balance Sheet'!$A$1:$N$39</definedName>
    <definedName function="false" hidden="false" localSheetId="3" name="_xlnm.Print_Area" vbProcedure="false">'Cash Flow, DCF, Ratios'!$A$1:$N$42</definedName>
    <definedName function="false" hidden="false" localSheetId="1" name="_xlnm.Print_Area" vbProcedure="false">'Income Statement'!$A$1:$N$26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41" authorId="0">
      <text>
        <r>
          <rPr>
            <b val="true"/>
            <sz val="8"/>
            <color rgb="FF000000"/>
            <rFont val="Tahoma"/>
            <family val="0"/>
          </rPr>
          <t xml:space="preserve">This Net Income data includes estimated interest expense.</t>
        </r>
      </text>
      <mc:AlternateContent>
        <mc:Choice Requires="v2">
          <commentPr autoFill="true" autoScale="false" colHidden="false" locked="false" rowHidden="false" textHAlign="justify" textVAlign="top">
            <anchor moveWithCells="false" sizeWithCells="false">
              <xdr:from>
                <xdr:col>1</xdr:col>
                <xdr:colOff>19</xdr:colOff>
                <xdr:row>39</xdr:row>
                <xdr:rowOff>7</xdr:rowOff>
              </xdr:from>
              <xdr:to>
                <xdr:col>3</xdr:col>
                <xdr:colOff>98</xdr:colOff>
                <xdr:row>41</xdr:row>
                <xdr:rowOff>7</xdr:rowOff>
              </xdr:to>
            </anchor>
          </commentPr>
        </mc:Choice>
        <mc:Fallback/>
      </mc:AlternateContent>
    </comment>
    <comment ref="D28"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26</xdr:row>
                <xdr:rowOff>7</xdr:rowOff>
              </xdr:from>
              <xdr:to>
                <xdr:col>6</xdr:col>
                <xdr:colOff>73</xdr:colOff>
                <xdr:row>29</xdr:row>
                <xdr:rowOff>3</xdr:rowOff>
              </xdr:to>
            </anchor>
          </commentPr>
        </mc:Choice>
        <mc:Fallback/>
      </mc:AlternateContent>
    </comment>
    <comment ref="D39"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37</xdr:row>
                <xdr:rowOff>7</xdr:rowOff>
              </xdr:from>
              <xdr:to>
                <xdr:col>6</xdr:col>
                <xdr:colOff>75</xdr:colOff>
                <xdr:row>40</xdr:row>
                <xdr:rowOff>4</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9" authorId="0">
      <text>
        <r>
          <rPr>
            <b val="true"/>
            <sz val="8"/>
            <color rgb="FF000000"/>
            <rFont val="Tahoma"/>
            <family val="2"/>
          </rPr>
          <t xml:space="preserve">Only include Depreciation Expense on PP&amp;E and not Intangibles.</t>
        </r>
      </text>
      <mc:AlternateContent>
        <mc:Choice Requires="v2">
          <commentPr autoFill="true" autoScale="false" colHidden="false" locked="false" rowHidden="false" textHAlign="justify" textVAlign="top">
            <anchor moveWithCells="false" sizeWithCells="false">
              <xdr:from>
                <xdr:col>4</xdr:col>
                <xdr:colOff>32</xdr:colOff>
                <xdr:row>17</xdr:row>
                <xdr:rowOff>0</xdr:rowOff>
              </xdr:from>
              <xdr:to>
                <xdr:col>6</xdr:col>
                <xdr:colOff>48</xdr:colOff>
                <xdr:row>19</xdr:row>
                <xdr:rowOff>13</xdr:rowOff>
              </xdr:to>
            </anchor>
          </commentPr>
        </mc:Choice>
        <mc:Fallback/>
      </mc:AlternateContent>
    </comment>
    <comment ref="D22" authorId="0">
      <text>
        <r>
          <rPr>
            <b val="true"/>
            <sz val="8"/>
            <color rgb="FF000000"/>
            <rFont val="Tahoma"/>
            <family val="2"/>
          </rPr>
          <t xml:space="preserve">This is your estimate of annual perpetual EBI growth beyond the terminal year.</t>
        </r>
      </text>
      <mc:AlternateContent>
        <mc:Choice Requires="v2">
          <commentPr autoFill="true" autoScale="false" colHidden="false" locked="false" rowHidden="false" textHAlign="justify" textVAlign="top">
            <anchor moveWithCells="false" sizeWithCells="false">
              <xdr:from>
                <xdr:col>5</xdr:col>
                <xdr:colOff>58</xdr:colOff>
                <xdr:row>20</xdr:row>
                <xdr:rowOff>7</xdr:rowOff>
              </xdr:from>
              <xdr:to>
                <xdr:col>7</xdr:col>
                <xdr:colOff>46</xdr:colOff>
                <xdr:row>24</xdr:row>
                <xdr:rowOff>1</xdr:rowOff>
              </xdr:to>
            </anchor>
          </commentPr>
        </mc:Choice>
        <mc:Fallback/>
      </mc:AlternateContent>
    </comment>
    <comment ref="N22" authorId="0">
      <text>
        <r>
          <rPr>
            <b val="true"/>
            <sz val="8"/>
            <color rgb="FF000000"/>
            <rFont val="Tahoma"/>
            <family val="0"/>
          </rPr>
          <t xml:space="preserve">This terminal value is calculated by dividing 2002 EBI by the discount rate (D25) adjusted by any forecasted growth (D22).</t>
        </r>
      </text>
      <mc:AlternateContent>
        <mc:Choice Requires="v2">
          <commentPr autoFill="true" autoScale="false" colHidden="false" locked="false" rowHidden="false" textHAlign="justify" textVAlign="top">
            <anchor moveWithCells="false" sizeWithCells="false">
              <xdr:from>
                <xdr:col>14</xdr:col>
                <xdr:colOff>20</xdr:colOff>
                <xdr:row>20</xdr:row>
                <xdr:rowOff>7</xdr:rowOff>
              </xdr:from>
              <xdr:to>
                <xdr:col>16</xdr:col>
                <xdr:colOff>62</xdr:colOff>
                <xdr:row>24</xdr:row>
                <xdr:rowOff>17</xdr:rowOff>
              </xdr:to>
            </anchor>
          </commentPr>
        </mc:Choice>
        <mc:Fallback/>
      </mc:AlternateContent>
    </comment>
  </commentList>
</comments>
</file>

<file path=xl/sharedStrings.xml><?xml version="1.0" encoding="utf-8"?>
<sst xmlns="http://schemas.openxmlformats.org/spreadsheetml/2006/main" count="152" uniqueCount="101">
  <si>
    <t xml:space="preserve">Timberland Co.</t>
  </si>
  <si>
    <t xml:space="preserve">Income Statements ($000's)</t>
  </si>
  <si>
    <t xml:space="preserve">Actual</t>
  </si>
  <si>
    <t xml:space="preserve">Assumptions</t>
  </si>
  <si>
    <t xml:space="preserve">Forecast</t>
  </si>
  <si>
    <t xml:space="preserve">FISCAL YEAR ENDING  </t>
  </si>
  <si>
    <t xml:space="preserve">Net Sales</t>
  </si>
  <si>
    <t xml:space="preserve">year-to-year growth</t>
  </si>
  <si>
    <t xml:space="preserve">     yr.-to-yr. growth rate</t>
  </si>
  <si>
    <t xml:space="preserve">Cost of Goods Sold</t>
  </si>
  <si>
    <t xml:space="preserve">% of Sales</t>
  </si>
  <si>
    <t xml:space="preserve">     % of Sales</t>
  </si>
  <si>
    <t xml:space="preserve">Gross Income</t>
  </si>
  <si>
    <t xml:space="preserve">Selling, Gen &amp; Admin Exp.</t>
  </si>
  <si>
    <t xml:space="preserve">Operating Income</t>
  </si>
  <si>
    <t xml:space="preserve">Non-Operating Income (Expense)</t>
  </si>
  <si>
    <t xml:space="preserve">EBIT</t>
  </si>
  <si>
    <t xml:space="preserve">Interest Expense</t>
  </si>
  <si>
    <t xml:space="preserve">Pretax Income</t>
  </si>
  <si>
    <t xml:space="preserve">Income Tax</t>
  </si>
  <si>
    <t xml:space="preserve">NET INCOME          </t>
  </si>
  <si>
    <t xml:space="preserve">Shares Outstanding</t>
  </si>
  <si>
    <t xml:space="preserve">Earnings Per Share (EPS)</t>
  </si>
  <si>
    <t xml:space="preserve">Balance Sheets ($000's)</t>
  </si>
  <si>
    <t xml:space="preserve">FISCAL YEAR ENDING</t>
  </si>
  <si>
    <t xml:space="preserve">Cash</t>
  </si>
  <si>
    <t xml:space="preserve">Receivables</t>
  </si>
  <si>
    <t xml:space="preserve">Inventories</t>
  </si>
  <si>
    <t xml:space="preserve">Other Cur. Assets</t>
  </si>
  <si>
    <t xml:space="preserve">Total Cur. Assets</t>
  </si>
  <si>
    <t xml:space="preserve">Net PPE</t>
  </si>
  <si>
    <t xml:space="preserve">Intangibles</t>
  </si>
  <si>
    <t xml:space="preserve">deprec. over 30 years</t>
  </si>
  <si>
    <t xml:space="preserve">Other Assets</t>
  </si>
  <si>
    <t xml:space="preserve">TOTAL ASSETS</t>
  </si>
  <si>
    <t xml:space="preserve">Notes Payable</t>
  </si>
  <si>
    <t xml:space="preserve">Accounts Payable</t>
  </si>
  <si>
    <t xml:space="preserve">Accrued Expenses</t>
  </si>
  <si>
    <t xml:space="preserve">Total Cur Liab (excl L/T Debt)</t>
  </si>
  <si>
    <t xml:space="preserve">Def. Taxes</t>
  </si>
  <si>
    <t xml:space="preserve">L/T Debt (incl. cur. portion)</t>
  </si>
  <si>
    <t xml:space="preserve">TOTAL LIABILITIES</t>
  </si>
  <si>
    <t xml:space="preserve">Common Stock, Net</t>
  </si>
  <si>
    <t xml:space="preserve">Capital Surplus</t>
  </si>
  <si>
    <t xml:space="preserve">Retained Earnings</t>
  </si>
  <si>
    <t xml:space="preserve">Other Equities</t>
  </si>
  <si>
    <t xml:space="preserve">Shareholders' Equity</t>
  </si>
  <si>
    <t xml:space="preserve">PLUG</t>
  </si>
  <si>
    <t xml:space="preserve">TOT LIAB &amp; NET WORTH</t>
  </si>
  <si>
    <t xml:space="preserve">Unreconciled Difference</t>
  </si>
  <si>
    <t xml:space="preserve">Cash per SCF:</t>
  </si>
  <si>
    <t xml:space="preserve">Free Cash Flow (=CFO+CFI+(interest net of tax))</t>
  </si>
  <si>
    <t xml:space="preserve">Deduct: Int. expense (net of tax)</t>
  </si>
  <si>
    <t xml:space="preserve">Interest from I/S * (1-t)</t>
  </si>
  <si>
    <t xml:space="preserve">=CFO+CFI</t>
  </si>
  <si>
    <t xml:space="preserve">Add: Increase in L/T debt</t>
  </si>
  <si>
    <t xml:space="preserve">from Balance Sheet</t>
  </si>
  <si>
    <t xml:space="preserve">Less: Dividends (new equity)</t>
  </si>
  <si>
    <t xml:space="preserve">derived from plug - NI</t>
  </si>
  <si>
    <t xml:space="preserve">    =CFF</t>
  </si>
  <si>
    <t xml:space="preserve">Chg Cash per SCF (CFO+CFI+CFF)</t>
  </si>
  <si>
    <t xml:space="preserve">Chg Cash per B/S</t>
  </si>
  <si>
    <t xml:space="preserve">Cash Flow and DCF Valuation ($000's)</t>
  </si>
  <si>
    <t xml:space="preserve">from Income Statement</t>
  </si>
  <si>
    <t xml:space="preserve">Less:  Taxes on EBIT</t>
  </si>
  <si>
    <t xml:space="preserve">EBI</t>
  </si>
  <si>
    <t xml:space="preserve">Add: Depreciation &amp; Amortization</t>
  </si>
  <si>
    <t xml:space="preserve">   (Inc.) Dec. in Other Assets</t>
  </si>
  <si>
    <t xml:space="preserve">   Inc. (Dec.) in Def. Tax Liab</t>
  </si>
  <si>
    <t xml:space="preserve">   (Inc.) Dec. in A/R</t>
  </si>
  <si>
    <t xml:space="preserve">   (Inc.) Dec. in Inventories</t>
  </si>
  <si>
    <t xml:space="preserve">   (Inc.) Dec. in Other C. Assets</t>
  </si>
  <si>
    <t xml:space="preserve">   Inc. (Dec.) in A/P</t>
  </si>
  <si>
    <t xml:space="preserve">   Inc. (Dec.) in Other Accruals</t>
  </si>
  <si>
    <t xml:space="preserve">CFO (excl. int.)</t>
  </si>
  <si>
    <t xml:space="preserve">Less: Capital Expenditures</t>
  </si>
  <si>
    <t xml:space="preserve">To bring net PPE to 11% of sales</t>
  </si>
  <si>
    <t xml:space="preserve">FCF (free cash flow)</t>
  </si>
  <si>
    <t xml:space="preserve">Terminal Value</t>
  </si>
  <si>
    <t xml:space="preserve">Total Free Cash Flow</t>
  </si>
  <si>
    <t xml:space="preserve">PV Factor</t>
  </si>
  <si>
    <t xml:space="preserve">PV of cash flow</t>
  </si>
  <si>
    <t xml:space="preserve">Total PV of Cash Flows</t>
  </si>
  <si>
    <t xml:space="preserve">Less:  debt</t>
  </si>
  <si>
    <t xml:space="preserve">Plus:   idle assets (liabilities)</t>
  </si>
  <si>
    <t xml:space="preserve">PV of shareholders' equity</t>
  </si>
  <si>
    <t xml:space="preserve">Shrs Outstanding</t>
  </si>
  <si>
    <t xml:space="preserve">Price per share</t>
  </si>
  <si>
    <t xml:space="preserve">Ratio Analysis</t>
  </si>
  <si>
    <t xml:space="preserve">Profit Margin</t>
  </si>
  <si>
    <t xml:space="preserve">EBI / Sales</t>
  </si>
  <si>
    <t xml:space="preserve">Asset Turnover</t>
  </si>
  <si>
    <t xml:space="preserve">Sales / Avg Assets</t>
  </si>
  <si>
    <t xml:space="preserve">Return on Assets (ROA)</t>
  </si>
  <si>
    <t xml:space="preserve">EBI / Avg Assets</t>
  </si>
  <si>
    <t xml:space="preserve">I/S Leverage</t>
  </si>
  <si>
    <t xml:space="preserve">Net Income/EBI</t>
  </si>
  <si>
    <t xml:space="preserve">B/S Leverage</t>
  </si>
  <si>
    <t xml:space="preserve">Avg Assets / Avg Equity</t>
  </si>
  <si>
    <t xml:space="preserve">Return on Average Equity (ROE)</t>
  </si>
  <si>
    <t xml:space="preserve">Net Income/Avg Equity</t>
  </si>
</sst>
</file>

<file path=xl/styles.xml><?xml version="1.0" encoding="utf-8"?>
<styleSheet xmlns="http://schemas.openxmlformats.org/spreadsheetml/2006/main">
  <numFmts count="30">
    <numFmt numFmtId="164" formatCode="[$-409]#,##0_);\(#,##0\)"/>
    <numFmt numFmtId="165" formatCode="[$-409]#,##0.00_);[RED]\(#,##0.00\)"/>
    <numFmt numFmtId="166" formatCode="[$-409]General"/>
    <numFmt numFmtId="167" formatCode="General"/>
    <numFmt numFmtId="168" formatCode="&quot;Sales growth declines from &quot;0.0%&quot; to 10% in yr 5&quot;"/>
    <numFmt numFmtId="169" formatCode="[$-409]0%"/>
    <numFmt numFmtId="170" formatCode="0.0%"/>
    <numFmt numFmtId="171" formatCode="&quot;&quot;0.0%&quot; --&gt; 61.5% of Sales 1st 5 yrs.; steady state thereafter&quot;"/>
    <numFmt numFmtId="172" formatCode="0%&quot; of Sales&quot;"/>
    <numFmt numFmtId="173" formatCode="0.00%&quot; of Sales&quot;"/>
    <numFmt numFmtId="174" formatCode="0.00%&quot; of Avg LTD&quot;"/>
    <numFmt numFmtId="175" formatCode="0%&quot; Tax Rate&quot;"/>
    <numFmt numFmtId="176" formatCode="\$#,##0.00_);[RED]&quot;($&quot;#,##0.00\)"/>
    <numFmt numFmtId="177" formatCode="[$-409]0.00%"/>
    <numFmt numFmtId="178" formatCode="0%&quot; Beg. Net PPE + Intangibles&quot;"/>
    <numFmt numFmtId="179" formatCode="&quot;Discount Rate of &quot;0.00%"/>
    <numFmt numFmtId="180" formatCode="[$-409]0.00"/>
    <numFmt numFmtId="181" formatCode="[$-409]0"/>
    <numFmt numFmtId="182" formatCode="0.0%&quot; of Sales&quot;"/>
    <numFmt numFmtId="183" formatCode="0.0%&quot; of Total Assets&quot;"/>
    <numFmt numFmtId="184" formatCode="0.000"/>
    <numFmt numFmtId="185" formatCode="&quot;Ave. Debt Bal. * &quot;0.00%&quot; cost * (1-t)&quot;"/>
    <numFmt numFmtId="186" formatCode="0.0%&quot; of beg. Net PPE + Intgble Amort.&quot;"/>
    <numFmt numFmtId="187" formatCode="0.00%&quot; perpetual annual growth&quot;"/>
    <numFmt numFmtId="188" formatCode="0.00%&quot; Capitalization Rate&quot;"/>
    <numFmt numFmtId="189" formatCode="0.0000"/>
    <numFmt numFmtId="190" formatCode="0.00%&quot; Discount Rate&quot;"/>
    <numFmt numFmtId="191" formatCode="#,##0.0000_);\(#,##0.0000\)"/>
    <numFmt numFmtId="192" formatCode="#,##0.0_);\(#,##0.0\)"/>
    <numFmt numFmtId="193" formatCode="[$-409]#,##0.00_);\(#,##0.00\)"/>
  </numFmts>
  <fonts count="24">
    <font>
      <sz val="10"/>
      <name val="Times New Roman"/>
      <family val="0"/>
    </font>
    <font>
      <sz val="10"/>
      <name val="Arial"/>
      <family val="0"/>
    </font>
    <font>
      <sz val="10"/>
      <name val="Arial"/>
      <family val="0"/>
    </font>
    <font>
      <sz val="10"/>
      <name val="Arial"/>
      <family val="0"/>
    </font>
    <font>
      <b val="true"/>
      <sz val="11"/>
      <color rgb="FFFFFFFF"/>
      <name val="Times New Roman"/>
      <family val="0"/>
    </font>
    <font>
      <b val="true"/>
      <sz val="9"/>
      <color rgb="FFFFFFFF"/>
      <name val="Times New Roman"/>
      <family val="0"/>
    </font>
    <font>
      <b val="true"/>
      <sz val="9"/>
      <color rgb="FF3333CC"/>
      <name val="Times New Roman"/>
      <family val="0"/>
    </font>
    <font>
      <b val="true"/>
      <sz val="9"/>
      <color rgb="FF3366FF"/>
      <name val="Times New Roman"/>
      <family val="0"/>
    </font>
    <font>
      <sz val="9"/>
      <name val="Times New Roman"/>
      <family val="0"/>
    </font>
    <font>
      <sz val="8"/>
      <name val="Times New Roman"/>
      <family val="0"/>
    </font>
    <font>
      <sz val="10"/>
      <name val="Arial"/>
      <family val="2"/>
    </font>
    <font>
      <b val="true"/>
      <sz val="10"/>
      <color rgb="FF0000FF"/>
      <name val="Arial"/>
      <family val="2"/>
    </font>
    <font>
      <b val="true"/>
      <sz val="14"/>
      <name val="Arial"/>
      <family val="2"/>
    </font>
    <font>
      <b val="true"/>
      <sz val="10"/>
      <name val="Arial"/>
      <family val="2"/>
    </font>
    <font>
      <b val="true"/>
      <sz val="10"/>
      <color rgb="FF3333CC"/>
      <name val="Arial"/>
      <family val="2"/>
    </font>
    <font>
      <i val="true"/>
      <sz val="9"/>
      <name val="Arial"/>
      <family val="2"/>
    </font>
    <font>
      <i val="true"/>
      <sz val="9"/>
      <color rgb="FF3333CC"/>
      <name val="Arial"/>
      <family val="2"/>
    </font>
    <font>
      <sz val="9"/>
      <name val="Arial"/>
      <family val="2"/>
    </font>
    <font>
      <sz val="9"/>
      <color rgb="FF3333CC"/>
      <name val="Arial"/>
      <family val="2"/>
    </font>
    <font>
      <sz val="10"/>
      <color rgb="FF3333CC"/>
      <name val="Arial"/>
      <family val="2"/>
    </font>
    <font>
      <i val="true"/>
      <sz val="10"/>
      <name val="Arial"/>
      <family val="2"/>
    </font>
    <font>
      <sz val="10"/>
      <color rgb="FFFF0000"/>
      <name val="Arial"/>
      <family val="2"/>
    </font>
    <font>
      <b val="true"/>
      <sz val="8"/>
      <color rgb="FF000000"/>
      <name val="Tahoma"/>
      <family val="0"/>
    </font>
    <font>
      <b val="true"/>
      <sz val="8"/>
      <color rgb="FF000000"/>
      <name val="Tahoma"/>
      <family val="2"/>
    </font>
  </fonts>
  <fills count="6">
    <fill>
      <patternFill patternType="none"/>
    </fill>
    <fill>
      <patternFill patternType="gray125"/>
    </fill>
    <fill>
      <patternFill patternType="solid">
        <fgColor rgb="FF3366FF"/>
        <bgColor rgb="FF0066CC"/>
      </patternFill>
    </fill>
    <fill>
      <patternFill patternType="solid">
        <fgColor rgb="FFA6CAF0"/>
        <bgColor rgb="FFCCCCFF"/>
      </patternFill>
    </fill>
    <fill>
      <patternFill patternType="solid">
        <fgColor rgb="FFCCFFCC"/>
        <bgColor rgb="FFCCFFFF"/>
      </patternFill>
    </fill>
    <fill>
      <patternFill patternType="solid">
        <fgColor rgb="FFFFFF99"/>
        <bgColor rgb="FFFFFFCC"/>
      </patternFill>
    </fill>
  </fills>
  <borders count="10">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3" fillId="3" borderId="0" xfId="0" applyFont="true" applyBorder="false" applyAlignment="true" applyProtection="false">
      <alignment horizontal="general" vertical="bottom" textRotation="0" wrapText="false" indent="0" shrinkToFit="false"/>
      <protection locked="true" hidden="false"/>
    </xf>
    <xf numFmtId="166" fontId="13" fillId="3" borderId="0" xfId="15" applyFont="true" applyBorder="tru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bottom" textRotation="0" wrapText="false" indent="0" shrinkToFit="false"/>
      <protection locked="true" hidden="false"/>
    </xf>
    <xf numFmtId="167" fontId="13" fillId="3" borderId="0" xfId="15" applyFont="true" applyBorder="true" applyAlignment="true" applyProtection="tru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70" fontId="15" fillId="0" borderId="0" xfId="19" applyFont="true" applyBorder="true" applyAlignment="true" applyProtection="true">
      <alignment horizontal="right" vertical="bottom" textRotation="0" wrapText="false" indent="0" shrinkToFit="false"/>
      <protection locked="true" hidden="false"/>
    </xf>
    <xf numFmtId="170" fontId="16"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1"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right" vertical="bottom" textRotation="0" wrapText="false" indent="0" shrinkToFit="false"/>
      <protection locked="true" hidden="false"/>
    </xf>
    <xf numFmtId="170" fontId="15" fillId="0" borderId="1" xfId="19" applyFont="true" applyBorder="true" applyAlignment="true" applyProtection="true">
      <alignment horizontal="right" vertical="bottom" textRotation="0" wrapText="false" indent="0" shrinkToFit="false"/>
      <protection locked="true" hidden="false"/>
    </xf>
    <xf numFmtId="171" fontId="17" fillId="0" borderId="1" xfId="0" applyFont="true" applyBorder="true" applyAlignment="true" applyProtection="false">
      <alignment horizontal="center" vertical="bottom" textRotation="0" wrapText="false" indent="0" shrinkToFit="false"/>
      <protection locked="true" hidden="false"/>
    </xf>
    <xf numFmtId="170" fontId="16" fillId="0" borderId="1" xfId="19"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72" fontId="10" fillId="0" borderId="0" xfId="0" applyFont="true" applyBorder="true" applyAlignment="true" applyProtection="false">
      <alignment horizontal="center" vertical="bottom" textRotation="0" wrapText="false" indent="0" shrinkToFit="false"/>
      <protection locked="true" hidden="false"/>
    </xf>
    <xf numFmtId="172" fontId="18" fillId="0" borderId="1"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3" fontId="19"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73" fontId="14"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73" fontId="19" fillId="0" borderId="0" xfId="0" applyFont="true" applyBorder="true" applyAlignment="true" applyProtection="false">
      <alignment horizontal="center" vertical="bottom" textRotation="0" wrapText="false" indent="0" shrinkToFit="false"/>
      <protection locked="true" hidden="false"/>
    </xf>
    <xf numFmtId="174" fontId="19" fillId="0" borderId="1" xfId="0" applyFont="true" applyBorder="true" applyAlignment="true" applyProtection="false">
      <alignment horizontal="center" vertical="bottom" textRotation="0" wrapText="false" indent="0" shrinkToFit="false"/>
      <protection locked="true" hidden="false"/>
    </xf>
    <xf numFmtId="175"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6" fontId="10" fillId="0" borderId="0" xfId="17" applyFont="true" applyBorder="true" applyAlignment="true" applyProtection="true">
      <alignment horizontal="general" vertical="bottom" textRotation="0" wrapText="false" indent="0" shrinkToFit="false"/>
      <protection locked="true" hidden="false"/>
    </xf>
    <xf numFmtId="177" fontId="14" fillId="0" borderId="0" xfId="19" applyFont="true" applyBorder="true" applyAlignment="true" applyProtection="true">
      <alignment horizontal="general" vertical="bottom" textRotation="0" wrapText="false" indent="0" shrinkToFit="false"/>
      <protection locked="true" hidden="false"/>
    </xf>
    <xf numFmtId="178" fontId="14" fillId="0" borderId="0" xfId="0" applyFont="true" applyBorder="true" applyAlignment="true" applyProtection="false">
      <alignment horizontal="center" vertical="bottom" textRotation="0" wrapText="false" indent="0" shrinkToFit="false"/>
      <protection locked="true" hidden="false"/>
    </xf>
    <xf numFmtId="179" fontId="14" fillId="0" borderId="0" xfId="0" applyFont="true" applyBorder="true" applyAlignment="true" applyProtection="false">
      <alignment horizontal="center" vertical="bottom" textRotation="0" wrapText="false" indent="0" shrinkToFit="false"/>
      <protection locked="true" hidden="false"/>
    </xf>
    <xf numFmtId="180"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81" fontId="13" fillId="3" borderId="0" xfId="0" applyFont="true" applyBorder="true" applyAlignment="fals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center" vertical="bottom" textRotation="0" wrapText="false" indent="0" shrinkToFit="false"/>
      <protection locked="true" hidden="false"/>
    </xf>
    <xf numFmtId="181" fontId="13" fillId="3" borderId="1"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82"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2" fontId="19"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83"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3"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4" fontId="1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85"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5" fontId="10" fillId="0" borderId="1"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86" fontId="19"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7" fontId="19" fillId="0" borderId="1" xfId="0" applyFont="true" applyBorder="true" applyAlignment="true" applyProtection="false">
      <alignment horizontal="center" vertical="bottom" textRotation="0" wrapText="false" indent="0" shrinkToFit="false"/>
      <protection locked="true" hidden="false"/>
    </xf>
    <xf numFmtId="188" fontId="19" fillId="0" borderId="0" xfId="0" applyFont="true" applyBorder="false" applyAlignment="true" applyProtection="false">
      <alignment horizontal="center" vertical="bottom" textRotation="0" wrapText="false" indent="0" shrinkToFit="false"/>
      <protection locked="true" hidden="false"/>
    </xf>
    <xf numFmtId="189" fontId="10" fillId="0" borderId="1" xfId="0" applyFont="true" applyBorder="true" applyAlignment="false" applyProtection="false">
      <alignment horizontal="general" vertical="bottom" textRotation="0" wrapText="false" indent="0" shrinkToFit="false"/>
      <protection locked="true" hidden="false"/>
    </xf>
    <xf numFmtId="190" fontId="19" fillId="0" borderId="1" xfId="0" applyFont="true" applyBorder="true" applyAlignment="true" applyProtection="false">
      <alignment horizontal="center" vertical="bottom" textRotation="0" wrapText="false" indent="0" shrinkToFit="false"/>
      <protection locked="true" hidden="false"/>
    </xf>
    <xf numFmtId="191" fontId="10" fillId="0" borderId="1" xfId="0" applyFont="true" applyBorder="true" applyAlignment="false" applyProtection="false">
      <alignment horizontal="general" vertical="bottom" textRotation="0" wrapText="false" indent="0" shrinkToFit="false"/>
      <protection locked="true" hidden="false"/>
    </xf>
    <xf numFmtId="192" fontId="10" fillId="0" borderId="0" xfId="0" applyFont="true" applyBorder="false" applyAlignment="false" applyProtection="false">
      <alignment horizontal="general" vertical="bottom" textRotation="0" wrapText="false" indent="0" shrinkToFit="false"/>
      <protection locked="true" hidden="false"/>
    </xf>
    <xf numFmtId="192" fontId="13" fillId="4" borderId="3" xfId="0" applyFont="true" applyBorder="true" applyAlignment="false" applyProtection="false">
      <alignment horizontal="general" vertical="bottom" textRotation="0" wrapText="false" indent="0" shrinkToFit="false"/>
      <protection locked="true" hidden="false"/>
    </xf>
    <xf numFmtId="164" fontId="13" fillId="4" borderId="4" xfId="0" applyFont="true" applyBorder="true" applyAlignment="true" applyProtection="false">
      <alignment horizontal="right" vertical="bottom" textRotation="0" wrapText="false" indent="0" shrinkToFit="false"/>
      <protection locked="true" hidden="false"/>
    </xf>
    <xf numFmtId="192" fontId="13" fillId="4" borderId="5" xfId="0" applyFont="true" applyBorder="true" applyAlignment="false" applyProtection="false">
      <alignment horizontal="general" vertical="bottom" textRotation="0" wrapText="false" indent="0" shrinkToFit="false"/>
      <protection locked="true" hidden="false"/>
    </xf>
    <xf numFmtId="164" fontId="13" fillId="4" borderId="6" xfId="0" applyFont="true" applyBorder="true" applyAlignment="true" applyProtection="false">
      <alignment horizontal="right" vertical="bottom" textRotation="0" wrapText="false" indent="0" shrinkToFit="false"/>
      <protection locked="true" hidden="false"/>
    </xf>
    <xf numFmtId="164" fontId="13" fillId="4" borderId="7" xfId="0" applyFont="true" applyBorder="true" applyAlignment="true" applyProtection="false">
      <alignment horizontal="right" vertical="bottom" textRotation="0" wrapText="false" indent="0" shrinkToFit="false"/>
      <protection locked="true" hidden="false"/>
    </xf>
    <xf numFmtId="164" fontId="13" fillId="4" borderId="5" xfId="0" applyFont="true" applyBorder="true" applyAlignment="false" applyProtection="false">
      <alignment horizontal="general" vertical="bottom" textRotation="0" wrapText="false" indent="0" shrinkToFit="false"/>
      <protection locked="true" hidden="false"/>
    </xf>
    <xf numFmtId="180" fontId="13" fillId="5" borderId="8" xfId="0" applyFont="true" applyBorder="true" applyAlignment="false" applyProtection="false">
      <alignment horizontal="general" vertical="bottom" textRotation="0" wrapText="false" indent="0" shrinkToFit="false"/>
      <protection locked="true" hidden="false"/>
    </xf>
    <xf numFmtId="176" fontId="13" fillId="5" borderId="9" xfId="17" applyFont="true" applyBorder="true" applyAlignment="true" applyProtection="true">
      <alignment horizontal="right" vertical="bottom" textRotation="0" wrapText="false" indent="0" shrinkToFit="false"/>
      <protection locked="true" hidden="false"/>
    </xf>
    <xf numFmtId="180" fontId="14" fillId="3" borderId="0" xfId="0" applyFont="true" applyBorder="false" applyAlignment="true" applyProtection="false">
      <alignment horizontal="center" vertical="bottom" textRotation="0" wrapText="false" indent="0" shrinkToFit="false"/>
      <protection locked="true" hidden="false"/>
    </xf>
    <xf numFmtId="177" fontId="10"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70" fontId="10" fillId="0" borderId="0" xfId="19" applyFont="true" applyBorder="true" applyAlignment="true" applyProtection="true">
      <alignment horizontal="general" vertical="bottom" textRotation="0" wrapText="false" indent="0" shrinkToFit="false"/>
      <protection locked="true" hidden="false"/>
    </xf>
    <xf numFmtId="193"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307800</xdr:colOff>
      <xdr:row>1</xdr:row>
      <xdr:rowOff>86040</xdr:rowOff>
    </xdr:from>
    <xdr:to>
      <xdr:col>13</xdr:col>
      <xdr:colOff>720</xdr:colOff>
      <xdr:row>20</xdr:row>
      <xdr:rowOff>133560</xdr:rowOff>
    </xdr:to>
    <xdr:sp>
      <xdr:nvSpPr>
        <xdr:cNvPr id="0" name="Rectangle 1"/>
        <xdr:cNvSpPr/>
      </xdr:nvSpPr>
      <xdr:spPr>
        <a:xfrm>
          <a:off x="307800" y="248040"/>
          <a:ext cx="7989120" cy="3124080"/>
        </a:xfrm>
        <a:prstGeom prst="roundRect">
          <a:avLst>
            <a:gd name="adj" fmla="val 16667"/>
          </a:avLst>
        </a:prstGeom>
        <a:gradFill rotWithShape="0">
          <a:gsLst>
            <a:gs pos="0">
              <a:srgbClr val="cc0000"/>
            </a:gs>
            <a:gs pos="100000">
              <a:srgbClr val="760000"/>
            </a:gs>
          </a:gsLst>
          <a:lin ang="13500000"/>
        </a:gradFill>
        <a:ln w="9360">
          <a:solidFill>
            <a:srgbClr val="ffff00"/>
          </a:solidFill>
          <a:miter/>
        </a:ln>
      </xdr:spPr>
      <xdr:style>
        <a:lnRef idx="0"/>
        <a:fillRef idx="0"/>
        <a:effectRef idx="0"/>
        <a:fontRef idx="minor"/>
      </xdr:style>
      <xdr:txBody>
        <a:bodyPr lIns="20160" rIns="20160" tIns="20160" bIns="20160" anchor="t">
          <a:noAutofit/>
        </a:bodyPr>
        <a:p>
          <a:r>
            <a:rPr b="1" lang="en-US" sz="1100" strike="noStrike" u="none">
              <a:solidFill>
                <a:srgbClr val="ffffff"/>
              </a:solidFill>
              <a:effectLst/>
              <a:uFillTx/>
              <a:latin typeface="Times New Roman"/>
            </a:rPr>
            <a:t>Welcome to the Timberland DCF Model. </a:t>
          </a:r>
          <a:r>
            <a:rPr b="1" lang="en-US" sz="900" strike="noStrike" u="none">
              <a:solidFill>
                <a:srgbClr val="ffffff"/>
              </a:solidFill>
              <a:effectLst/>
              <a:uFillTx/>
              <a:latin typeface="Times New Roman"/>
            </a:rPr>
            <a:t> Let's explain a few things first.</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spreadsheet is set up in three separate worksheets.  The first is the Income Statement.  The second contains the Balance Sheet and a cash reconciliation from the Statement of Cash Flows to the Balance Sheet.  The third worksheet contains the adjustments to EBIT to arrive at Free Cash Flow, the Discounted Cash Flow Analysis, and a Ratio Analysis.  All three sheets are linked together.</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Anything in blue font is an input.  You can enter the values that correspond to your estimates directly into those cells.  The Assumptions column contains some cells that are blue text and numbers.  These cells are actually just numbers but are formatted to include descriptive text.  For example, the cell that says  </a:t>
          </a:r>
          <a:r>
            <a:rPr b="1" lang="en-US" sz="900" strike="noStrike" u="none">
              <a:solidFill>
                <a:srgbClr val="3333cc"/>
              </a:solidFill>
              <a:effectLst/>
              <a:uFillTx/>
              <a:latin typeface="Times New Roman"/>
            </a:rPr>
            <a:t> </a:t>
          </a:r>
          <a:r>
            <a:rPr b="1" lang="en-US" sz="900" strike="noStrike" u="none">
              <a:solidFill>
                <a:srgbClr val="3366ff"/>
              </a:solidFill>
              <a:effectLst/>
              <a:uFillTx/>
              <a:latin typeface="Times New Roman"/>
            </a:rPr>
            <a:t>32% Tax Rate  </a:t>
          </a:r>
          <a:r>
            <a:rPr b="1" lang="en-US" sz="900" strike="noStrike" u="none">
              <a:solidFill>
                <a:srgbClr val="ffffff"/>
              </a:solidFill>
              <a:effectLst/>
              <a:uFillTx/>
              <a:latin typeface="Times New Roman"/>
            </a:rPr>
            <a:t> is really only the number   0.32  and you can change this to your estimate.</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Once you have finished entering your estimate into a blue font input cell, you can change its color to black.  This allows for an effective check to remind you which cells you have changed and which ones you have left to input. </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The text in red font relates to Unreconciled Differences, which is a check-and-balance on your balance sheet to see if you have made an error in your modeling.  These cells should always read zero.</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model is fairly straightforward.  It would be a good idea to spend time browsing through the model and the various formula cells to understand how the numbers are calculated and how the sheets are linked.  There are cell comment cards along the way to help out.    </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9</xdr:col>
      <xdr:colOff>102960</xdr:colOff>
      <xdr:row>19</xdr:row>
      <xdr:rowOff>37800</xdr:rowOff>
    </xdr:from>
    <xdr:to>
      <xdr:col>12</xdr:col>
      <xdr:colOff>194400</xdr:colOff>
      <xdr:row>20</xdr:row>
      <xdr:rowOff>29880</xdr:rowOff>
    </xdr:to>
    <xdr:sp>
      <xdr:nvSpPr>
        <xdr:cNvPr id="1" name="Text 4"/>
        <xdr:cNvSpPr/>
      </xdr:nvSpPr>
      <xdr:spPr>
        <a:xfrm>
          <a:off x="5846400" y="3114360"/>
          <a:ext cx="2006280" cy="154080"/>
        </a:xfrm>
        <a:prstGeom prst="rect">
          <a:avLst/>
        </a:prstGeom>
        <a:noFill/>
        <a:ln w="0">
          <a:noFill/>
        </a:ln>
      </xdr:spPr>
      <xdr:style>
        <a:lnRef idx="0"/>
        <a:fillRef idx="0"/>
        <a:effectRef idx="0"/>
        <a:fontRef idx="minor"/>
      </xdr:style>
      <xdr:txBody>
        <a:bodyPr lIns="20160" rIns="20160" tIns="20160" bIns="20160" anchor="t">
          <a:spAutoFit/>
        </a:bodyPr>
        <a:p>
          <a:r>
            <a:rPr b="0" lang="en-US" sz="800" strike="noStrike" u="none">
              <a:effectLst/>
              <a:uFillTx/>
              <a:latin typeface="Times New Roman"/>
            </a:rPr>
            <a:t>created by:  Scott Jenkins and Cory Satin</a:t>
          </a:r>
          <a:endParaRPr b="0" lang="en-US" sz="8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0546875" defaultRowHeight="12.75" customHeight="true" zeroHeight="false" outlineLevelRow="0" outlineLevelCol="0"/>
  <sheetData>
    <row r="1" customFormat="false" ht="12.7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12.75" hidden="false" customHeight="fals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2.7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2.75" hidden="false" customHeight="false" outlineLevel="0" collapsed="false">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customFormat="false" ht="12.75" hidden="false" customHeight="false" outlineLevel="0" collapsed="false">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customFormat="false" ht="12.75" hidden="false" customHeight="false" outlineLevel="0" collapsed="false">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customFormat="false" ht="12.75" hidden="false" customHeight="false" outlineLevel="0" collapsed="false">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customFormat="false" ht="12.75" hidden="false" customHeight="false" outlineLevel="0" collapsed="false">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customFormat="false" ht="12.75" hidden="false" customHeight="false" outlineLevel="0" collapsed="false">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customFormat="false" ht="12.75" hidden="false" customHeight="false" outlineLevel="0" collapsed="false">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customFormat="false" ht="12.75" hidden="false" customHeight="false" outlineLevel="0" collapsed="false">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customFormat="false" ht="12.75" hidden="false" customHeight="false" outlineLevel="0" collapsed="false">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customFormat="false" ht="12.75" hidden="false" customHeight="false" outlineLevel="0" collapsed="false">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customFormat="false" ht="12.75" hidden="false" customHeight="false" outlineLevel="0" collapsed="false">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customFormat="false" ht="12.75" hidden="false" customHeight="false" outlineLevel="0" collapsed="false">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customFormat="false" ht="12.75" hidden="false" customHeight="false" outlineLevel="0" collapsed="false">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customFormat="false" ht="12.75" hidden="false" customHeight="false" outlineLevel="0" collapsed="false">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customFormat="false" ht="12.75" hidden="false" customHeight="fals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customFormat="false" ht="12.75" hidden="false" customHeight="fals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customFormat="false" ht="12.75"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customFormat="false" ht="12.75"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customFormat="false" ht="12.75"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customFormat="false" ht="12.75"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customFormat="false" ht="12.75"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customFormat="false" ht="12.75"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customFormat="false" ht="12.75"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customFormat="false" ht="12.75"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customFormat="false" ht="12.75"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customFormat="false" ht="12.75"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customFormat="false" ht="12.75"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customFormat="false" ht="12.75"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customFormat="false" ht="12.75"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customFormat="false" ht="12.75"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customFormat="false" ht="12.75"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customFormat="false" ht="12.75"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customFormat="false" ht="12.75"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customFormat="false" ht="12.75"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customFormat="false" ht="12.75"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customFormat="false" ht="12.75"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customFormat="false" ht="12.75"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customFormat="false" ht="12.75"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customFormat="false" ht="12.75"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customFormat="false" ht="12.75"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customFormat="false" ht="12.75"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customFormat="false" ht="12.75"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customFormat="false" ht="12.75"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customFormat="false" ht="12.75"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customFormat="false" ht="12.75"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customFormat="false" ht="12.75"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customFormat="false" ht="12.75"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customFormat="false" ht="12.75"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customFormat="false" ht="12.75"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customFormat="false" ht="12.75"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customFormat="false" ht="12.7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customFormat="false" ht="12.75"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customFormat="false" ht="12.75"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customFormat="false" ht="12.75"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customFormat="false" ht="12.75"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customFormat="false" ht="12.75"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customFormat="false" ht="12.75"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customFormat="false" ht="12.7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customFormat="false" ht="12.75"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customFormat="false" ht="12.7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customFormat="false" ht="12.75"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customFormat="false" ht="12.75"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customFormat="false" ht="12.75"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customFormat="false" ht="12.75"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customFormat="false" ht="12.7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customFormat="false" ht="12.7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customFormat="false" ht="12.7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customFormat="false" ht="12.7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customFormat="false" ht="12.7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customFormat="false" ht="12.75"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customFormat="false" ht="12.75"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customFormat="false" ht="12.75"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customFormat="false" ht="12.75"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customFormat="false" ht="12.75"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customFormat="false" ht="12.75"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customFormat="false" ht="12.75"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customFormat="false" ht="12.7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customFormat="false" ht="12.75"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customFormat="false" ht="12.75"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customFormat="false" ht="12.75"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customFormat="false" ht="12.75"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customFormat="false" ht="12.75"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customFormat="false" ht="12.75"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customFormat="false" ht="12.75"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customFormat="false" ht="12.7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customFormat="false" ht="12.75"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customFormat="false" ht="12.75"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customFormat="false" ht="12.75"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customFormat="false" ht="12.75"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customFormat="false" ht="12.75"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customFormat="false" ht="12.75"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customFormat="false" ht="12.75"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customFormat="false" ht="12.75"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customFormat="false" ht="12.7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customFormat="false" ht="12.75"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customFormat="false" ht="12.75"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customFormat="false" ht="12.7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customFormat="false" ht="12.7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customFormat="false" ht="12.7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customFormat="false" ht="12.7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customFormat="false" ht="12.7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customFormat="false" ht="12.7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customFormat="false" ht="12.7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customFormat="false" ht="12.7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customFormat="false" ht="12.7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customFormat="false" ht="12.7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customFormat="false" ht="12.7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customFormat="false" ht="12.7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customFormat="false" ht="12.7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customFormat="false" ht="12.7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customFormat="false" ht="12.7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customFormat="false" ht="12.7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customFormat="false" ht="12.7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customFormat="false" ht="12.7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customFormat="false" ht="12.7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customFormat="false" ht="12.7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2"/>
  <sheetViews>
    <sheetView showFormulas="false" showGridLines="true" showRowColHeaders="true" showZeros="true" rightToLeft="false" tabSelected="true" showOutlineSymbols="true" defaultGridColor="true" view="normal" topLeftCell="C1" colorId="64" zoomScale="90" zoomScaleNormal="90" zoomScalePageLayoutView="100" workbookViewId="0">
      <selection pane="topLeft" activeCell="F13" activeCellId="0" sqref="F13"/>
    </sheetView>
  </sheetViews>
  <sheetFormatPr defaultColWidth="10.3515625" defaultRowHeight="12.75" customHeight="true" zeroHeight="false" outlineLevelRow="0" outlineLevelCol="0"/>
  <cols>
    <col collapsed="false" customWidth="true" hidden="false" outlineLevel="0" max="1" min="1" style="2" width="42.73"/>
    <col collapsed="false" customWidth="true" hidden="false" outlineLevel="0" max="3" min="2" style="2" width="11.46"/>
    <col collapsed="false" customWidth="true" hidden="false" outlineLevel="0" max="4" min="4" style="3" width="33.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c r="D1" s="2"/>
    </row>
    <row r="2" customFormat="false" ht="12.75" hidden="false" customHeight="false" outlineLevel="0" collapsed="false">
      <c r="A2" s="5" t="s">
        <v>1</v>
      </c>
      <c r="D2" s="6"/>
    </row>
    <row r="3" customFormat="false" ht="12.75" hidden="false" customHeight="false" outlineLevel="0" collapsed="false">
      <c r="A3" s="5"/>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0" t="n">
        <v>1991</v>
      </c>
      <c r="C4" s="10" t="n">
        <v>1992</v>
      </c>
      <c r="D4" s="1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2"/>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14" t="s">
        <v>6</v>
      </c>
      <c r="B5" s="15" t="n">
        <v>226082</v>
      </c>
      <c r="C5" s="15" t="n">
        <v>291368</v>
      </c>
      <c r="D5" s="16" t="s">
        <v>7</v>
      </c>
      <c r="E5" s="2" t="n">
        <f aca="false">C5*(1+E6)</f>
        <v>422483.6</v>
      </c>
      <c r="F5" s="2" t="n">
        <f aca="false">E5*(1+F6)</f>
        <v>654849.58</v>
      </c>
      <c r="G5" s="2" t="n">
        <f aca="false">F5*(1+G6)</f>
        <v>949531.891</v>
      </c>
      <c r="H5" s="2" t="n">
        <f aca="false">G5*(1+H6)</f>
        <v>1281868.05285</v>
      </c>
      <c r="I5" s="2" t="n">
        <f aca="false">H5*(1+I6)</f>
        <v>1602335.0660625</v>
      </c>
      <c r="J5" s="2" t="n">
        <f aca="false">I5*(1+J6)</f>
        <v>1842685.32597188</v>
      </c>
      <c r="K5" s="2" t="n">
        <f aca="false">J5*(1+K6)</f>
        <v>2026953.85856906</v>
      </c>
      <c r="L5" s="2" t="n">
        <f aca="false">K5*(1+L6)</f>
        <v>2229649.24442597</v>
      </c>
      <c r="M5" s="2" t="n">
        <f aca="false">L5*(1+M6)</f>
        <v>2452614.16886857</v>
      </c>
      <c r="N5" s="2" t="n">
        <f aca="false">M5*(1+N6)</f>
        <v>2697875.58575542</v>
      </c>
    </row>
    <row r="6" customFormat="false" ht="12.75" hidden="false" customHeight="false" outlineLevel="0" collapsed="false">
      <c r="A6" s="17" t="s">
        <v>8</v>
      </c>
      <c r="B6" s="17"/>
      <c r="C6" s="18" t="n">
        <f aca="false">C5/B5-1</f>
        <v>0.288771330756097</v>
      </c>
      <c r="D6" s="16"/>
      <c r="E6" s="19" t="n">
        <v>0.45</v>
      </c>
      <c r="F6" s="19" t="n">
        <v>0.55</v>
      </c>
      <c r="G6" s="19" t="n">
        <v>0.45</v>
      </c>
      <c r="H6" s="19" t="n">
        <v>0.35</v>
      </c>
      <c r="I6" s="19" t="n">
        <v>0.25</v>
      </c>
      <c r="J6" s="19" t="n">
        <v>0.15</v>
      </c>
      <c r="K6" s="19" t="n">
        <v>0.1</v>
      </c>
      <c r="L6" s="19" t="n">
        <v>0.1</v>
      </c>
      <c r="M6" s="19" t="n">
        <v>0.1</v>
      </c>
      <c r="N6" s="19" t="n">
        <v>0.1</v>
      </c>
    </row>
    <row r="7" customFormat="false" ht="12.75" hidden="false" customHeight="false" outlineLevel="0" collapsed="false">
      <c r="A7" s="20" t="s">
        <v>9</v>
      </c>
      <c r="B7" s="21" t="n">
        <v>146290</v>
      </c>
      <c r="C7" s="21" t="n">
        <v>183510</v>
      </c>
      <c r="D7" s="22" t="s">
        <v>10</v>
      </c>
      <c r="E7" s="23" t="n">
        <f aca="false">E5*E8</f>
        <v>270389.504</v>
      </c>
      <c r="F7" s="23" t="n">
        <f aca="false">F5*F8</f>
        <v>415829.4833</v>
      </c>
      <c r="G7" s="23" t="n">
        <f aca="false">G5*G8</f>
        <v>602952.750785</v>
      </c>
      <c r="H7" s="23" t="n">
        <f aca="false">H5*H8</f>
        <v>813986.21355975</v>
      </c>
      <c r="I7" s="23" t="n">
        <f aca="false">I5*I8</f>
        <v>1017482.76694969</v>
      </c>
      <c r="J7" s="23" t="n">
        <f aca="false">J5*J8</f>
        <v>1170105.18199214</v>
      </c>
      <c r="K7" s="23" t="n">
        <f aca="false">K5*K8</f>
        <v>1287115.70019135</v>
      </c>
      <c r="L7" s="23" t="n">
        <f aca="false">L5*L8</f>
        <v>1415827.27021049</v>
      </c>
      <c r="M7" s="23" t="n">
        <f aca="false">M5*M8</f>
        <v>1557409.99723154</v>
      </c>
      <c r="N7" s="23" t="n">
        <f aca="false">N5*N8</f>
        <v>1713150.99695469</v>
      </c>
      <c r="O7" s="23"/>
      <c r="P7" s="23"/>
      <c r="Q7" s="23"/>
      <c r="R7" s="23"/>
      <c r="S7" s="23"/>
      <c r="T7" s="23"/>
      <c r="U7" s="23"/>
      <c r="V7" s="23"/>
      <c r="W7" s="23"/>
      <c r="X7" s="23"/>
      <c r="Y7" s="23"/>
    </row>
    <row r="8" customFormat="false" ht="12.75" hidden="false" customHeight="true" outlineLevel="0" collapsed="false">
      <c r="A8" s="24" t="s">
        <v>11</v>
      </c>
      <c r="B8" s="25" t="n">
        <f aca="false">B7/B5</f>
        <v>0.647066108757</v>
      </c>
      <c r="C8" s="25" t="n">
        <f aca="false">C7/C5</f>
        <v>0.629822080667747</v>
      </c>
      <c r="D8" s="26"/>
      <c r="E8" s="27" t="n">
        <v>0.64</v>
      </c>
      <c r="F8" s="27" t="n">
        <v>0.635</v>
      </c>
      <c r="G8" s="27" t="n">
        <v>0.635</v>
      </c>
      <c r="H8" s="27" t="n">
        <v>0.635</v>
      </c>
      <c r="I8" s="27" t="n">
        <v>0.635</v>
      </c>
      <c r="J8" s="27" t="n">
        <v>0.635</v>
      </c>
      <c r="K8" s="27" t="n">
        <v>0.635</v>
      </c>
      <c r="L8" s="27" t="n">
        <v>0.635</v>
      </c>
      <c r="M8" s="27" t="n">
        <v>0.635</v>
      </c>
      <c r="N8" s="27" t="n">
        <v>0.635</v>
      </c>
      <c r="O8" s="28"/>
      <c r="P8" s="28"/>
      <c r="Q8" s="28"/>
      <c r="R8" s="28"/>
      <c r="S8" s="28"/>
      <c r="T8" s="28"/>
      <c r="U8" s="28"/>
      <c r="V8" s="28"/>
      <c r="W8" s="28"/>
      <c r="X8" s="28"/>
      <c r="Y8" s="28"/>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row>
    <row r="9" customFormat="false" ht="12.75" hidden="false" customHeight="false" outlineLevel="0" collapsed="false">
      <c r="A9" s="20" t="s">
        <v>12</v>
      </c>
      <c r="B9" s="21" t="n">
        <f aca="false">B5-B7</f>
        <v>79792</v>
      </c>
      <c r="C9" s="21" t="n">
        <f aca="false">C5-C7</f>
        <v>107858</v>
      </c>
      <c r="D9" s="30"/>
      <c r="E9" s="23" t="n">
        <f aca="false">E5-E7</f>
        <v>152094.096</v>
      </c>
      <c r="F9" s="23" t="n">
        <f aca="false">F5-F7</f>
        <v>239020.0967</v>
      </c>
      <c r="G9" s="23" t="n">
        <f aca="false">G5-G7</f>
        <v>346579.140215</v>
      </c>
      <c r="H9" s="23" t="n">
        <f aca="false">H5-H7</f>
        <v>467881.83929025</v>
      </c>
      <c r="I9" s="23" t="n">
        <f aca="false">I5-I7</f>
        <v>584852.299112813</v>
      </c>
      <c r="J9" s="23" t="n">
        <f aca="false">J5-J7</f>
        <v>672580.143979735</v>
      </c>
      <c r="K9" s="23" t="n">
        <f aca="false">K5-K7</f>
        <v>739838.158377708</v>
      </c>
      <c r="L9" s="23" t="n">
        <f aca="false">L5-L7</f>
        <v>813821.974215479</v>
      </c>
      <c r="M9" s="23" t="n">
        <f aca="false">M5-M7</f>
        <v>895204.171637027</v>
      </c>
      <c r="N9" s="23" t="n">
        <f aca="false">N5-N7</f>
        <v>984724.58880073</v>
      </c>
      <c r="O9" s="23"/>
      <c r="P9" s="23"/>
      <c r="Q9" s="23"/>
      <c r="R9" s="23"/>
      <c r="S9" s="23"/>
      <c r="T9" s="23"/>
      <c r="U9" s="23"/>
      <c r="V9" s="23"/>
      <c r="W9" s="23"/>
      <c r="X9" s="23"/>
      <c r="Y9" s="23"/>
    </row>
    <row r="10" customFormat="false" ht="12.75" hidden="false" customHeight="false" outlineLevel="0" collapsed="false">
      <c r="A10" s="20"/>
      <c r="B10" s="21"/>
      <c r="C10" s="21"/>
      <c r="D10" s="30"/>
      <c r="E10" s="23"/>
      <c r="F10" s="23"/>
      <c r="G10" s="23"/>
      <c r="H10" s="23"/>
      <c r="I10" s="23"/>
      <c r="J10" s="23"/>
      <c r="K10" s="23"/>
      <c r="L10" s="23"/>
      <c r="M10" s="23"/>
      <c r="N10" s="23"/>
      <c r="O10" s="23"/>
      <c r="P10" s="23"/>
      <c r="Q10" s="23"/>
      <c r="R10" s="23"/>
      <c r="S10" s="23"/>
      <c r="T10" s="23"/>
      <c r="U10" s="23"/>
      <c r="V10" s="23"/>
      <c r="W10" s="23"/>
      <c r="X10" s="23"/>
      <c r="Y10" s="23"/>
    </row>
    <row r="11" customFormat="false" ht="12.75" hidden="false" customHeight="false" outlineLevel="0" collapsed="false">
      <c r="A11" s="20" t="s">
        <v>13</v>
      </c>
      <c r="B11" s="21" t="n">
        <v>61713</v>
      </c>
      <c r="C11" s="21" t="n">
        <v>81339</v>
      </c>
      <c r="D11" s="31" t="s">
        <v>10</v>
      </c>
      <c r="E11" s="23" t="n">
        <f aca="false">E5*E12</f>
        <v>109845.736</v>
      </c>
      <c r="F11" s="23" t="n">
        <f aca="false">F5*F12</f>
        <v>176809.3866</v>
      </c>
      <c r="G11" s="23" t="n">
        <f aca="false">G5*G12</f>
        <v>256373.61057</v>
      </c>
      <c r="H11" s="23" t="n">
        <f aca="false">H5*H12</f>
        <v>346104.3742695</v>
      </c>
      <c r="I11" s="23" t="n">
        <f aca="false">I5*I12</f>
        <v>432630.467836875</v>
      </c>
      <c r="J11" s="23" t="n">
        <f aca="false">J5*J12</f>
        <v>497525.038012406</v>
      </c>
      <c r="K11" s="23" t="n">
        <f aca="false">K5*K12</f>
        <v>547277.541813647</v>
      </c>
      <c r="L11" s="23" t="n">
        <f aca="false">L5*L12</f>
        <v>602005.295995012</v>
      </c>
      <c r="M11" s="23" t="n">
        <f aca="false">M5*M12</f>
        <v>662205.825594513</v>
      </c>
      <c r="N11" s="23" t="n">
        <f aca="false">N5*N12</f>
        <v>728426.408153964</v>
      </c>
      <c r="O11" s="23"/>
      <c r="P11" s="23"/>
      <c r="Q11" s="23"/>
      <c r="R11" s="23"/>
      <c r="S11" s="23"/>
      <c r="T11" s="23"/>
      <c r="U11" s="23"/>
      <c r="V11" s="23"/>
      <c r="W11" s="23"/>
      <c r="X11" s="23"/>
      <c r="Y11" s="23"/>
    </row>
    <row r="12" customFormat="false" ht="12.75" hidden="false" customHeight="true" outlineLevel="0" collapsed="false">
      <c r="A12" s="24" t="s">
        <v>11</v>
      </c>
      <c r="B12" s="25" t="n">
        <f aca="false">B11/B5</f>
        <v>0.272967330437629</v>
      </c>
      <c r="C12" s="25" t="n">
        <f aca="false">C11/C5</f>
        <v>0.279162433760742</v>
      </c>
      <c r="D12" s="32"/>
      <c r="E12" s="27" t="n">
        <v>0.26</v>
      </c>
      <c r="F12" s="27" t="n">
        <v>0.27</v>
      </c>
      <c r="G12" s="27" t="n">
        <v>0.27</v>
      </c>
      <c r="H12" s="27" t="n">
        <v>0.27</v>
      </c>
      <c r="I12" s="27" t="n">
        <v>0.27</v>
      </c>
      <c r="J12" s="27" t="n">
        <v>0.27</v>
      </c>
      <c r="K12" s="27" t="n">
        <v>0.27</v>
      </c>
      <c r="L12" s="27" t="n">
        <v>0.27</v>
      </c>
      <c r="M12" s="27" t="n">
        <v>0.27</v>
      </c>
      <c r="N12" s="27" t="n">
        <v>0.27</v>
      </c>
      <c r="O12" s="28"/>
      <c r="P12" s="28"/>
      <c r="Q12" s="28"/>
      <c r="R12" s="28"/>
      <c r="S12" s="28"/>
      <c r="T12" s="28"/>
      <c r="U12" s="28"/>
      <c r="V12" s="28"/>
      <c r="W12" s="28"/>
      <c r="X12" s="28"/>
      <c r="Y12" s="28"/>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row>
    <row r="13" customFormat="false" ht="12.75" hidden="false" customHeight="false" outlineLevel="0" collapsed="false">
      <c r="A13" s="20" t="s">
        <v>14</v>
      </c>
      <c r="B13" s="21" t="n">
        <f aca="false">B9-B11</f>
        <v>18079</v>
      </c>
      <c r="C13" s="21" t="n">
        <f aca="false">C9-C11</f>
        <v>26519</v>
      </c>
      <c r="D13" s="33"/>
      <c r="E13" s="21" t="n">
        <f aca="false">E9-E11</f>
        <v>42248.36</v>
      </c>
      <c r="F13" s="21" t="n">
        <f aca="false">F9-F11</f>
        <v>62210.7101</v>
      </c>
      <c r="G13" s="21" t="n">
        <f aca="false">G9-G11</f>
        <v>90205.529645</v>
      </c>
      <c r="H13" s="21" t="n">
        <f aca="false">H9-H11</f>
        <v>121777.46502075</v>
      </c>
      <c r="I13" s="21" t="n">
        <f aca="false">I9-I11</f>
        <v>152221.831275938</v>
      </c>
      <c r="J13" s="21" t="n">
        <f aca="false">J9-J11</f>
        <v>175055.105967328</v>
      </c>
      <c r="K13" s="21" t="n">
        <f aca="false">K9-K11</f>
        <v>192560.616564061</v>
      </c>
      <c r="L13" s="21" t="n">
        <f aca="false">L9-L11</f>
        <v>211816.678220467</v>
      </c>
      <c r="M13" s="21" t="n">
        <f aca="false">M9-M11</f>
        <v>232998.346042514</v>
      </c>
      <c r="N13" s="21" t="n">
        <f aca="false">N9-N11</f>
        <v>256298.180646765</v>
      </c>
      <c r="O13" s="23"/>
      <c r="P13" s="23"/>
      <c r="Q13" s="23"/>
      <c r="R13" s="23"/>
      <c r="S13" s="23"/>
      <c r="T13" s="23"/>
      <c r="U13" s="23"/>
      <c r="V13" s="23"/>
      <c r="W13" s="23"/>
      <c r="X13" s="23"/>
      <c r="Y13" s="23"/>
    </row>
    <row r="14" customFormat="false" ht="12.75" hidden="false" customHeight="false" outlineLevel="0" collapsed="false">
      <c r="A14" s="34"/>
      <c r="B14" s="21"/>
      <c r="C14" s="21"/>
      <c r="D14" s="33"/>
      <c r="E14" s="23"/>
      <c r="F14" s="23"/>
      <c r="G14" s="23"/>
      <c r="H14" s="23"/>
      <c r="I14" s="23"/>
      <c r="J14" s="23"/>
      <c r="K14" s="23"/>
      <c r="L14" s="23"/>
      <c r="M14" s="23"/>
      <c r="N14" s="23"/>
      <c r="O14" s="23"/>
      <c r="P14" s="23"/>
      <c r="Q14" s="23"/>
      <c r="R14" s="23"/>
      <c r="S14" s="23"/>
      <c r="T14" s="23"/>
      <c r="U14" s="23"/>
      <c r="V14" s="23"/>
      <c r="W14" s="23"/>
      <c r="X14" s="23"/>
      <c r="Y14" s="23"/>
    </row>
    <row r="15" customFormat="false" ht="12.75" hidden="false" customHeight="false" outlineLevel="0" collapsed="false">
      <c r="A15" s="35" t="s">
        <v>15</v>
      </c>
      <c r="B15" s="36" t="n">
        <v>-540</v>
      </c>
      <c r="C15" s="36" t="n">
        <v>-1992</v>
      </c>
      <c r="D15" s="37" t="n">
        <v>-0.003</v>
      </c>
      <c r="E15" s="38" t="n">
        <f aca="false">E5*$D$15</f>
        <v>-1267.4508</v>
      </c>
      <c r="F15" s="38" t="n">
        <f aca="false">F5*$D$15</f>
        <v>-1964.54874</v>
      </c>
      <c r="G15" s="38" t="n">
        <f aca="false">G5*$D$15</f>
        <v>-2848.595673</v>
      </c>
      <c r="H15" s="38" t="n">
        <f aca="false">H5*$D$15</f>
        <v>-3845.60415855</v>
      </c>
      <c r="I15" s="38" t="n">
        <f aca="false">I5*$D$15</f>
        <v>-4807.0051981875</v>
      </c>
      <c r="J15" s="38" t="n">
        <f aca="false">J5*$D$15</f>
        <v>-5528.05597791563</v>
      </c>
      <c r="K15" s="38" t="n">
        <f aca="false">K5*$D$15</f>
        <v>-6080.86157570719</v>
      </c>
      <c r="L15" s="38" t="n">
        <f aca="false">L5*$D$15</f>
        <v>-6688.94773327791</v>
      </c>
      <c r="M15" s="38" t="n">
        <f aca="false">M5*$D$15</f>
        <v>-7357.8425066057</v>
      </c>
      <c r="N15" s="38" t="n">
        <f aca="false">N5*$D$15</f>
        <v>-8093.62675726627</v>
      </c>
      <c r="O15" s="23"/>
      <c r="P15" s="23"/>
      <c r="Q15" s="23"/>
      <c r="R15" s="23"/>
      <c r="S15" s="23"/>
      <c r="T15" s="23"/>
      <c r="U15" s="23"/>
      <c r="V15" s="23"/>
      <c r="W15" s="23"/>
      <c r="X15" s="23"/>
      <c r="Y15" s="23"/>
    </row>
    <row r="16" customFormat="false" ht="12.75" hidden="false" customHeight="false" outlineLevel="0" collapsed="false">
      <c r="A16" s="39" t="s">
        <v>16</v>
      </c>
      <c r="B16" s="40" t="n">
        <f aca="false">B13+B15</f>
        <v>17539</v>
      </c>
      <c r="C16" s="40" t="n">
        <f aca="false">C13+C15</f>
        <v>24527</v>
      </c>
      <c r="D16" s="41"/>
      <c r="E16" s="40" t="n">
        <f aca="false">E13+E15</f>
        <v>40980.9092</v>
      </c>
      <c r="F16" s="40" t="n">
        <f aca="false">F13+F15</f>
        <v>60246.16136</v>
      </c>
      <c r="G16" s="40" t="n">
        <f aca="false">G13+G15</f>
        <v>87356.933972</v>
      </c>
      <c r="H16" s="40" t="n">
        <f aca="false">H13+H15</f>
        <v>117931.8608622</v>
      </c>
      <c r="I16" s="40" t="n">
        <f aca="false">I13+I15</f>
        <v>147414.82607775</v>
      </c>
      <c r="J16" s="40" t="n">
        <f aca="false">J13+J15</f>
        <v>169527.049989413</v>
      </c>
      <c r="K16" s="40" t="n">
        <f aca="false">K13+K15</f>
        <v>186479.754988354</v>
      </c>
      <c r="L16" s="40" t="n">
        <f aca="false">L13+L15</f>
        <v>205127.730487189</v>
      </c>
      <c r="M16" s="40" t="n">
        <f aca="false">M13+M15</f>
        <v>225640.503535908</v>
      </c>
      <c r="N16" s="40" t="n">
        <f aca="false">N13+N15</f>
        <v>248204.553889499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row>
    <row r="17" customFormat="false" ht="12.75" hidden="false" customHeight="false" outlineLevel="0" collapsed="false">
      <c r="A17" s="39"/>
      <c r="B17" s="21"/>
      <c r="C17" s="21"/>
      <c r="D17" s="43"/>
      <c r="E17" s="23"/>
      <c r="F17" s="23"/>
      <c r="G17" s="23"/>
      <c r="H17" s="23"/>
      <c r="I17" s="23"/>
      <c r="J17" s="23"/>
      <c r="K17" s="23"/>
      <c r="L17" s="23"/>
      <c r="M17" s="23"/>
      <c r="N17" s="23"/>
      <c r="O17" s="23"/>
      <c r="P17" s="23"/>
      <c r="Q17" s="23"/>
      <c r="R17" s="23"/>
      <c r="S17" s="23"/>
      <c r="T17" s="23"/>
      <c r="U17" s="23"/>
      <c r="V17" s="23"/>
      <c r="W17" s="23"/>
      <c r="X17" s="23"/>
      <c r="Y17" s="23"/>
    </row>
    <row r="18" customFormat="false" ht="12.75" hidden="false" customHeight="false" outlineLevel="0" collapsed="false">
      <c r="A18" s="20" t="s">
        <v>17</v>
      </c>
      <c r="B18" s="21" t="n">
        <v>5822</v>
      </c>
      <c r="C18" s="21" t="n">
        <v>5528</v>
      </c>
      <c r="D18" s="44" t="n">
        <v>0.094</v>
      </c>
      <c r="E18" s="23" t="n">
        <f aca="false">(('Balance Sheet'!C20+'Balance Sheet'!C15+'Balance Sheet'!E20+'Balance Sheet'!E15)/2)*0.094</f>
        <v>5825.51129353733</v>
      </c>
      <c r="F18" s="23" t="n">
        <f aca="false">(('Balance Sheet'!E20+'Balance Sheet'!E15+'Balance Sheet'!F20+'Balance Sheet'!F15)/2)*0.094</f>
        <v>8606.2489816952</v>
      </c>
      <c r="G18" s="23" t="n">
        <f aca="false">(('Balance Sheet'!F20+'Balance Sheet'!F15+'Balance Sheet'!G20+'Balance Sheet'!G15)/2)*0.094</f>
        <v>12581.6769117201</v>
      </c>
      <c r="H18" s="23" t="n">
        <f aca="false">(('Balance Sheet'!G20+'Balance Sheet'!G15+'Balance Sheet'!H20+'Balance Sheet'!H15)/2)*0.094</f>
        <v>17314.1430396296</v>
      </c>
      <c r="I18" s="23" t="n">
        <f aca="false">(('Balance Sheet'!H20+'Balance Sheet'!H15+'Balance Sheet'!I20+'Balance Sheet'!I15)/2)*0.094</f>
        <v>22241.8674349016</v>
      </c>
      <c r="J18" s="23" t="n">
        <f aca="false">(('Balance Sheet'!I20+'Balance Sheet'!I15+'Balance Sheet'!J20+'Balance Sheet'!J15)/2)*0.094</f>
        <v>26473.0157097019</v>
      </c>
      <c r="K18" s="23" t="n">
        <f aca="false">(('Balance Sheet'!J20+'Balance Sheet'!J15+'Balance Sheet'!K20+'Balance Sheet'!K15)/2)*0.094</f>
        <v>29672.7819222554</v>
      </c>
      <c r="L18" s="23" t="n">
        <f aca="false">(('Balance Sheet'!K20+'Balance Sheet'!K15+'Balance Sheet'!L20+'Balance Sheet'!L15)/2)*0.094</f>
        <v>32587.4013293643</v>
      </c>
      <c r="M18" s="23" t="n">
        <f aca="false">(('Balance Sheet'!L20+'Balance Sheet'!L15+'Balance Sheet'!M20+'Balance Sheet'!M15)/2)*0.094</f>
        <v>35795.0545812174</v>
      </c>
      <c r="N18" s="23" t="n">
        <f aca="false">(('Balance Sheet'!M20+'Balance Sheet'!M15+'Balance Sheet'!N20+'Balance Sheet'!N15)/2)*0.094</f>
        <v>39325.0450622891</v>
      </c>
      <c r="O18" s="23"/>
      <c r="P18" s="23"/>
      <c r="Q18" s="23"/>
      <c r="R18" s="23"/>
      <c r="S18" s="23"/>
      <c r="T18" s="23"/>
      <c r="U18" s="23"/>
      <c r="V18" s="23"/>
      <c r="W18" s="23"/>
      <c r="X18" s="23"/>
      <c r="Y18" s="23"/>
    </row>
    <row r="19" customFormat="false" ht="12.75" hidden="false" customHeight="false" outlineLevel="0" collapsed="false">
      <c r="A19" s="20" t="s">
        <v>18</v>
      </c>
      <c r="B19" s="21" t="n">
        <f aca="false">B16-B18</f>
        <v>11717</v>
      </c>
      <c r="C19" s="21" t="n">
        <f aca="false">C16-C18</f>
        <v>18999</v>
      </c>
      <c r="D19" s="33"/>
      <c r="E19" s="23" t="n">
        <f aca="false">E16-E18</f>
        <v>35155.3979064626</v>
      </c>
      <c r="F19" s="23" t="n">
        <f aca="false">F16-F18</f>
        <v>51639.9123783048</v>
      </c>
      <c r="G19" s="23" t="n">
        <f aca="false">G16-G18</f>
        <v>74775.2570602799</v>
      </c>
      <c r="H19" s="23" t="n">
        <f aca="false">H16-H18</f>
        <v>100617.71782257</v>
      </c>
      <c r="I19" s="23" t="n">
        <f aca="false">I16-I18</f>
        <v>125172.958642848</v>
      </c>
      <c r="J19" s="23" t="n">
        <f aca="false">J16-J18</f>
        <v>143054.034279711</v>
      </c>
      <c r="K19" s="23" t="n">
        <f aca="false">K16-K18</f>
        <v>156806.973066098</v>
      </c>
      <c r="L19" s="23" t="n">
        <f aca="false">L16-L18</f>
        <v>172540.329157825</v>
      </c>
      <c r="M19" s="23" t="n">
        <f aca="false">M16-M18</f>
        <v>189845.448954691</v>
      </c>
      <c r="N19" s="23" t="n">
        <f aca="false">N16-N18</f>
        <v>208879.50882721</v>
      </c>
      <c r="O19" s="23"/>
      <c r="P19" s="23"/>
      <c r="Q19" s="23"/>
      <c r="R19" s="23"/>
      <c r="S19" s="23"/>
      <c r="T19" s="23"/>
      <c r="U19" s="23"/>
      <c r="V19" s="23"/>
      <c r="W19" s="23"/>
      <c r="X19" s="23"/>
      <c r="Y19" s="23"/>
    </row>
    <row r="20" customFormat="false" ht="12.75" hidden="false" customHeight="false" outlineLevel="0" collapsed="false">
      <c r="A20" s="35" t="s">
        <v>19</v>
      </c>
      <c r="B20" s="36" t="n">
        <v>3632</v>
      </c>
      <c r="C20" s="36" t="n">
        <v>6080</v>
      </c>
      <c r="D20" s="45" t="n">
        <v>0.32</v>
      </c>
      <c r="E20" s="38" t="n">
        <f aca="false">$D$20*E19</f>
        <v>11249.727330068</v>
      </c>
      <c r="F20" s="38" t="n">
        <f aca="false">$D$20*F19</f>
        <v>16524.7719610575</v>
      </c>
      <c r="G20" s="38" t="n">
        <f aca="false">$D$20*G19</f>
        <v>23928.0822592896</v>
      </c>
      <c r="H20" s="38" t="n">
        <f aca="false">$D$20*H19</f>
        <v>32197.6697032225</v>
      </c>
      <c r="I20" s="38" t="n">
        <f aca="false">$D$20*I19</f>
        <v>40055.3467657115</v>
      </c>
      <c r="J20" s="38" t="n">
        <f aca="false">$D$20*J19</f>
        <v>45777.2909695074</v>
      </c>
      <c r="K20" s="38" t="n">
        <f aca="false">$D$20*K19</f>
        <v>50178.2313811515</v>
      </c>
      <c r="L20" s="38" t="n">
        <f aca="false">$D$20*L19</f>
        <v>55212.9053305039</v>
      </c>
      <c r="M20" s="38" t="n">
        <f aca="false">$D$20*M19</f>
        <v>60750.543665501</v>
      </c>
      <c r="N20" s="38" t="n">
        <f aca="false">$D$20*N19</f>
        <v>66841.4428247071</v>
      </c>
      <c r="O20" s="23"/>
      <c r="P20" s="23"/>
      <c r="Q20" s="23"/>
      <c r="R20" s="23"/>
      <c r="S20" s="23"/>
      <c r="T20" s="23"/>
      <c r="U20" s="23"/>
      <c r="V20" s="23"/>
      <c r="W20" s="23"/>
      <c r="X20" s="23"/>
      <c r="Y20" s="23"/>
    </row>
    <row r="21" customFormat="false" ht="12.75" hidden="false" customHeight="false" outlineLevel="0" collapsed="false">
      <c r="A21" s="46" t="s">
        <v>20</v>
      </c>
      <c r="B21" s="47" t="n">
        <f aca="false">B19-B20</f>
        <v>8085</v>
      </c>
      <c r="C21" s="47" t="n">
        <f aca="false">C19-C20</f>
        <v>12919</v>
      </c>
      <c r="D21" s="48"/>
      <c r="E21" s="49" t="n">
        <f aca="false">E19-E20</f>
        <v>23905.6705763946</v>
      </c>
      <c r="F21" s="49" t="n">
        <f aca="false">F19-F20</f>
        <v>35115.1404172473</v>
      </c>
      <c r="G21" s="49" t="n">
        <f aca="false">G19-G20</f>
        <v>50847.1748009904</v>
      </c>
      <c r="H21" s="49" t="n">
        <f aca="false">H19-H20</f>
        <v>68420.0481193478</v>
      </c>
      <c r="I21" s="49" t="n">
        <f aca="false">I19-I20</f>
        <v>85117.611877137</v>
      </c>
      <c r="J21" s="49" t="n">
        <f aca="false">J19-J20</f>
        <v>97276.7433102033</v>
      </c>
      <c r="K21" s="49" t="n">
        <f aca="false">K19-K20</f>
        <v>106628.741684947</v>
      </c>
      <c r="L21" s="49" t="n">
        <f aca="false">L19-L20</f>
        <v>117327.423827321</v>
      </c>
      <c r="M21" s="49" t="n">
        <f aca="false">M19-M20</f>
        <v>129094.90528919</v>
      </c>
      <c r="N21" s="49" t="n">
        <f aca="false">N19-N20</f>
        <v>142038.066002503</v>
      </c>
      <c r="O21" s="49"/>
      <c r="P21" s="49"/>
      <c r="Q21" s="49"/>
      <c r="R21" s="49"/>
      <c r="S21" s="49"/>
      <c r="T21" s="49"/>
      <c r="U21" s="49"/>
      <c r="V21" s="49"/>
      <c r="W21" s="49"/>
      <c r="X21" s="49"/>
      <c r="Y21" s="49"/>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D22" s="51"/>
    </row>
    <row r="23" customFormat="false" ht="12.75" hidden="false" customHeight="false" outlineLevel="0" collapsed="false">
      <c r="A23" s="2" t="s">
        <v>21</v>
      </c>
      <c r="D23" s="51"/>
      <c r="E23" s="2" t="n">
        <v>11241</v>
      </c>
      <c r="F23" s="2" t="n">
        <v>11241</v>
      </c>
    </row>
    <row r="24" customFormat="false" ht="12.75" hidden="false" customHeight="false" outlineLevel="0" collapsed="false">
      <c r="D24" s="51"/>
    </row>
    <row r="25" customFormat="false" ht="12.75" hidden="false" customHeight="false" outlineLevel="0" collapsed="false">
      <c r="A25" s="2" t="s">
        <v>22</v>
      </c>
      <c r="D25" s="51"/>
      <c r="E25" s="52" t="n">
        <f aca="false">E21/E23</f>
        <v>2.12664981553194</v>
      </c>
      <c r="F25" s="52" t="n">
        <f aca="false">F21/F23</f>
        <v>3.12384489077905</v>
      </c>
    </row>
    <row r="26" customFormat="false" ht="12.75" hidden="false" customHeight="false" outlineLevel="0" collapsed="false">
      <c r="D26" s="53"/>
    </row>
    <row r="27" customFormat="false" ht="12.75" hidden="false" customHeight="false" outlineLevel="0" collapsed="false">
      <c r="D27" s="54"/>
    </row>
    <row r="28" customFormat="false" ht="12.75" hidden="false" customHeight="false" outlineLevel="0" collapsed="false">
      <c r="D28" s="8"/>
    </row>
    <row r="29" customFormat="false" ht="12.75" hidden="false" customHeight="false" outlineLevel="0" collapsed="false">
      <c r="D29" s="8"/>
    </row>
    <row r="30" customFormat="false" ht="12.75" hidden="false" customHeight="false" outlineLevel="0" collapsed="false">
      <c r="D30" s="8"/>
    </row>
    <row r="31" customFormat="false" ht="12.75" hidden="false" customHeight="false" outlineLevel="0" collapsed="false">
      <c r="D31" s="8"/>
    </row>
    <row r="32" customFormat="false" ht="12.75" hidden="false" customHeight="false" outlineLevel="0" collapsed="false">
      <c r="D32" s="8"/>
    </row>
    <row r="33" customFormat="false" ht="12.75" hidden="false" customHeight="false" outlineLevel="0" collapsed="false">
      <c r="D33" s="8"/>
    </row>
    <row r="34" customFormat="false" ht="12.75" hidden="false" customHeight="false" outlineLevel="0" collapsed="false">
      <c r="D34" s="8"/>
    </row>
    <row r="35" customFormat="false" ht="12.75" hidden="false" customHeight="false" outlineLevel="0" collapsed="false">
      <c r="D35" s="8"/>
    </row>
    <row r="36" customFormat="false" ht="12.75" hidden="false" customHeight="false" outlineLevel="0" collapsed="false">
      <c r="D36" s="8"/>
    </row>
    <row r="37" customFormat="false" ht="12.75" hidden="false" customHeight="false" outlineLevel="0" collapsed="false">
      <c r="D37" s="8"/>
    </row>
    <row r="38" customFormat="false" ht="12.75" hidden="false" customHeight="false" outlineLevel="0" collapsed="false">
      <c r="D38" s="8"/>
    </row>
    <row r="39" customFormat="false" ht="12.75" hidden="false" customHeight="false" outlineLevel="0" collapsed="false">
      <c r="D39" s="55"/>
    </row>
    <row r="40" customFormat="false" ht="12.75" hidden="false" customHeight="false" outlineLevel="0" collapsed="false">
      <c r="D40" s="8"/>
    </row>
    <row r="41" customFormat="false" ht="12.75" hidden="false" customHeight="false" outlineLevel="0" collapsed="false">
      <c r="D41" s="8"/>
    </row>
    <row r="42" customFormat="false" ht="12.75" hidden="false" customHeight="false" outlineLevel="0" collapsed="false">
      <c r="D42" s="56"/>
    </row>
    <row r="43" customFormat="false" ht="12.75" hidden="false" customHeight="false" outlineLevel="0" collapsed="false">
      <c r="D43" s="8"/>
    </row>
    <row r="44" customFormat="false" ht="12.75" hidden="false" customHeight="false" outlineLevel="0" collapsed="false">
      <c r="D44" s="8"/>
    </row>
    <row r="45" customFormat="false" ht="12.75" hidden="false" customHeight="false" outlineLevel="0" collapsed="false">
      <c r="D45" s="8"/>
    </row>
    <row r="46" customFormat="false" ht="12.75" hidden="false" customHeight="false" outlineLevel="0" collapsed="false">
      <c r="D46" s="8"/>
    </row>
    <row r="47" customFormat="false" ht="12.75" hidden="false" customHeight="false" outlineLevel="0" collapsed="false">
      <c r="D47" s="8"/>
    </row>
    <row r="48" customFormat="false" ht="12.75" hidden="false" customHeight="false" outlineLevel="0" collapsed="false">
      <c r="D48" s="8"/>
    </row>
    <row r="49" customFormat="false" ht="12.75" hidden="false" customHeight="false" outlineLevel="0" collapsed="false">
      <c r="D49" s="8"/>
    </row>
    <row r="50" customFormat="false" ht="12.75" hidden="false" customHeight="false" outlineLevel="0" collapsed="false">
      <c r="D50" s="8"/>
    </row>
    <row r="51" customFormat="false" ht="12.75" hidden="false" customHeight="false" outlineLevel="0" collapsed="false">
      <c r="D51" s="8"/>
    </row>
    <row r="52" customFormat="false" ht="12.75" hidden="false" customHeight="false" outlineLevel="0" collapsed="false">
      <c r="D52" s="8"/>
    </row>
    <row r="53" customFormat="false" ht="12.75" hidden="false" customHeight="false" outlineLevel="0" collapsed="false">
      <c r="D53" s="8"/>
    </row>
    <row r="54" customFormat="false" ht="12.75" hidden="false" customHeight="false" outlineLevel="0" collapsed="false">
      <c r="D54" s="8"/>
    </row>
    <row r="55" customFormat="false" ht="12.75" hidden="false" customHeight="false" outlineLevel="0" collapsed="false">
      <c r="D55" s="8"/>
    </row>
    <row r="56" customFormat="false" ht="12.75" hidden="false" customHeight="false" outlineLevel="0" collapsed="false">
      <c r="D56" s="8"/>
    </row>
    <row r="57" customFormat="false" ht="12.75" hidden="false" customHeight="false" outlineLevel="0" collapsed="false">
      <c r="D57" s="8"/>
    </row>
    <row r="58" customFormat="false" ht="12.75" hidden="false" customHeight="false" outlineLevel="0" collapsed="false">
      <c r="D58" s="8"/>
    </row>
    <row r="59" customFormat="false" ht="12.75" hidden="false" customHeight="false" outlineLevel="0" collapsed="false">
      <c r="D59" s="8"/>
    </row>
    <row r="60" customFormat="false" ht="12.75" hidden="false" customHeight="false" outlineLevel="0" collapsed="false">
      <c r="D60" s="8"/>
    </row>
    <row r="61" customFormat="false" ht="12.75" hidden="false" customHeight="false" outlineLevel="0" collapsed="false">
      <c r="D61" s="8"/>
    </row>
    <row r="62" customFormat="false" ht="12.75" hidden="false" customHeight="false" outlineLevel="0" collapsed="false">
      <c r="D62" s="8"/>
    </row>
    <row r="63" customFormat="false" ht="12.75" hidden="false" customHeight="false" outlineLevel="0" collapsed="false">
      <c r="D63" s="8"/>
    </row>
    <row r="64" customFormat="false" ht="12.75" hidden="false" customHeight="false" outlineLevel="0" collapsed="false">
      <c r="D64" s="8"/>
    </row>
    <row r="65" customFormat="false" ht="12.75" hidden="false" customHeight="false" outlineLevel="0" collapsed="false">
      <c r="D65" s="8"/>
    </row>
    <row r="66" customFormat="false" ht="12.75" hidden="false" customHeight="false" outlineLevel="0" collapsed="false">
      <c r="D66" s="8"/>
    </row>
    <row r="67" customFormat="false" ht="12.75" hidden="false" customHeight="false" outlineLevel="0" collapsed="false">
      <c r="D67" s="8"/>
    </row>
    <row r="68" customFormat="false" ht="12.75" hidden="false" customHeight="false" outlineLevel="0" collapsed="false">
      <c r="D68" s="8"/>
    </row>
    <row r="69" customFormat="false" ht="12.75" hidden="false" customHeight="false" outlineLevel="0" collapsed="false">
      <c r="D69" s="8"/>
    </row>
    <row r="70" customFormat="false" ht="12.75" hidden="false" customHeight="false" outlineLevel="0" collapsed="false">
      <c r="D70" s="8"/>
    </row>
    <row r="71" customFormat="false" ht="12.75" hidden="false" customHeight="false" outlineLevel="0" collapsed="false">
      <c r="D71" s="8"/>
    </row>
    <row r="72" customFormat="false" ht="12.75" hidden="false" customHeight="false" outlineLevel="0" collapsed="false">
      <c r="D72" s="57"/>
    </row>
    <row r="73" customFormat="false" ht="12.75" hidden="false" customHeight="false" outlineLevel="0" collapsed="false">
      <c r="D73" s="57"/>
    </row>
    <row r="74" customFormat="false" ht="12.75" hidden="false" customHeight="false" outlineLevel="0" collapsed="false">
      <c r="D74" s="57"/>
    </row>
    <row r="75" customFormat="false" ht="12.75" hidden="false" customHeight="false" outlineLevel="0" collapsed="false">
      <c r="D75" s="57"/>
    </row>
    <row r="76" customFormat="false" ht="12.75" hidden="false" customHeight="false" outlineLevel="0" collapsed="false">
      <c r="D76" s="57"/>
    </row>
    <row r="77" customFormat="false" ht="12.75" hidden="false" customHeight="false" outlineLevel="0" collapsed="false">
      <c r="D77" s="57"/>
    </row>
    <row r="78" customFormat="false" ht="12.75" hidden="false" customHeight="false" outlineLevel="0" collapsed="false">
      <c r="D78" s="57"/>
    </row>
    <row r="79" customFormat="false" ht="12.75" hidden="false" customHeight="false" outlineLevel="0" collapsed="false">
      <c r="D79" s="57"/>
    </row>
    <row r="80" customFormat="false" ht="12.75" hidden="false" customHeight="false" outlineLevel="0" collapsed="false">
      <c r="D80" s="57"/>
    </row>
    <row r="81" customFormat="false" ht="12.75" hidden="false" customHeight="false" outlineLevel="0" collapsed="false">
      <c r="D81" s="57"/>
    </row>
    <row r="82" customFormat="false" ht="12.75" hidden="false" customHeight="false" outlineLevel="0" collapsed="false">
      <c r="D82" s="57"/>
    </row>
    <row r="83" customFormat="false" ht="12.75" hidden="false" customHeight="false" outlineLevel="0" collapsed="false">
      <c r="D83" s="57"/>
    </row>
    <row r="84" customFormat="false" ht="12.75" hidden="false" customHeight="false" outlineLevel="0" collapsed="false">
      <c r="D84" s="57"/>
    </row>
    <row r="85" customFormat="false" ht="12.75" hidden="false" customHeight="false" outlineLevel="0" collapsed="false">
      <c r="D85" s="57"/>
    </row>
    <row r="86" customFormat="false" ht="12.75" hidden="false" customHeight="false" outlineLevel="0" collapsed="false">
      <c r="D86" s="57"/>
    </row>
    <row r="87" customFormat="false" ht="12.75" hidden="false" customHeight="false" outlineLevel="0" collapsed="false">
      <c r="D87" s="57"/>
    </row>
    <row r="88" customFormat="false" ht="12.75" hidden="false" customHeight="false" outlineLevel="0" collapsed="false">
      <c r="D88" s="8"/>
    </row>
    <row r="89" customFormat="false" ht="12.75" hidden="false" customHeight="false" outlineLevel="0" collapsed="false">
      <c r="D89" s="8"/>
    </row>
    <row r="90" customFormat="false" ht="12.75" hidden="false" customHeight="false" outlineLevel="0" collapsed="false">
      <c r="D90" s="8"/>
    </row>
    <row r="91" customFormat="false" ht="12.75" hidden="false" customHeight="false" outlineLevel="0" collapsed="false">
      <c r="D91" s="8"/>
    </row>
    <row r="92" customFormat="false" ht="12.75" hidden="false" customHeight="false" outlineLevel="0" collapsed="false">
      <c r="D92" s="8"/>
    </row>
    <row r="93" customFormat="false" ht="12.75" hidden="false" customHeight="false" outlineLevel="0" collapsed="false">
      <c r="D93" s="8"/>
    </row>
    <row r="94" customFormat="false" ht="12.75" hidden="false" customHeight="false" outlineLevel="0" collapsed="false">
      <c r="D94" s="8"/>
    </row>
    <row r="95" customFormat="false" ht="12.75" hidden="false" customHeight="false" outlineLevel="0" collapsed="false">
      <c r="D95" s="8"/>
    </row>
    <row r="96" customFormat="false" ht="12.75" hidden="false" customHeight="false" outlineLevel="0" collapsed="false">
      <c r="D96" s="8"/>
    </row>
    <row r="97" customFormat="false" ht="12.75" hidden="false" customHeight="false" outlineLevel="0" collapsed="false">
      <c r="D97" s="8"/>
    </row>
    <row r="98" customFormat="false" ht="12.75" hidden="false" customHeight="false" outlineLevel="0" collapsed="false">
      <c r="D98" s="8"/>
    </row>
    <row r="99" customFormat="false" ht="12.75" hidden="false" customHeight="false" outlineLevel="0" collapsed="false">
      <c r="D99" s="8"/>
    </row>
    <row r="100" customFormat="false" ht="12.75" hidden="false" customHeight="false" outlineLevel="0" collapsed="false">
      <c r="D100" s="8"/>
    </row>
    <row r="101" customFormat="false" ht="12.75" hidden="false" customHeight="false" outlineLevel="0" collapsed="false">
      <c r="D101" s="8"/>
    </row>
    <row r="102" customFormat="false" ht="12.75" hidden="false" customHeight="false" outlineLevel="0" collapsed="false">
      <c r="D102" s="8"/>
    </row>
    <row r="103" customFormat="false" ht="12.75" hidden="false" customHeight="false" outlineLevel="0" collapsed="false">
      <c r="D103" s="8"/>
    </row>
    <row r="104" customFormat="false" ht="12.75" hidden="false" customHeight="false" outlineLevel="0" collapsed="false">
      <c r="D104" s="8"/>
    </row>
    <row r="105" customFormat="false" ht="12.75" hidden="false" customHeight="false" outlineLevel="0" collapsed="false">
      <c r="D105" s="8"/>
    </row>
    <row r="106" customFormat="false" ht="12.75" hidden="false" customHeight="false" outlineLevel="0" collapsed="false">
      <c r="D106" s="8"/>
    </row>
    <row r="107" customFormat="false" ht="12.75" hidden="false" customHeight="false" outlineLevel="0" collapsed="false">
      <c r="D107" s="8"/>
    </row>
    <row r="108" customFormat="false" ht="12.75" hidden="false" customHeight="false" outlineLevel="0" collapsed="false">
      <c r="D108" s="8"/>
    </row>
    <row r="109" customFormat="false" ht="12.75" hidden="false" customHeight="false" outlineLevel="0" collapsed="false">
      <c r="D109" s="8"/>
    </row>
    <row r="110" customFormat="false" ht="12.75" hidden="false" customHeight="false" outlineLevel="0" collapsed="false">
      <c r="D110" s="8"/>
    </row>
    <row r="111" customFormat="false" ht="12.75" hidden="false" customHeight="false" outlineLevel="0" collapsed="false">
      <c r="D111" s="8"/>
    </row>
    <row r="112" customFormat="false" ht="12.75" hidden="false" customHeight="false" outlineLevel="0" collapsed="false">
      <c r="D112" s="8"/>
    </row>
    <row r="113" customFormat="false" ht="12.75" hidden="false" customHeight="false" outlineLevel="0" collapsed="false">
      <c r="D113" s="8"/>
    </row>
    <row r="114" customFormat="false" ht="12.75" hidden="false" customHeight="false" outlineLevel="0" collapsed="false">
      <c r="D114" s="8"/>
    </row>
    <row r="115" customFormat="false" ht="12.75" hidden="false" customHeight="false" outlineLevel="0" collapsed="false">
      <c r="D115" s="8"/>
    </row>
    <row r="116" customFormat="false" ht="12.75" hidden="false" customHeight="false" outlineLevel="0" collapsed="false">
      <c r="D116" s="8"/>
    </row>
    <row r="117" customFormat="false" ht="12.75" hidden="false" customHeight="false" outlineLevel="0" collapsed="false">
      <c r="D117" s="8"/>
    </row>
    <row r="118" customFormat="false" ht="12.75" hidden="false" customHeight="false" outlineLevel="0" collapsed="false">
      <c r="D118" s="8"/>
    </row>
    <row r="119" customFormat="false" ht="12.75" hidden="false" customHeight="false" outlineLevel="0" collapsed="false">
      <c r="D119" s="8"/>
    </row>
    <row r="120" customFormat="false" ht="12.75" hidden="false" customHeight="false" outlineLevel="0" collapsed="false">
      <c r="D120" s="8"/>
    </row>
    <row r="121" customFormat="false" ht="12.75" hidden="false" customHeight="false" outlineLevel="0" collapsed="false">
      <c r="D121" s="8"/>
    </row>
    <row r="122" customFormat="false" ht="12.75" hidden="false" customHeight="false" outlineLevel="0" collapsed="false">
      <c r="D122" s="8"/>
    </row>
    <row r="123" customFormat="false" ht="12.75" hidden="false" customHeight="false" outlineLevel="0" collapsed="false">
      <c r="D123" s="8"/>
    </row>
    <row r="124" customFormat="false" ht="12.75" hidden="false" customHeight="false" outlineLevel="0" collapsed="false">
      <c r="D124" s="8"/>
    </row>
    <row r="125" customFormat="false" ht="12.75" hidden="false" customHeight="false" outlineLevel="0" collapsed="false">
      <c r="D125" s="8"/>
    </row>
    <row r="126" customFormat="false" ht="12.75" hidden="false" customHeight="false" outlineLevel="0" collapsed="false">
      <c r="D126" s="8"/>
    </row>
    <row r="127" customFormat="false" ht="12.75" hidden="false" customHeight="false" outlineLevel="0" collapsed="false">
      <c r="D127" s="8"/>
    </row>
    <row r="128" customFormat="false" ht="12.75" hidden="false" customHeight="false" outlineLevel="0" collapsed="false">
      <c r="D128" s="8"/>
    </row>
    <row r="129" customFormat="false" ht="12.75" hidden="false" customHeight="false" outlineLevel="0" collapsed="false">
      <c r="D129" s="8"/>
    </row>
    <row r="130" customFormat="false" ht="12.75" hidden="false" customHeight="false" outlineLevel="0" collapsed="false">
      <c r="D130" s="8"/>
    </row>
    <row r="131" customFormat="false" ht="12.75" hidden="false" customHeight="false" outlineLevel="0" collapsed="false">
      <c r="D131" s="8"/>
    </row>
    <row r="132" customFormat="false" ht="12.75" hidden="false" customHeight="false" outlineLevel="0" collapsed="false">
      <c r="D132" s="8"/>
    </row>
    <row r="133" customFormat="false" ht="12.75" hidden="false" customHeight="false" outlineLevel="0" collapsed="false">
      <c r="D133" s="8"/>
    </row>
    <row r="134" customFormat="false" ht="12.75" hidden="false" customHeight="false" outlineLevel="0" collapsed="false">
      <c r="D134" s="8"/>
    </row>
    <row r="135" customFormat="false" ht="12.75" hidden="false" customHeight="false" outlineLevel="0" collapsed="false">
      <c r="D135" s="8"/>
    </row>
    <row r="136" customFormat="false" ht="12.75" hidden="false" customHeight="false" outlineLevel="0" collapsed="false">
      <c r="D136" s="8"/>
    </row>
    <row r="137" customFormat="false" ht="12.75" hidden="false" customHeight="false" outlineLevel="0" collapsed="false">
      <c r="D137" s="8"/>
    </row>
    <row r="138" customFormat="false" ht="12.75" hidden="false" customHeight="false" outlineLevel="0" collapsed="false">
      <c r="D138" s="8"/>
    </row>
    <row r="139" customFormat="false" ht="12.75" hidden="false" customHeight="false" outlineLevel="0" collapsed="false">
      <c r="D139" s="8"/>
    </row>
    <row r="140" customFormat="false" ht="12.75" hidden="false" customHeight="false" outlineLevel="0" collapsed="false">
      <c r="D140" s="8"/>
    </row>
    <row r="141" customFormat="false" ht="12.75" hidden="false" customHeight="false" outlineLevel="0" collapsed="false">
      <c r="D141" s="8"/>
    </row>
    <row r="142" customFormat="false" ht="12.75" hidden="false" customHeight="false" outlineLevel="0" collapsed="false">
      <c r="D142" s="8"/>
    </row>
    <row r="143" customFormat="false" ht="12.75" hidden="false" customHeight="false" outlineLevel="0" collapsed="false">
      <c r="D143" s="8"/>
    </row>
    <row r="144" customFormat="false" ht="12.75" hidden="false" customHeight="false" outlineLevel="0" collapsed="false">
      <c r="D144" s="8"/>
    </row>
    <row r="145" customFormat="false" ht="12.75" hidden="false" customHeight="false" outlineLevel="0" collapsed="false">
      <c r="D145" s="8"/>
    </row>
    <row r="146" customFormat="false" ht="12.75" hidden="false" customHeight="false" outlineLevel="0" collapsed="false">
      <c r="D146" s="8"/>
    </row>
    <row r="147" customFormat="false" ht="12.75" hidden="false" customHeight="false" outlineLevel="0" collapsed="false">
      <c r="D147" s="8"/>
    </row>
    <row r="148" customFormat="false" ht="12.75" hidden="false" customHeight="false" outlineLevel="0" collapsed="false">
      <c r="D148" s="8"/>
    </row>
    <row r="149" customFormat="false" ht="12.75" hidden="false" customHeight="false" outlineLevel="0" collapsed="false">
      <c r="D149" s="8"/>
    </row>
    <row r="150" customFormat="false" ht="12.75" hidden="false" customHeight="false" outlineLevel="0" collapsed="false">
      <c r="D150" s="8"/>
    </row>
    <row r="151" customFormat="false" ht="12.75" hidden="false" customHeight="false" outlineLevel="0" collapsed="false">
      <c r="D151" s="8"/>
    </row>
    <row r="152" customFormat="false" ht="12.75" hidden="false" customHeight="false" outlineLevel="0" collapsed="false">
      <c r="D152"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0.3515625" defaultRowHeight="12.75" customHeight="true" zeroHeight="false" outlineLevelRow="0" outlineLevelCol="0"/>
  <cols>
    <col collapsed="false" customWidth="true" hidden="false" outlineLevel="0" max="1" min="1" style="2" width="36.8"/>
    <col collapsed="false" customWidth="true" hidden="false" outlineLevel="0" max="3" min="2" style="2" width="11.46"/>
    <col collapsed="false" customWidth="true" hidden="false" outlineLevel="0" max="4" min="4" style="58" width="38.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row>
    <row r="2" customFormat="false" ht="12.75" hidden="false" customHeight="false" outlineLevel="0" collapsed="false">
      <c r="A2" s="5" t="s">
        <v>23</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59" t="s">
        <v>24</v>
      </c>
      <c r="B4" s="60" t="n">
        <v>1991</v>
      </c>
      <c r="C4" s="60" t="n">
        <v>1992</v>
      </c>
      <c r="D4" s="61"/>
      <c r="E4" s="62" t="n">
        <f aca="false">C4+1</f>
        <v>1993</v>
      </c>
      <c r="F4" s="62" t="n">
        <f aca="false">E4+1</f>
        <v>1994</v>
      </c>
      <c r="G4" s="62" t="n">
        <f aca="false">F4+1</f>
        <v>1995</v>
      </c>
      <c r="H4" s="62" t="n">
        <f aca="false">G4+1</f>
        <v>1996</v>
      </c>
      <c r="I4" s="62" t="n">
        <f aca="false">H4+1</f>
        <v>1997</v>
      </c>
      <c r="J4" s="62" t="n">
        <f aca="false">I4+1</f>
        <v>1998</v>
      </c>
      <c r="K4" s="62" t="n">
        <f aca="false">J4+1</f>
        <v>1999</v>
      </c>
      <c r="L4" s="62" t="n">
        <f aca="false">K4+1</f>
        <v>2000</v>
      </c>
      <c r="M4" s="62" t="n">
        <f aca="false">L4+1</f>
        <v>2001</v>
      </c>
      <c r="N4" s="6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2" t="s">
        <v>25</v>
      </c>
      <c r="B5" s="63" t="n">
        <v>7509</v>
      </c>
      <c r="C5" s="63" t="n">
        <v>1220</v>
      </c>
      <c r="D5" s="64" t="n">
        <v>0.008</v>
      </c>
      <c r="E5" s="2" t="n">
        <f aca="false">$D$5*'Income Statement'!E5</f>
        <v>3379.8688</v>
      </c>
      <c r="F5" s="2" t="n">
        <f aca="false">$D$5*'Income Statement'!F5</f>
        <v>5238.79664</v>
      </c>
      <c r="G5" s="2" t="n">
        <f aca="false">$D$5*'Income Statement'!G5</f>
        <v>7596.255128</v>
      </c>
      <c r="H5" s="2" t="n">
        <f aca="false">$D$5*'Income Statement'!H5</f>
        <v>10254.9444228</v>
      </c>
      <c r="I5" s="2" t="n">
        <f aca="false">$D$5*'Income Statement'!I5</f>
        <v>12818.6805285</v>
      </c>
      <c r="J5" s="2" t="n">
        <f aca="false">$D$5*'Income Statement'!J5</f>
        <v>14741.482607775</v>
      </c>
      <c r="K5" s="2" t="n">
        <f aca="false">$D$5*'Income Statement'!K5</f>
        <v>16215.6308685525</v>
      </c>
      <c r="L5" s="2" t="n">
        <f aca="false">$D$5*'Income Statement'!L5</f>
        <v>17837.1939554078</v>
      </c>
      <c r="M5" s="2" t="n">
        <f aca="false">$D$5*'Income Statement'!M5</f>
        <v>19620.9133509485</v>
      </c>
      <c r="N5" s="2" t="n">
        <f aca="false">$D$5*'Income Statement'!N5</f>
        <v>21583.0046860434</v>
      </c>
    </row>
    <row r="6" customFormat="false" ht="12.75" hidden="false" customHeight="false" outlineLevel="0" collapsed="false">
      <c r="A6" s="2" t="s">
        <v>26</v>
      </c>
      <c r="B6" s="63" t="n">
        <v>48043</v>
      </c>
      <c r="C6" s="63" t="n">
        <v>54141</v>
      </c>
      <c r="D6" s="64" t="n">
        <v>0.2</v>
      </c>
      <c r="E6" s="2" t="n">
        <f aca="false">$D$6*'Income Statement'!E5</f>
        <v>84496.72</v>
      </c>
      <c r="F6" s="2" t="n">
        <f aca="false">$D$6*'Income Statement'!F5</f>
        <v>130969.916</v>
      </c>
      <c r="G6" s="2" t="n">
        <f aca="false">$D$6*'Income Statement'!G5</f>
        <v>189906.3782</v>
      </c>
      <c r="H6" s="2" t="n">
        <f aca="false">$D$6*'Income Statement'!H5</f>
        <v>256373.61057</v>
      </c>
      <c r="I6" s="2" t="n">
        <f aca="false">$D$6*'Income Statement'!I5</f>
        <v>320467.0132125</v>
      </c>
      <c r="J6" s="2" t="n">
        <f aca="false">$D$6*'Income Statement'!J5</f>
        <v>368537.065194375</v>
      </c>
      <c r="K6" s="2" t="n">
        <f aca="false">$D$6*'Income Statement'!K5</f>
        <v>405390.771713813</v>
      </c>
      <c r="L6" s="2" t="n">
        <f aca="false">$D$6*'Income Statement'!L5</f>
        <v>445929.848885194</v>
      </c>
      <c r="M6" s="2" t="n">
        <f aca="false">$D$6*'Income Statement'!M5</f>
        <v>490522.833773713</v>
      </c>
      <c r="N6" s="2" t="n">
        <f aca="false">$D$6*'Income Statement'!N5</f>
        <v>539575.117151085</v>
      </c>
    </row>
    <row r="7" customFormat="false" ht="12.75" hidden="false" customHeight="false" outlineLevel="0" collapsed="false">
      <c r="A7" s="2" t="s">
        <v>27</v>
      </c>
      <c r="B7" s="63" t="n">
        <v>58311</v>
      </c>
      <c r="C7" s="63" t="n">
        <v>70542</v>
      </c>
      <c r="D7" s="64" t="n">
        <v>0.24</v>
      </c>
      <c r="E7" s="2" t="n">
        <f aca="false">$D$7*'Income Statement'!E5</f>
        <v>101396.064</v>
      </c>
      <c r="F7" s="2" t="n">
        <f aca="false">$D$7*'Income Statement'!F5</f>
        <v>157163.8992</v>
      </c>
      <c r="G7" s="2" t="n">
        <f aca="false">$D$7*'Income Statement'!G5</f>
        <v>227887.65384</v>
      </c>
      <c r="H7" s="2" t="n">
        <f aca="false">$D$7*'Income Statement'!H5</f>
        <v>307648.332684</v>
      </c>
      <c r="I7" s="2" t="n">
        <f aca="false">$D$7*'Income Statement'!I5</f>
        <v>384560.415855</v>
      </c>
      <c r="J7" s="2" t="n">
        <f aca="false">$D$7*'Income Statement'!J5</f>
        <v>442244.47823325</v>
      </c>
      <c r="K7" s="2" t="n">
        <f aca="false">$D$7*'Income Statement'!K5</f>
        <v>486468.926056575</v>
      </c>
      <c r="L7" s="2" t="n">
        <f aca="false">$D$7*'Income Statement'!L5</f>
        <v>535115.818662233</v>
      </c>
      <c r="M7" s="2" t="n">
        <f aca="false">$D$7*'Income Statement'!M5</f>
        <v>588627.400528456</v>
      </c>
      <c r="N7" s="2" t="n">
        <f aca="false">$D$7*'Income Statement'!N5</f>
        <v>647490.140581302</v>
      </c>
    </row>
    <row r="8" customFormat="false" ht="12.75" hidden="false" customHeight="false" outlineLevel="0" collapsed="false">
      <c r="A8" s="38" t="s">
        <v>28</v>
      </c>
      <c r="B8" s="65" t="n">
        <v>9184</v>
      </c>
      <c r="C8" s="65" t="n">
        <v>11967</v>
      </c>
      <c r="D8" s="66" t="n">
        <v>0.035</v>
      </c>
      <c r="E8" s="38" t="n">
        <f aca="false">$D$8*'Income Statement'!E5</f>
        <v>14786.926</v>
      </c>
      <c r="F8" s="38" t="n">
        <f aca="false">$D$8*'Income Statement'!F5</f>
        <v>22919.7353</v>
      </c>
      <c r="G8" s="38" t="n">
        <f aca="false">$D$8*'Income Statement'!G5</f>
        <v>33233.616185</v>
      </c>
      <c r="H8" s="38" t="n">
        <f aca="false">$D$8*'Income Statement'!H5</f>
        <v>44865.38184975</v>
      </c>
      <c r="I8" s="38" t="n">
        <f aca="false">$D$8*'Income Statement'!I5</f>
        <v>56081.7273121875</v>
      </c>
      <c r="J8" s="38" t="n">
        <f aca="false">$D$8*'Income Statement'!J5</f>
        <v>64493.9864090156</v>
      </c>
      <c r="K8" s="38" t="n">
        <f aca="false">$D$8*'Income Statement'!K5</f>
        <v>70943.3850499172</v>
      </c>
      <c r="L8" s="38" t="n">
        <f aca="false">$D$8*'Income Statement'!L5</f>
        <v>78037.7235549089</v>
      </c>
      <c r="M8" s="38" t="n">
        <f aca="false">$D$8*'Income Statement'!M5</f>
        <v>85841.4959103998</v>
      </c>
      <c r="N8" s="38" t="n">
        <f aca="false">$D$8*'Income Statement'!N5</f>
        <v>94425.6455014398</v>
      </c>
    </row>
    <row r="9" customFormat="false" ht="12.75" hidden="false" customHeight="false" outlineLevel="0" collapsed="false">
      <c r="A9" s="2" t="s">
        <v>29</v>
      </c>
      <c r="B9" s="63" t="n">
        <f aca="false">SUM(B5:B8)</f>
        <v>123047</v>
      </c>
      <c r="C9" s="63" t="n">
        <f aca="false">SUM(C5:C8)</f>
        <v>137870</v>
      </c>
      <c r="E9" s="63" t="n">
        <f aca="false">SUM(E5:E8)</f>
        <v>204059.5788</v>
      </c>
      <c r="F9" s="63" t="n">
        <f aca="false">SUM(F5:F8)</f>
        <v>316292.34714</v>
      </c>
      <c r="G9" s="63" t="n">
        <f aca="false">SUM(G5:G8)</f>
        <v>458623.903353</v>
      </c>
      <c r="H9" s="63" t="n">
        <f aca="false">SUM(H5:H8)</f>
        <v>619142.26952655</v>
      </c>
      <c r="I9" s="63" t="n">
        <f aca="false">SUM(I5:I8)</f>
        <v>773927.836908188</v>
      </c>
      <c r="J9" s="63" t="n">
        <f aca="false">SUM(J5:J8)</f>
        <v>890017.012444416</v>
      </c>
      <c r="K9" s="63" t="n">
        <f aca="false">SUM(K5:K8)</f>
        <v>979018.713688857</v>
      </c>
      <c r="L9" s="63" t="n">
        <f aca="false">SUM(L5:L8)</f>
        <v>1076920.58505774</v>
      </c>
      <c r="M9" s="63" t="n">
        <f aca="false">SUM(M5:M8)</f>
        <v>1184612.64356352</v>
      </c>
      <c r="N9" s="63" t="n">
        <f aca="false">SUM(N5:N8)</f>
        <v>1303073.90791987</v>
      </c>
    </row>
    <row r="10" customFormat="false" ht="12.75" hidden="false" customHeight="false" outlineLevel="0" collapsed="false">
      <c r="A10" s="2" t="s">
        <v>30</v>
      </c>
      <c r="B10" s="63" t="n">
        <v>29749</v>
      </c>
      <c r="C10" s="63" t="n">
        <v>32669</v>
      </c>
      <c r="D10" s="64" t="n">
        <v>0.11</v>
      </c>
      <c r="E10" s="2" t="n">
        <f aca="false">$D$10*'Income Statement'!E5</f>
        <v>46473.196</v>
      </c>
      <c r="F10" s="2" t="n">
        <f aca="false">$D$10*'Income Statement'!F5</f>
        <v>72033.4538</v>
      </c>
      <c r="G10" s="2" t="n">
        <f aca="false">$D$10*'Income Statement'!G5</f>
        <v>104448.50801</v>
      </c>
      <c r="H10" s="2" t="n">
        <f aca="false">$D$10*'Income Statement'!H5</f>
        <v>141005.4858135</v>
      </c>
      <c r="I10" s="2" t="n">
        <f aca="false">$D$10*'Income Statement'!I5</f>
        <v>176256.857266875</v>
      </c>
      <c r="J10" s="2" t="n">
        <f aca="false">$D$10*'Income Statement'!J5</f>
        <v>202695.385856906</v>
      </c>
      <c r="K10" s="2" t="n">
        <f aca="false">$D$10*'Income Statement'!K5</f>
        <v>222964.924442597</v>
      </c>
      <c r="L10" s="2" t="n">
        <f aca="false">$D$10*'Income Statement'!L5</f>
        <v>245261.416886857</v>
      </c>
      <c r="M10" s="2" t="n">
        <f aca="false">$D$10*'Income Statement'!M5</f>
        <v>269787.558575542</v>
      </c>
      <c r="N10" s="2" t="n">
        <f aca="false">$D$10*'Income Statement'!N5</f>
        <v>296766.314433097</v>
      </c>
    </row>
    <row r="11" customFormat="false" ht="12.75" hidden="false" customHeight="false" outlineLevel="0" collapsed="false">
      <c r="A11" s="2" t="s">
        <v>31</v>
      </c>
      <c r="B11" s="63" t="n">
        <v>19608</v>
      </c>
      <c r="C11" s="63" t="n">
        <v>18931</v>
      </c>
      <c r="D11" s="67" t="s">
        <v>32</v>
      </c>
      <c r="E11" s="2" t="n">
        <f aca="false">C11-($C$11/30)</f>
        <v>18299.9666666667</v>
      </c>
      <c r="F11" s="2" t="n">
        <f aca="false">E11-($C$11/30)</f>
        <v>17668.9333333333</v>
      </c>
      <c r="G11" s="2" t="n">
        <f aca="false">F11-($C$11/30)</f>
        <v>17037.9</v>
      </c>
      <c r="H11" s="2" t="n">
        <f aca="false">G11-($C$11/30)</f>
        <v>16406.8666666667</v>
      </c>
      <c r="I11" s="2" t="n">
        <f aca="false">H11-($C$11/30)</f>
        <v>15775.8333333333</v>
      </c>
      <c r="J11" s="2" t="n">
        <f aca="false">I11-($C$11/30)</f>
        <v>15144.8</v>
      </c>
      <c r="K11" s="2" t="n">
        <f aca="false">J11-($C$11/30)</f>
        <v>14513.7666666667</v>
      </c>
      <c r="L11" s="2" t="n">
        <f aca="false">K11-($C$11/30)</f>
        <v>13882.7333333333</v>
      </c>
      <c r="M11" s="2" t="n">
        <f aca="false">L11-($C$11/30)</f>
        <v>13251.7</v>
      </c>
      <c r="N11" s="2" t="n">
        <f aca="false">M11-($C$11/30)</f>
        <v>12620.6666666667</v>
      </c>
    </row>
    <row r="12" customFormat="false" ht="12.75" hidden="false" customHeight="false" outlineLevel="0" collapsed="false">
      <c r="A12" s="38" t="s">
        <v>33</v>
      </c>
      <c r="B12" s="65" t="n">
        <v>5066</v>
      </c>
      <c r="C12" s="65" t="n">
        <v>4647</v>
      </c>
      <c r="D12" s="66" t="n">
        <v>0.015</v>
      </c>
      <c r="E12" s="38" t="n">
        <f aca="false">$D$12*'Income Statement'!E5</f>
        <v>6337.254</v>
      </c>
      <c r="F12" s="38" t="n">
        <f aca="false">$D$12*'Income Statement'!F5</f>
        <v>9822.7437</v>
      </c>
      <c r="G12" s="38" t="n">
        <f aca="false">$D$12*'Income Statement'!G5</f>
        <v>14242.978365</v>
      </c>
      <c r="H12" s="38" t="n">
        <f aca="false">$D$12*'Income Statement'!H5</f>
        <v>19228.02079275</v>
      </c>
      <c r="I12" s="38" t="n">
        <f aca="false">$D$12*'Income Statement'!I5</f>
        <v>24035.0259909375</v>
      </c>
      <c r="J12" s="38" t="n">
        <f aca="false">$D$12*'Income Statement'!J5</f>
        <v>27640.2798895781</v>
      </c>
      <c r="K12" s="38" t="n">
        <f aca="false">$D$12*'Income Statement'!K5</f>
        <v>30404.3078785359</v>
      </c>
      <c r="L12" s="38" t="n">
        <f aca="false">$D$12*'Income Statement'!L5</f>
        <v>33444.7386663895</v>
      </c>
      <c r="M12" s="38" t="n">
        <f aca="false">$D$12*'Income Statement'!M5</f>
        <v>36789.2125330285</v>
      </c>
      <c r="N12" s="38" t="n">
        <f aca="false">$D$12*'Income Statement'!N5</f>
        <v>40468.1337863313</v>
      </c>
    </row>
    <row r="13" customFormat="false" ht="12.75" hidden="false" customHeight="false" outlineLevel="0" collapsed="false">
      <c r="A13" s="49" t="s">
        <v>34</v>
      </c>
      <c r="B13" s="68" t="n">
        <f aca="false">SUM(B9:B12)</f>
        <v>177470</v>
      </c>
      <c r="C13" s="68" t="n">
        <f aca="false">SUM(C9:C12)</f>
        <v>194117</v>
      </c>
      <c r="D13" s="69"/>
      <c r="E13" s="68" t="n">
        <f aca="false">SUM(E9:E12)</f>
        <v>275169.995466667</v>
      </c>
      <c r="F13" s="68" t="n">
        <f aca="false">SUM(F9:F12)</f>
        <v>415817.477973333</v>
      </c>
      <c r="G13" s="68" t="n">
        <f aca="false">SUM(G9:G12)</f>
        <v>594353.289728</v>
      </c>
      <c r="H13" s="68" t="n">
        <f aca="false">SUM(H9:H12)</f>
        <v>795782.642799467</v>
      </c>
      <c r="I13" s="68" t="n">
        <f aca="false">SUM(I9:I12)</f>
        <v>989995.553499334</v>
      </c>
      <c r="J13" s="68" t="n">
        <f aca="false">SUM(J9:J12)</f>
        <v>1135497.4781909</v>
      </c>
      <c r="K13" s="68" t="n">
        <f aca="false">SUM(K9:K12)</f>
        <v>1246901.71267666</v>
      </c>
      <c r="L13" s="68" t="n">
        <f aca="false">SUM(L9:L12)</f>
        <v>1369509.47394432</v>
      </c>
      <c r="M13" s="68" t="n">
        <f aca="false">SUM(M9:M12)</f>
        <v>1504441.11467209</v>
      </c>
      <c r="N13" s="68" t="n">
        <f aca="false">SUM(N9:N12)</f>
        <v>1652929.02280596</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row>
    <row r="14" customFormat="false" ht="12.75" hidden="false" customHeight="false" outlineLevel="0" collapsed="false">
      <c r="A14" s="70"/>
      <c r="B14" s="71"/>
      <c r="C14" s="71"/>
      <c r="D14" s="72"/>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c r="IW14" s="70"/>
    </row>
    <row r="15" customFormat="false" ht="12.75" hidden="false" customHeight="false" outlineLevel="0" collapsed="false">
      <c r="A15" s="70" t="s">
        <v>35</v>
      </c>
      <c r="B15" s="71" t="n">
        <v>759</v>
      </c>
      <c r="C15" s="71" t="n">
        <v>6851</v>
      </c>
      <c r="D15" s="73" t="n">
        <v>0.035</v>
      </c>
      <c r="E15" s="70" t="n">
        <f aca="false">$D$15*E13</f>
        <v>9630.94984133333</v>
      </c>
      <c r="F15" s="70" t="n">
        <f aca="false">$D$15*F13</f>
        <v>14553.6117290667</v>
      </c>
      <c r="G15" s="70" t="n">
        <f aca="false">$D$15*G13</f>
        <v>20802.36514048</v>
      </c>
      <c r="H15" s="70" t="n">
        <f aca="false">$D$15*H13</f>
        <v>27852.3924979813</v>
      </c>
      <c r="I15" s="70" t="n">
        <f aca="false">$D$15*I13</f>
        <v>34649.8443724767</v>
      </c>
      <c r="J15" s="70" t="n">
        <f aca="false">$D$15*J13</f>
        <v>39742.4117366815</v>
      </c>
      <c r="K15" s="70" t="n">
        <f aca="false">$D$15*K13</f>
        <v>43641.559943683</v>
      </c>
      <c r="L15" s="70" t="n">
        <f aca="false">$D$15*L13</f>
        <v>47932.8315880513</v>
      </c>
      <c r="M15" s="70" t="n">
        <f aca="false">$D$15*M13</f>
        <v>52655.4390135231</v>
      </c>
      <c r="N15" s="70" t="n">
        <f aca="false">$D$15*N13</f>
        <v>57852.5157982088</v>
      </c>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c r="IW15" s="70"/>
    </row>
    <row r="16" customFormat="false" ht="12.75" hidden="false" customHeight="false" outlineLevel="0" collapsed="false">
      <c r="A16" s="70" t="s">
        <v>36</v>
      </c>
      <c r="B16" s="71" t="n">
        <v>12372</v>
      </c>
      <c r="C16" s="71" t="n">
        <v>14121</v>
      </c>
      <c r="D16" s="64" t="n">
        <v>0.06</v>
      </c>
      <c r="E16" s="70" t="n">
        <f aca="false">$D$16*'Income Statement'!E5</f>
        <v>25349.016</v>
      </c>
      <c r="F16" s="70" t="n">
        <f aca="false">$D$16*'Income Statement'!F5</f>
        <v>39290.9748</v>
      </c>
      <c r="G16" s="70" t="n">
        <f aca="false">$D$16*'Income Statement'!G5</f>
        <v>56971.91346</v>
      </c>
      <c r="H16" s="70" t="n">
        <f aca="false">$D$16*'Income Statement'!H5</f>
        <v>76912.083171</v>
      </c>
      <c r="I16" s="70" t="n">
        <f aca="false">$D$16*'Income Statement'!I5</f>
        <v>96140.10396375</v>
      </c>
      <c r="J16" s="70" t="n">
        <f aca="false">$D$16*'Income Statement'!J5</f>
        <v>110561.119558313</v>
      </c>
      <c r="K16" s="70" t="n">
        <f aca="false">$D$16*'Income Statement'!K5</f>
        <v>121617.231514144</v>
      </c>
      <c r="L16" s="70" t="n">
        <f aca="false">$D$16*'Income Statement'!L5</f>
        <v>133778.954665558</v>
      </c>
      <c r="M16" s="70" t="n">
        <f aca="false">$D$16*'Income Statement'!M5</f>
        <v>147156.850132114</v>
      </c>
      <c r="N16" s="70" t="n">
        <f aca="false">$D$16*'Income Statement'!N5</f>
        <v>161872.535145325</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c r="IW16" s="70"/>
    </row>
    <row r="17" customFormat="false" ht="12.75" hidden="false" customHeight="false" outlineLevel="0" collapsed="false">
      <c r="A17" s="74" t="s">
        <v>37</v>
      </c>
      <c r="B17" s="75" t="n">
        <v>19591</v>
      </c>
      <c r="C17" s="75" t="n">
        <v>19828</v>
      </c>
      <c r="D17" s="66" t="n">
        <v>0.052</v>
      </c>
      <c r="E17" s="74" t="n">
        <f aca="false">$D$17*'Income Statement'!E5</f>
        <v>21969.1472</v>
      </c>
      <c r="F17" s="74" t="n">
        <f aca="false">$D$17*'Income Statement'!F5</f>
        <v>34052.17816</v>
      </c>
      <c r="G17" s="74" t="n">
        <f aca="false">$D$17*'Income Statement'!G5</f>
        <v>49375.658332</v>
      </c>
      <c r="H17" s="74" t="n">
        <f aca="false">$D$17*'Income Statement'!H5</f>
        <v>66657.1387482</v>
      </c>
      <c r="I17" s="74" t="n">
        <f aca="false">$D$17*'Income Statement'!I5</f>
        <v>83321.42343525</v>
      </c>
      <c r="J17" s="74" t="n">
        <f aca="false">$D$17*'Income Statement'!J5</f>
        <v>95819.6369505375</v>
      </c>
      <c r="K17" s="74" t="n">
        <f aca="false">$D$17*'Income Statement'!K5</f>
        <v>105401.600645591</v>
      </c>
      <c r="L17" s="74" t="n">
        <f aca="false">$D$17*'Income Statement'!L5</f>
        <v>115941.76071015</v>
      </c>
      <c r="M17" s="74" t="n">
        <f aca="false">$D$17*'Income Statement'!M5</f>
        <v>127535.936781165</v>
      </c>
      <c r="N17" s="74" t="n">
        <f aca="false">$D$17*'Income Statement'!N5</f>
        <v>140289.530459282</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c r="IW17" s="70"/>
    </row>
    <row r="18" customFormat="false" ht="12.75" hidden="false" customHeight="false" outlineLevel="0" collapsed="false">
      <c r="A18" s="70" t="s">
        <v>38</v>
      </c>
      <c r="B18" s="71" t="n">
        <f aca="false">SUM(B15:B17)</f>
        <v>32722</v>
      </c>
      <c r="C18" s="71" t="n">
        <f aca="false">SUM(C15:C17)</f>
        <v>40800</v>
      </c>
      <c r="D18" s="72"/>
      <c r="E18" s="71" t="n">
        <f aca="false">SUM(E15:E17)</f>
        <v>56949.1130413333</v>
      </c>
      <c r="F18" s="71" t="n">
        <f aca="false">SUM(F15:F17)</f>
        <v>87896.7646890667</v>
      </c>
      <c r="G18" s="71" t="n">
        <f aca="false">SUM(G15:G17)</f>
        <v>127149.93693248</v>
      </c>
      <c r="H18" s="71" t="n">
        <f aca="false">SUM(H15:H17)</f>
        <v>171421.614417181</v>
      </c>
      <c r="I18" s="71" t="n">
        <f aca="false">SUM(I15:I17)</f>
        <v>214111.371771477</v>
      </c>
      <c r="J18" s="71" t="n">
        <f aca="false">SUM(J15:J17)</f>
        <v>246123.168245532</v>
      </c>
      <c r="K18" s="71" t="n">
        <f aca="false">SUM(K15:K17)</f>
        <v>270660.392103418</v>
      </c>
      <c r="L18" s="71" t="n">
        <f aca="false">SUM(L15:L17)</f>
        <v>297653.54696376</v>
      </c>
      <c r="M18" s="71" t="n">
        <f aca="false">SUM(M15:M17)</f>
        <v>327348.225926803</v>
      </c>
      <c r="N18" s="71" t="n">
        <f aca="false">SUM(N15:N17)</f>
        <v>360014.581402816</v>
      </c>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c r="IW18" s="70"/>
    </row>
    <row r="19" customFormat="false" ht="12.75" hidden="false" customHeight="false" outlineLevel="0" collapsed="false">
      <c r="A19" s="70" t="s">
        <v>39</v>
      </c>
      <c r="B19" s="71" t="n">
        <v>4422</v>
      </c>
      <c r="C19" s="71" t="n">
        <v>4541</v>
      </c>
      <c r="D19" s="64" t="n">
        <v>0.02</v>
      </c>
      <c r="E19" s="70" t="n">
        <f aca="false">$D$19*'Income Statement'!E5</f>
        <v>8449.672</v>
      </c>
      <c r="F19" s="70" t="n">
        <f aca="false">$D$19*'Income Statement'!F5</f>
        <v>13096.9916</v>
      </c>
      <c r="G19" s="70" t="n">
        <f aca="false">$D$19*'Income Statement'!G5</f>
        <v>18990.63782</v>
      </c>
      <c r="H19" s="70" t="n">
        <f aca="false">$D$19*'Income Statement'!H5</f>
        <v>25637.361057</v>
      </c>
      <c r="I19" s="70" t="n">
        <f aca="false">$D$19*'Income Statement'!I5</f>
        <v>32046.70132125</v>
      </c>
      <c r="J19" s="70" t="n">
        <f aca="false">$D$19*'Income Statement'!J5</f>
        <v>36853.7065194375</v>
      </c>
      <c r="K19" s="70" t="n">
        <f aca="false">$D$19*'Income Statement'!K5</f>
        <v>40539.0771713813</v>
      </c>
      <c r="L19" s="70" t="n">
        <f aca="false">$D$19*'Income Statement'!L5</f>
        <v>44592.9848885194</v>
      </c>
      <c r="M19" s="70" t="n">
        <f aca="false">$D$19*'Income Statement'!M5</f>
        <v>49052.2833773713</v>
      </c>
      <c r="N19" s="70" t="n">
        <f aca="false">$D$19*'Income Statement'!N5</f>
        <v>53957.5117151085</v>
      </c>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c r="IW19" s="70"/>
    </row>
    <row r="20" customFormat="false" ht="12.75" hidden="false" customHeight="false" outlineLevel="0" collapsed="false">
      <c r="A20" s="74" t="s">
        <v>40</v>
      </c>
      <c r="B20" s="75" t="n">
        <v>46914</v>
      </c>
      <c r="C20" s="75" t="n">
        <v>44176</v>
      </c>
      <c r="D20" s="76" t="n">
        <v>0.23</v>
      </c>
      <c r="E20" s="74" t="n">
        <f aca="false">$D$20*E13</f>
        <v>63289.0989573333</v>
      </c>
      <c r="F20" s="74" t="n">
        <f aca="false">$D$20*F13</f>
        <v>95638.0199338667</v>
      </c>
      <c r="G20" s="74" t="n">
        <f aca="false">$D$20*G13</f>
        <v>136701.25663744</v>
      </c>
      <c r="H20" s="74" t="n">
        <f aca="false">$D$20*H13</f>
        <v>183030.007843877</v>
      </c>
      <c r="I20" s="74" t="n">
        <f aca="false">$D$20*I13</f>
        <v>227698.977304847</v>
      </c>
      <c r="J20" s="74" t="n">
        <f aca="false">$D$20*J13</f>
        <v>261164.419983907</v>
      </c>
      <c r="K20" s="74" t="n">
        <f aca="false">$D$20*K13</f>
        <v>286787.393915631</v>
      </c>
      <c r="L20" s="74" t="n">
        <f aca="false">$D$20*L13</f>
        <v>314987.179007194</v>
      </c>
      <c r="M20" s="74" t="n">
        <f aca="false">$D$20*M13</f>
        <v>346021.45637458</v>
      </c>
      <c r="N20" s="74" t="n">
        <f aca="false">$D$20*N13</f>
        <v>380173.675245372</v>
      </c>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row>
    <row r="21" customFormat="false" ht="12.75" hidden="false" customHeight="false" outlineLevel="0" collapsed="false">
      <c r="A21" s="50" t="s">
        <v>41</v>
      </c>
      <c r="B21" s="77" t="n">
        <f aca="false">SUM(B18:B20)</f>
        <v>84058</v>
      </c>
      <c r="C21" s="77" t="n">
        <f aca="false">SUM(C18:C20)</f>
        <v>89517</v>
      </c>
      <c r="D21" s="78"/>
      <c r="E21" s="77" t="n">
        <f aca="false">SUM(E18:E20)</f>
        <v>128687.883998667</v>
      </c>
      <c r="F21" s="77" t="n">
        <f aca="false">SUM(F18:F20)</f>
        <v>196631.776222933</v>
      </c>
      <c r="G21" s="77" t="n">
        <f aca="false">SUM(G18:G20)</f>
        <v>282841.83138992</v>
      </c>
      <c r="H21" s="77" t="n">
        <f aca="false">SUM(H18:H20)</f>
        <v>380088.983318059</v>
      </c>
      <c r="I21" s="77" t="n">
        <f aca="false">SUM(I18:I20)</f>
        <v>473857.050397573</v>
      </c>
      <c r="J21" s="77" t="n">
        <f aca="false">SUM(J18:J20)</f>
        <v>544141.294748876</v>
      </c>
      <c r="K21" s="77" t="n">
        <f aca="false">SUM(K18:K20)</f>
        <v>597986.86319043</v>
      </c>
      <c r="L21" s="77" t="n">
        <f aca="false">SUM(L18:L20)</f>
        <v>657233.710859474</v>
      </c>
      <c r="M21" s="77" t="n">
        <f aca="false">SUM(M18:M20)</f>
        <v>722421.965678754</v>
      </c>
      <c r="N21" s="77" t="n">
        <f aca="false">SUM(N18:N20)</f>
        <v>794145.768363296</v>
      </c>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A22" s="70" t="s">
        <v>42</v>
      </c>
      <c r="B22" s="71" t="n">
        <v>107</v>
      </c>
      <c r="C22" s="71" t="n">
        <v>107</v>
      </c>
      <c r="D22" s="72"/>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c r="IW22" s="70"/>
    </row>
    <row r="23" customFormat="false" ht="12.75" hidden="false" customHeight="false" outlineLevel="0" collapsed="false">
      <c r="A23" s="70" t="s">
        <v>43</v>
      </c>
      <c r="B23" s="71" t="n">
        <v>53293</v>
      </c>
      <c r="C23" s="71" t="n">
        <v>53758</v>
      </c>
      <c r="D23" s="72"/>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c r="IW23" s="70"/>
    </row>
    <row r="24" customFormat="false" ht="12.75" hidden="false" customHeight="false" outlineLevel="0" collapsed="false">
      <c r="A24" s="70" t="s">
        <v>44</v>
      </c>
      <c r="B24" s="71" t="n">
        <v>38666</v>
      </c>
      <c r="C24" s="71" t="n">
        <v>51585</v>
      </c>
      <c r="D24" s="72"/>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row>
    <row r="25" customFormat="false" ht="12.75" hidden="false" customHeight="false" outlineLevel="0" collapsed="false">
      <c r="A25" s="70" t="s">
        <v>45</v>
      </c>
      <c r="B25" s="71" t="n">
        <v>1346</v>
      </c>
      <c r="C25" s="71" t="n">
        <v>-850</v>
      </c>
      <c r="D25" s="72"/>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row>
    <row r="26" customFormat="false" ht="12.75" hidden="false" customHeight="false" outlineLevel="0" collapsed="false">
      <c r="A26" s="74" t="s">
        <v>46</v>
      </c>
      <c r="B26" s="75" t="n">
        <v>93412</v>
      </c>
      <c r="C26" s="75" t="n">
        <v>104600</v>
      </c>
      <c r="D26" s="79" t="s">
        <v>47</v>
      </c>
      <c r="E26" s="80" t="n">
        <f aca="false">E27-E21</f>
        <v>146482.111468</v>
      </c>
      <c r="F26" s="80" t="n">
        <f aca="false">F27-F21</f>
        <v>219185.7017504</v>
      </c>
      <c r="G26" s="80" t="n">
        <f aca="false">G27-G21</f>
        <v>311511.45833808</v>
      </c>
      <c r="H26" s="80" t="n">
        <f aca="false">H27-H21</f>
        <v>415693.659481408</v>
      </c>
      <c r="I26" s="80" t="n">
        <f aca="false">I27-I21</f>
        <v>516138.50310176</v>
      </c>
      <c r="J26" s="80" t="n">
        <f aca="false">J27-J21</f>
        <v>591356.183442024</v>
      </c>
      <c r="K26" s="80" t="n">
        <f aca="false">K27-K21</f>
        <v>648914.849486226</v>
      </c>
      <c r="L26" s="80" t="n">
        <f aca="false">L27-L21</f>
        <v>712275.763084849</v>
      </c>
      <c r="M26" s="80" t="n">
        <f aca="false">M27-M21</f>
        <v>782019.148993334</v>
      </c>
      <c r="N26" s="80" t="n">
        <f aca="false">N27-N21</f>
        <v>858783.254442668</v>
      </c>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c r="IW26" s="70"/>
    </row>
    <row r="27" customFormat="false" ht="12.75" hidden="false" customHeight="false" outlineLevel="0" collapsed="false">
      <c r="A27" s="81" t="s">
        <v>48</v>
      </c>
      <c r="B27" s="82" t="n">
        <f aca="false">B26+B21</f>
        <v>177470</v>
      </c>
      <c r="C27" s="82" t="n">
        <f aca="false">C26+C21</f>
        <v>194117</v>
      </c>
      <c r="D27" s="83"/>
      <c r="E27" s="84" t="n">
        <f aca="false">E13</f>
        <v>275169.995466667</v>
      </c>
      <c r="F27" s="84" t="n">
        <f aca="false">F13</f>
        <v>415817.477973333</v>
      </c>
      <c r="G27" s="84" t="n">
        <f aca="false">G13</f>
        <v>594353.289728</v>
      </c>
      <c r="H27" s="84" t="n">
        <f aca="false">H13</f>
        <v>795782.642799467</v>
      </c>
      <c r="I27" s="84" t="n">
        <f aca="false">I13</f>
        <v>989995.553499334</v>
      </c>
      <c r="J27" s="84" t="n">
        <f aca="false">J13</f>
        <v>1135497.4781909</v>
      </c>
      <c r="K27" s="84" t="n">
        <f aca="false">K13</f>
        <v>1246901.71267666</v>
      </c>
      <c r="L27" s="84" t="n">
        <f aca="false">L13</f>
        <v>1369509.47394432</v>
      </c>
      <c r="M27" s="84" t="n">
        <f aca="false">M13</f>
        <v>1504441.11467209</v>
      </c>
      <c r="N27" s="84" t="n">
        <f aca="false">N13</f>
        <v>1652929.02280596</v>
      </c>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row>
    <row r="28" customFormat="false" ht="12.75" hidden="false" customHeight="false" outlineLevel="0" collapsed="false">
      <c r="A28" s="70"/>
      <c r="B28" s="85"/>
      <c r="C28" s="85"/>
      <c r="D28" s="86" t="s">
        <v>49</v>
      </c>
      <c r="E28" s="87" t="n">
        <f aca="false">E26-C26-E35-'Income Statement'!E21</f>
        <v>0</v>
      </c>
      <c r="F28" s="87" t="n">
        <f aca="false">F26-E26-F35-'Income Statement'!F21</f>
        <v>0</v>
      </c>
      <c r="G28" s="87" t="n">
        <f aca="false">G26-F26-G35-'Income Statement'!G21</f>
        <v>0</v>
      </c>
      <c r="H28" s="87" t="n">
        <f aca="false">H26-G26-H35-'Income Statement'!H21</f>
        <v>0</v>
      </c>
      <c r="I28" s="87" t="n">
        <f aca="false">I26-H26-I35-'Income Statement'!I21</f>
        <v>0</v>
      </c>
      <c r="J28" s="87" t="n">
        <f aca="false">J26-I26-J35-'Income Statement'!J21</f>
        <v>0</v>
      </c>
      <c r="K28" s="87" t="n">
        <f aca="false">K26-J26-K35-'Income Statement'!K21</f>
        <v>0</v>
      </c>
      <c r="L28" s="87" t="n">
        <f aca="false">L26-K26-L35-'Income Statement'!L21</f>
        <v>0</v>
      </c>
      <c r="M28" s="87" t="n">
        <f aca="false">M26-L26-M35-'Income Statement'!M21</f>
        <v>0</v>
      </c>
      <c r="N28" s="87" t="n">
        <f aca="false">N26-M26-N35-'Income Statement'!N21</f>
        <v>0</v>
      </c>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c r="IW28" s="70"/>
    </row>
    <row r="29" customFormat="false" ht="12.75" hidden="false" customHeight="false" outlineLevel="0" collapsed="false">
      <c r="A29" s="70"/>
      <c r="B29" s="85"/>
      <c r="C29" s="85"/>
      <c r="D29" s="72"/>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c r="IW29" s="70"/>
    </row>
    <row r="30" customFormat="false" ht="12.75" hidden="false" customHeight="false" outlineLevel="0" collapsed="false">
      <c r="A30" s="88" t="s">
        <v>50</v>
      </c>
      <c r="B30" s="70"/>
      <c r="C30" s="70"/>
      <c r="D30" s="72"/>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c r="IW30" s="70"/>
    </row>
    <row r="31" customFormat="false" ht="12.75" hidden="false" customHeight="false" outlineLevel="0" collapsed="false">
      <c r="A31" s="70" t="s">
        <v>51</v>
      </c>
      <c r="B31" s="70"/>
      <c r="C31" s="70"/>
      <c r="D31" s="72"/>
      <c r="E31" s="70" t="n">
        <f aca="false">'Cash Flow, DCF, Ratios'!E20</f>
        <v>-33748.2732106667</v>
      </c>
      <c r="F31" s="70" t="n">
        <f aca="false">'Cash Flow, DCF, Ratios'!F20</f>
        <v>-67148.8555818667</v>
      </c>
      <c r="G31" s="70" t="n">
        <f aca="false">'Cash Flow, DCF, Ratios'!G20</f>
        <v>-77877.5731137066</v>
      </c>
      <c r="H31" s="70" t="n">
        <f aca="false">'Cash Flow, DCF, Ratios'!H20</f>
        <v>-74708.6250261708</v>
      </c>
      <c r="I31" s="70" t="n">
        <f aca="false">'Cash Flow, DCF, Ratios'!I20</f>
        <v>-49105.4471172467</v>
      </c>
      <c r="J31" s="70" t="n">
        <f aca="false">'Cash Flow, DCF, Ratios'!J20</f>
        <v>3425.50568854639</v>
      </c>
      <c r="K31" s="70" t="n">
        <f aca="false">'Cash Flow, DCF, Ratios'!K20</f>
        <v>41199.59346993</v>
      </c>
      <c r="L31" s="70" t="n">
        <f aca="false">'Cash Flow, DCF, Ratios'!L20</f>
        <v>45256.4494835897</v>
      </c>
      <c r="M31" s="70" t="n">
        <f aca="false">'Cash Flow, DCF, Ratios'!M20</f>
        <v>49718.9910986153</v>
      </c>
      <c r="N31" s="70" t="n">
        <f aca="false">'Cash Flow, DCF, Ratios'!N20</f>
        <v>54627.7868751436</v>
      </c>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c r="IW31" s="70"/>
    </row>
    <row r="32" customFormat="false" ht="12.75" hidden="false" customHeight="false" outlineLevel="0" collapsed="false">
      <c r="A32" s="70" t="s">
        <v>52</v>
      </c>
      <c r="B32" s="70"/>
      <c r="C32" s="70"/>
      <c r="D32" s="89" t="s">
        <v>53</v>
      </c>
      <c r="E32" s="70" t="n">
        <f aca="false">-('Income Statement'!E18*(1-'Income Statement'!$D$20))</f>
        <v>-3961.34767960539</v>
      </c>
      <c r="F32" s="70" t="n">
        <f aca="false">-('Income Statement'!F18*(1-'Income Statement'!$D$20))</f>
        <v>-5852.24930755274</v>
      </c>
      <c r="G32" s="70" t="n">
        <f aca="false">-('Income Statement'!G18*(1-'Income Statement'!$D$20))</f>
        <v>-8555.54029996967</v>
      </c>
      <c r="H32" s="70" t="n">
        <f aca="false">-('Income Statement'!H18*(1-'Income Statement'!$D$20))</f>
        <v>-11773.6172669481</v>
      </c>
      <c r="I32" s="70" t="n">
        <f aca="false">-('Income Statement'!I18*(1-'Income Statement'!$D$20))</f>
        <v>-15124.4698557331</v>
      </c>
      <c r="J32" s="70" t="n">
        <f aca="false">-('Income Statement'!J18*(1-'Income Statement'!$D$20))</f>
        <v>-18001.6506825973</v>
      </c>
      <c r="K32" s="70" t="n">
        <f aca="false">-('Income Statement'!K18*(1-'Income Statement'!$D$20))</f>
        <v>-20177.4917071337</v>
      </c>
      <c r="L32" s="70" t="n">
        <f aca="false">-('Income Statement'!L18*(1-'Income Statement'!$D$20))</f>
        <v>-22159.4329039677</v>
      </c>
      <c r="M32" s="70" t="n">
        <f aca="false">-('Income Statement'!M18*(1-'Income Statement'!$D$20))</f>
        <v>-24340.6371152278</v>
      </c>
      <c r="N32" s="70" t="n">
        <f aca="false">-('Income Statement'!N18*(1-'Income Statement'!$D$20))</f>
        <v>-26741.0306423566</v>
      </c>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c r="IW32" s="70"/>
    </row>
    <row r="33" customFormat="false" ht="12.75" hidden="false" customHeight="false" outlineLevel="0" collapsed="false">
      <c r="A33" s="70" t="s">
        <v>54</v>
      </c>
      <c r="B33" s="70"/>
      <c r="C33" s="70"/>
      <c r="D33" s="89"/>
      <c r="E33" s="70" t="n">
        <f aca="false">E31+E32</f>
        <v>-37709.6208902721</v>
      </c>
      <c r="F33" s="70" t="n">
        <f aca="false">F31+F32</f>
        <v>-73001.1048894194</v>
      </c>
      <c r="G33" s="70" t="n">
        <f aca="false">G31+G32</f>
        <v>-86433.1134136763</v>
      </c>
      <c r="H33" s="70" t="n">
        <f aca="false">H31+H32</f>
        <v>-86482.2422931189</v>
      </c>
      <c r="I33" s="70" t="n">
        <f aca="false">I31+I32</f>
        <v>-64229.9169729798</v>
      </c>
      <c r="J33" s="70" t="n">
        <f aca="false">J31+J32</f>
        <v>-14576.1449940509</v>
      </c>
      <c r="K33" s="70" t="n">
        <f aca="false">K31+K32</f>
        <v>21022.1017627964</v>
      </c>
      <c r="L33" s="70" t="n">
        <f aca="false">L31+L32</f>
        <v>23097.016579622</v>
      </c>
      <c r="M33" s="70" t="n">
        <f aca="false">M31+M32</f>
        <v>25378.3539833875</v>
      </c>
      <c r="N33" s="70" t="n">
        <f aca="false">N31+N32</f>
        <v>27886.756232787</v>
      </c>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c r="IW33" s="70"/>
    </row>
    <row r="34" customFormat="false" ht="12.75" hidden="false" customHeight="false" outlineLevel="0" collapsed="false">
      <c r="A34" s="70" t="s">
        <v>55</v>
      </c>
      <c r="B34" s="70"/>
      <c r="C34" s="70"/>
      <c r="D34" s="90" t="s">
        <v>56</v>
      </c>
      <c r="E34" s="70" t="n">
        <f aca="false">(E20+E15)-(C20+C15)</f>
        <v>21893.0487986667</v>
      </c>
      <c r="F34" s="70" t="n">
        <f aca="false">(F20+F15)-(E20+E15)</f>
        <v>37271.5828642667</v>
      </c>
      <c r="G34" s="70" t="n">
        <f aca="false">(G20+G15)-(F20+F15)</f>
        <v>47311.9901149867</v>
      </c>
      <c r="H34" s="70" t="n">
        <f aca="false">(H20+H15)-(G20+G15)</f>
        <v>53378.7785639387</v>
      </c>
      <c r="I34" s="70" t="n">
        <f aca="false">(I20+I15)-(H20+H15)</f>
        <v>51466.4213354646</v>
      </c>
      <c r="J34" s="70" t="n">
        <f aca="false">(J20+J15)-(I20+I15)</f>
        <v>38558.0100432652</v>
      </c>
      <c r="K34" s="70" t="n">
        <f aca="false">(K20+K15)-(J20+J15)</f>
        <v>29522.1221387255</v>
      </c>
      <c r="L34" s="70" t="n">
        <f aca="false">(L20+L15)-(K20+K15)</f>
        <v>32491.0567359314</v>
      </c>
      <c r="M34" s="70" t="n">
        <f aca="false">(M20+M15)-(L20+L15)</f>
        <v>35756.884792858</v>
      </c>
      <c r="N34" s="70" t="n">
        <f aca="false">(N20+N15)-(M20+M15)</f>
        <v>39349.295655477</v>
      </c>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c r="IW34" s="70"/>
    </row>
    <row r="35" customFormat="false" ht="12.75" hidden="false" customHeight="false" outlineLevel="0" collapsed="false">
      <c r="A35" s="70" t="s">
        <v>57</v>
      </c>
      <c r="B35" s="70"/>
      <c r="C35" s="70"/>
      <c r="D35" s="90" t="s">
        <v>58</v>
      </c>
      <c r="E35" s="70" t="n">
        <f aca="false">(E26-C26)-'Income Statement'!E21</f>
        <v>17976.4408916054</v>
      </c>
      <c r="F35" s="70" t="n">
        <f aca="false">(F26-E26)-'Income Statement'!F21</f>
        <v>37588.4498651528</v>
      </c>
      <c r="G35" s="70" t="n">
        <f aca="false">(G26-F26)-'Income Statement'!G21</f>
        <v>41478.5817866896</v>
      </c>
      <c r="H35" s="70" t="n">
        <f aca="false">(H26-G26)-'Income Statement'!H21</f>
        <v>35762.1530239803</v>
      </c>
      <c r="I35" s="70" t="n">
        <f aca="false">(I26-H26)-'Income Statement'!I21</f>
        <v>15327.2317432151</v>
      </c>
      <c r="J35" s="70" t="n">
        <f aca="false">(J26-I26)-'Income Statement'!J21</f>
        <v>-22059.0629699393</v>
      </c>
      <c r="K35" s="70" t="n">
        <f aca="false">(K26-J26)-'Income Statement'!K21</f>
        <v>-49070.0756407446</v>
      </c>
      <c r="L35" s="70" t="n">
        <f aca="false">(L26-K26)-'Income Statement'!L21</f>
        <v>-53966.5102286981</v>
      </c>
      <c r="M35" s="70" t="n">
        <f aca="false">(M26-L26)-'Income Statement'!M21</f>
        <v>-59351.5193807045</v>
      </c>
      <c r="N35" s="70" t="n">
        <f aca="false">(N26-M26)-'Income Statement'!N21</f>
        <v>-65273.9605531691</v>
      </c>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c r="IW35" s="70"/>
    </row>
    <row r="36" customFormat="false" ht="12.75" hidden="false" customHeight="false" outlineLevel="0" collapsed="false">
      <c r="A36" s="70" t="s">
        <v>59</v>
      </c>
      <c r="B36" s="70"/>
      <c r="C36" s="70"/>
      <c r="D36" s="90"/>
      <c r="E36" s="70" t="n">
        <f aca="false">E34+E35</f>
        <v>39869.4896902721</v>
      </c>
      <c r="F36" s="70" t="n">
        <f aca="false">F34+F35</f>
        <v>74860.0327294194</v>
      </c>
      <c r="G36" s="70" t="n">
        <f aca="false">G34+G35</f>
        <v>88790.5719016763</v>
      </c>
      <c r="H36" s="70" t="n">
        <f aca="false">H34+H35</f>
        <v>89140.931587919</v>
      </c>
      <c r="I36" s="70" t="n">
        <f aca="false">I34+I35</f>
        <v>66793.6530786798</v>
      </c>
      <c r="J36" s="70" t="n">
        <f aca="false">J34+J35</f>
        <v>16498.947073326</v>
      </c>
      <c r="K36" s="70" t="n">
        <f aca="false">K34+K35</f>
        <v>-19547.9535020191</v>
      </c>
      <c r="L36" s="70" t="n">
        <f aca="false">L34+L35</f>
        <v>-21475.4534927667</v>
      </c>
      <c r="M36" s="70" t="n">
        <f aca="false">M34+M35</f>
        <v>-23594.6345878466</v>
      </c>
      <c r="N36" s="70" t="n">
        <f aca="false">N34+N35</f>
        <v>-25924.664897692</v>
      </c>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c r="IW36" s="70"/>
    </row>
    <row r="37" customFormat="false" ht="12.75" hidden="false" customHeight="false" outlineLevel="0" collapsed="false">
      <c r="A37" s="70" t="s">
        <v>60</v>
      </c>
      <c r="B37" s="70"/>
      <c r="C37" s="70"/>
      <c r="D37" s="90"/>
      <c r="E37" s="70" t="n">
        <f aca="false">E33+E36</f>
        <v>2159.86879999999</v>
      </c>
      <c r="F37" s="70" t="n">
        <f aca="false">F33+F36</f>
        <v>1858.92784000005</v>
      </c>
      <c r="G37" s="70" t="n">
        <f aca="false">G33+G36</f>
        <v>2357.45848799996</v>
      </c>
      <c r="H37" s="70" t="n">
        <f aca="false">H33+H36</f>
        <v>2658.6892948001</v>
      </c>
      <c r="I37" s="70" t="n">
        <f aca="false">I33+I36</f>
        <v>2563.7361057</v>
      </c>
      <c r="J37" s="70" t="n">
        <f aca="false">J33+J36</f>
        <v>1922.80207927507</v>
      </c>
      <c r="K37" s="70" t="n">
        <f aca="false">K33+K36</f>
        <v>1474.14826077727</v>
      </c>
      <c r="L37" s="70" t="n">
        <f aca="false">L33+L36</f>
        <v>1621.56308685524</v>
      </c>
      <c r="M37" s="70" t="n">
        <f aca="false">M33+M36</f>
        <v>1783.71939554093</v>
      </c>
      <c r="N37" s="70" t="n">
        <f aca="false">N33+N36</f>
        <v>1962.09133509493</v>
      </c>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c r="IW37" s="70"/>
    </row>
    <row r="38" customFormat="false" ht="12.75" hidden="false" customHeight="false" outlineLevel="0" collapsed="false">
      <c r="A38" s="38" t="s">
        <v>61</v>
      </c>
      <c r="B38" s="38"/>
      <c r="C38" s="38"/>
      <c r="D38" s="91" t="s">
        <v>56</v>
      </c>
      <c r="E38" s="38" t="n">
        <f aca="false">E5-C5</f>
        <v>2159.8688</v>
      </c>
      <c r="F38" s="38" t="n">
        <f aca="false">F5-E5</f>
        <v>1858.92784</v>
      </c>
      <c r="G38" s="38" t="n">
        <f aca="false">G5-F5</f>
        <v>2357.458488</v>
      </c>
      <c r="H38" s="38" t="n">
        <f aca="false">H5-G5</f>
        <v>2658.6892948</v>
      </c>
      <c r="I38" s="38" t="n">
        <f aca="false">I5-H5</f>
        <v>2563.7361057</v>
      </c>
      <c r="J38" s="38" t="n">
        <f aca="false">J5-I5</f>
        <v>1922.802079275</v>
      </c>
      <c r="K38" s="38" t="n">
        <f aca="false">K5-J5</f>
        <v>1474.1482607775</v>
      </c>
      <c r="L38" s="38" t="n">
        <f aca="false">L5-K5</f>
        <v>1621.56308685525</v>
      </c>
      <c r="M38" s="38" t="n">
        <f aca="false">M5-L5</f>
        <v>1783.71939554078</v>
      </c>
      <c r="N38" s="38" t="n">
        <f aca="false">N5-M5</f>
        <v>1962.09133509485</v>
      </c>
    </row>
    <row r="39" customFormat="false" ht="12.75" hidden="false" customHeight="false" outlineLevel="0" collapsed="false">
      <c r="D39" s="92" t="s">
        <v>49</v>
      </c>
      <c r="E39" s="93" t="n">
        <f aca="false">E37-E38</f>
        <v>-1.04591890703887E-011</v>
      </c>
      <c r="F39" s="93" t="n">
        <f aca="false">F37-F38</f>
        <v>4.77484718430787E-011</v>
      </c>
      <c r="G39" s="93" t="n">
        <f aca="false">G37-G38</f>
        <v>-4.00177668780088E-011</v>
      </c>
      <c r="H39" s="93" t="n">
        <f aca="false">H37-H38</f>
        <v>1.02772901300341E-010</v>
      </c>
      <c r="I39" s="93" t="n">
        <f aca="false">I37-I38</f>
        <v>0</v>
      </c>
      <c r="J39" s="93" t="n">
        <f aca="false">J37-J38</f>
        <v>7.45785655453801E-011</v>
      </c>
      <c r="K39" s="93" t="n">
        <f aca="false">K37-K38</f>
        <v>-2.31011654250324E-010</v>
      </c>
      <c r="L39" s="93" t="n">
        <f aca="false">L37-L38</f>
        <v>-9.09494701772928E-012</v>
      </c>
      <c r="M39" s="93" t="n">
        <f aca="false">M37-M38</f>
        <v>1.52795109897852E-010</v>
      </c>
      <c r="N39" s="93" t="n">
        <f aca="false">N37-N38</f>
        <v>8.00355337560177E-011</v>
      </c>
    </row>
    <row r="41" customFormat="false" ht="12.75" hidden="false" customHeight="false" outlineLevel="0" collapsed="false">
      <c r="D41" s="6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9" activeCellId="0" sqref="D9"/>
    </sheetView>
  </sheetViews>
  <sheetFormatPr defaultColWidth="10.3515625" defaultRowHeight="12.75" customHeight="true" zeroHeight="false" outlineLevelRow="0" outlineLevelCol="0"/>
  <cols>
    <col collapsed="false" customWidth="true" hidden="false" outlineLevel="0" max="1" min="1" style="2" width="38.65"/>
    <col collapsed="false" customWidth="true" hidden="false" outlineLevel="0" max="3" min="2" style="2" width="12.01"/>
    <col collapsed="false" customWidth="true" hidden="false" outlineLevel="0" max="4" min="4" style="94" width="44.95"/>
    <col collapsed="false" customWidth="true" hidden="false" outlineLevel="0" max="14" min="5" style="2" width="13.12"/>
    <col collapsed="false" customWidth="true" hidden="false" outlineLevel="0" max="15" min="15" style="2" width="12.01"/>
    <col collapsed="false" customWidth="false" hidden="false" outlineLevel="0" max="257" min="16" style="2" width="10.35"/>
  </cols>
  <sheetData>
    <row r="1" customFormat="false" ht="18" hidden="false" customHeight="false" outlineLevel="0" collapsed="false">
      <c r="A1" s="4" t="s">
        <v>0</v>
      </c>
    </row>
    <row r="2" customFormat="false" ht="12.75" hidden="false" customHeight="false" outlineLevel="0" collapsed="false">
      <c r="A2" s="5" t="s">
        <v>62</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2" t="n">
        <v>1991</v>
      </c>
      <c r="C4" s="12" t="n">
        <v>1992</v>
      </c>
      <c r="D4" s="6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88" t="s">
        <v>16</v>
      </c>
      <c r="B5" s="2" t="n">
        <f aca="false">'Income Statement'!B16</f>
        <v>17539</v>
      </c>
      <c r="C5" s="2" t="n">
        <f aca="false">'Income Statement'!C16</f>
        <v>24527</v>
      </c>
      <c r="D5" s="67" t="s">
        <v>63</v>
      </c>
      <c r="E5" s="2" t="n">
        <f aca="false">'Income Statement'!E16</f>
        <v>40980.9092</v>
      </c>
      <c r="F5" s="2" t="n">
        <f aca="false">'Income Statement'!F16</f>
        <v>60246.16136</v>
      </c>
      <c r="G5" s="2" t="n">
        <f aca="false">'Income Statement'!G16</f>
        <v>87356.933972</v>
      </c>
      <c r="H5" s="2" t="n">
        <f aca="false">'Income Statement'!H16</f>
        <v>117931.8608622</v>
      </c>
      <c r="I5" s="2" t="n">
        <f aca="false">'Income Statement'!I16</f>
        <v>147414.82607775</v>
      </c>
      <c r="J5" s="2" t="n">
        <f aca="false">'Income Statement'!J16</f>
        <v>169527.049989413</v>
      </c>
      <c r="K5" s="2" t="n">
        <f aca="false">'Income Statement'!K16</f>
        <v>186479.754988354</v>
      </c>
      <c r="L5" s="2" t="n">
        <f aca="false">'Income Statement'!L16</f>
        <v>205127.730487189</v>
      </c>
      <c r="M5" s="2" t="n">
        <f aca="false">'Income Statement'!M16</f>
        <v>225640.503535908</v>
      </c>
      <c r="N5" s="2" t="n">
        <f aca="false">'Income Statement'!N16</f>
        <v>248204.553889499</v>
      </c>
    </row>
    <row r="6" customFormat="false" ht="12.75" hidden="false" customHeight="false" outlineLevel="0" collapsed="false">
      <c r="A6" s="38" t="s">
        <v>64</v>
      </c>
      <c r="B6" s="38" t="n">
        <f aca="false">B5*('Income Statement'!B20/'Income Statement'!B19)</f>
        <v>5436.6858410856</v>
      </c>
      <c r="C6" s="38" t="n">
        <f aca="false">C5*('Income Statement'!C20/'Income Statement'!C19)</f>
        <v>7849.05310805832</v>
      </c>
      <c r="D6" s="95" t="n">
        <f aca="false">'Income Statement'!D20</f>
        <v>0.32</v>
      </c>
      <c r="E6" s="38" t="n">
        <f aca="false">$D$6*E5</f>
        <v>13113.890944</v>
      </c>
      <c r="F6" s="38" t="n">
        <f aca="false">$D$6*F5</f>
        <v>19278.7716352</v>
      </c>
      <c r="G6" s="38" t="n">
        <f aca="false">$D$6*G5</f>
        <v>27954.21887104</v>
      </c>
      <c r="H6" s="38" t="n">
        <f aca="false">$D$6*H5</f>
        <v>37738.195475904</v>
      </c>
      <c r="I6" s="38" t="n">
        <f aca="false">$D$6*I5</f>
        <v>47172.74434488</v>
      </c>
      <c r="J6" s="38" t="n">
        <f aca="false">$D$6*J5</f>
        <v>54248.655996612</v>
      </c>
      <c r="K6" s="38" t="n">
        <f aca="false">$D$6*K5</f>
        <v>59673.5215962732</v>
      </c>
      <c r="L6" s="38" t="n">
        <f aca="false">$D$6*L5</f>
        <v>65640.8737559005</v>
      </c>
      <c r="M6" s="38" t="n">
        <f aca="false">$D$6*M5</f>
        <v>72204.9611314906</v>
      </c>
      <c r="N6" s="38" t="n">
        <f aca="false">$D$6*N5</f>
        <v>79425.4572446397</v>
      </c>
    </row>
    <row r="7" customFormat="false" ht="12.75" hidden="false" customHeight="false" outlineLevel="0" collapsed="false">
      <c r="A7" s="88" t="s">
        <v>65</v>
      </c>
      <c r="B7" s="88" t="n">
        <f aca="false">B5-B6</f>
        <v>12102.3141589144</v>
      </c>
      <c r="C7" s="88" t="n">
        <f aca="false">C5-C6</f>
        <v>16677.9468919417</v>
      </c>
      <c r="D7" s="96"/>
      <c r="E7" s="2" t="n">
        <f aca="false">E5-E6</f>
        <v>27867.018256</v>
      </c>
      <c r="F7" s="2" t="n">
        <f aca="false">F5-F6</f>
        <v>40967.3897248</v>
      </c>
      <c r="G7" s="2" t="n">
        <f aca="false">G5-G6</f>
        <v>59402.71510096</v>
      </c>
      <c r="H7" s="2" t="n">
        <f aca="false">H5-H6</f>
        <v>80193.665386296</v>
      </c>
      <c r="I7" s="2" t="n">
        <f aca="false">I5-I6</f>
        <v>100242.08173287</v>
      </c>
      <c r="J7" s="2" t="n">
        <f aca="false">J5-J6</f>
        <v>115278.393992801</v>
      </c>
      <c r="K7" s="2" t="n">
        <f aca="false">K5-K6</f>
        <v>126806.233392081</v>
      </c>
      <c r="L7" s="2" t="n">
        <f aca="false">L5-L6</f>
        <v>139486.856731289</v>
      </c>
      <c r="M7" s="2" t="n">
        <f aca="false">M5-M6</f>
        <v>153435.542404418</v>
      </c>
      <c r="N7" s="2" t="n">
        <f aca="false">N5-N6</f>
        <v>168779.096644859</v>
      </c>
    </row>
    <row r="8" customFormat="false" ht="12.75" hidden="false" customHeight="false" outlineLevel="0" collapsed="false">
      <c r="A8" s="88"/>
      <c r="B8" s="88"/>
      <c r="C8" s="88"/>
      <c r="D8" s="96"/>
    </row>
    <row r="9" customFormat="false" ht="12.75" hidden="false" customHeight="false" outlineLevel="0" collapsed="false">
      <c r="A9" s="2" t="s">
        <v>66</v>
      </c>
      <c r="B9" s="2" t="n">
        <v>6304</v>
      </c>
      <c r="C9" s="2" t="n">
        <v>7959</v>
      </c>
      <c r="D9" s="97" t="n">
        <v>0.2</v>
      </c>
      <c r="E9" s="2" t="n">
        <f aca="false">(D9*'Balance Sheet'!C10)+('Balance Sheet'!C11-'Balance Sheet'!E11)</f>
        <v>7164.83333333333</v>
      </c>
      <c r="F9" s="2" t="n">
        <f aca="false">($D$9*'Balance Sheet'!E10)+('Balance Sheet'!E11-'Balance Sheet'!F11)</f>
        <v>9925.67253333333</v>
      </c>
      <c r="G9" s="2" t="n">
        <f aca="false">($D$9*'Balance Sheet'!F10)+('Balance Sheet'!F11-'Balance Sheet'!G11)</f>
        <v>15037.7240933333</v>
      </c>
      <c r="H9" s="2" t="n">
        <f aca="false">($D$9*'Balance Sheet'!G10)+('Balance Sheet'!G11-'Balance Sheet'!H11)</f>
        <v>21520.7349353333</v>
      </c>
      <c r="I9" s="2" t="n">
        <f aca="false">($D$9*'Balance Sheet'!H10)+('Balance Sheet'!H11-'Balance Sheet'!I11)</f>
        <v>28832.1304960333</v>
      </c>
      <c r="J9" s="2" t="n">
        <f aca="false">($D$9*'Balance Sheet'!I10)+('Balance Sheet'!I11-'Balance Sheet'!J11)</f>
        <v>35882.4047867083</v>
      </c>
      <c r="K9" s="2" t="n">
        <f aca="false">($D$9*'Balance Sheet'!J10)+('Balance Sheet'!J11-'Balance Sheet'!K11)</f>
        <v>41170.1105047146</v>
      </c>
      <c r="L9" s="2" t="n">
        <f aca="false">($D$9*'Balance Sheet'!K10)+('Balance Sheet'!K11-'Balance Sheet'!L11)</f>
        <v>45224.0182218527</v>
      </c>
      <c r="M9" s="2" t="n">
        <f aca="false">($D$9*'Balance Sheet'!L10)+('Balance Sheet'!L11-'Balance Sheet'!M11)</f>
        <v>49683.3167107047</v>
      </c>
      <c r="N9" s="2" t="n">
        <f aca="false">($D$9*'Balance Sheet'!M10)+('Balance Sheet'!M11-'Balance Sheet'!N11)</f>
        <v>54588.5450484418</v>
      </c>
    </row>
    <row r="10" customFormat="false" ht="12.75" hidden="false" customHeight="false" outlineLevel="0" collapsed="false">
      <c r="A10" s="2" t="s">
        <v>67</v>
      </c>
      <c r="B10" s="2" t="n">
        <v>0</v>
      </c>
      <c r="C10" s="2" t="n">
        <v>0</v>
      </c>
      <c r="D10" s="67" t="s">
        <v>56</v>
      </c>
      <c r="E10" s="2" t="n">
        <f aca="false">-('Balance Sheet'!E12-'Balance Sheet'!C12)</f>
        <v>-1690.254</v>
      </c>
      <c r="F10" s="2" t="n">
        <f aca="false">-('Balance Sheet'!F12-'Balance Sheet'!E12)</f>
        <v>-3485.4897</v>
      </c>
      <c r="G10" s="2" t="n">
        <f aca="false">-('Balance Sheet'!G12-'Balance Sheet'!F12)</f>
        <v>-4420.234665</v>
      </c>
      <c r="H10" s="2" t="n">
        <f aca="false">-('Balance Sheet'!H12-'Balance Sheet'!G12)</f>
        <v>-4985.04242775</v>
      </c>
      <c r="I10" s="2" t="n">
        <f aca="false">-('Balance Sheet'!I12-'Balance Sheet'!H12)</f>
        <v>-4807.0051981875</v>
      </c>
      <c r="J10" s="2" t="n">
        <f aca="false">-('Balance Sheet'!J12-'Balance Sheet'!I12)</f>
        <v>-3605.25389864063</v>
      </c>
      <c r="K10" s="2" t="n">
        <f aca="false">-('Balance Sheet'!K12-'Balance Sheet'!J12)</f>
        <v>-2764.02798895781</v>
      </c>
      <c r="L10" s="2" t="n">
        <f aca="false">-('Balance Sheet'!L12-'Balance Sheet'!K12)</f>
        <v>-3040.4307878536</v>
      </c>
      <c r="M10" s="2" t="n">
        <f aca="false">-('Balance Sheet'!M12-'Balance Sheet'!L12)</f>
        <v>-3344.47386663896</v>
      </c>
      <c r="N10" s="2" t="n">
        <f aca="false">-('Balance Sheet'!N12-'Balance Sheet'!M12)</f>
        <v>-3678.92125330285</v>
      </c>
    </row>
    <row r="11" customFormat="false" ht="12.75" hidden="false" customHeight="false" outlineLevel="0" collapsed="false">
      <c r="A11" s="23" t="s">
        <v>68</v>
      </c>
      <c r="B11" s="23" t="n">
        <v>-3748</v>
      </c>
      <c r="C11" s="23" t="n">
        <v>119</v>
      </c>
      <c r="D11" s="67" t="s">
        <v>56</v>
      </c>
      <c r="E11" s="23" t="n">
        <f aca="false">'Balance Sheet'!E19-'Balance Sheet'!C19</f>
        <v>3908.672</v>
      </c>
      <c r="F11" s="2" t="n">
        <f aca="false">'Balance Sheet'!F19-'Balance Sheet'!E19</f>
        <v>4647.3196</v>
      </c>
      <c r="G11" s="2" t="n">
        <f aca="false">'Balance Sheet'!G19-'Balance Sheet'!F19</f>
        <v>5893.64622</v>
      </c>
      <c r="H11" s="2" t="n">
        <f aca="false">'Balance Sheet'!H19-'Balance Sheet'!G19</f>
        <v>6646.723237</v>
      </c>
      <c r="I11" s="2" t="n">
        <f aca="false">'Balance Sheet'!I19-'Balance Sheet'!H19</f>
        <v>6409.34026425</v>
      </c>
      <c r="J11" s="2" t="n">
        <f aca="false">'Balance Sheet'!J19-'Balance Sheet'!I19</f>
        <v>4807.0051981875</v>
      </c>
      <c r="K11" s="2" t="n">
        <f aca="false">'Balance Sheet'!K19-'Balance Sheet'!J19</f>
        <v>3685.37065194375</v>
      </c>
      <c r="L11" s="2" t="n">
        <f aca="false">'Balance Sheet'!L19-'Balance Sheet'!K19</f>
        <v>4053.90771713813</v>
      </c>
      <c r="M11" s="2" t="n">
        <f aca="false">'Balance Sheet'!M19-'Balance Sheet'!L19</f>
        <v>4459.29848885194</v>
      </c>
      <c r="N11" s="2" t="n">
        <f aca="false">'Balance Sheet'!N19-'Balance Sheet'!M19</f>
        <v>4905.22833773714</v>
      </c>
    </row>
    <row r="12" customFormat="false" ht="12.75" hidden="false" customHeight="false" outlineLevel="0" collapsed="false">
      <c r="A12" s="98" t="s">
        <v>69</v>
      </c>
      <c r="B12" s="2" t="n">
        <v>-6499</v>
      </c>
      <c r="C12" s="2" t="n">
        <v>-6210</v>
      </c>
      <c r="D12" s="67" t="s">
        <v>56</v>
      </c>
      <c r="E12" s="2" t="n">
        <f aca="false">-('Balance Sheet'!E6-'Balance Sheet'!C6)</f>
        <v>-30355.72</v>
      </c>
      <c r="F12" s="2" t="n">
        <f aca="false">-('Balance Sheet'!F6-'Balance Sheet'!E6)</f>
        <v>-46473.196</v>
      </c>
      <c r="G12" s="2" t="n">
        <f aca="false">-('Balance Sheet'!G6-'Balance Sheet'!F6)</f>
        <v>-58936.4622</v>
      </c>
      <c r="H12" s="2" t="n">
        <f aca="false">-('Balance Sheet'!H6-'Balance Sheet'!G6)</f>
        <v>-66467.23237</v>
      </c>
      <c r="I12" s="2" t="n">
        <f aca="false">-('Balance Sheet'!I6-'Balance Sheet'!H6)</f>
        <v>-64093.4026425001</v>
      </c>
      <c r="J12" s="2" t="n">
        <f aca="false">-('Balance Sheet'!J6-'Balance Sheet'!I6)</f>
        <v>-48070.051981875</v>
      </c>
      <c r="K12" s="2" t="n">
        <f aca="false">-('Balance Sheet'!K6-'Balance Sheet'!J6)</f>
        <v>-36853.7065194376</v>
      </c>
      <c r="L12" s="2" t="n">
        <f aca="false">-('Balance Sheet'!L6-'Balance Sheet'!K6)</f>
        <v>-40539.0771713813</v>
      </c>
      <c r="M12" s="2" t="n">
        <f aca="false">-('Balance Sheet'!M6-'Balance Sheet'!L6)</f>
        <v>-44592.9848885195</v>
      </c>
      <c r="N12" s="2" t="n">
        <f aca="false">-('Balance Sheet'!N6-'Balance Sheet'!M6)</f>
        <v>-49052.2833773714</v>
      </c>
    </row>
    <row r="13" customFormat="false" ht="12.75" hidden="false" customHeight="false" outlineLevel="0" collapsed="false">
      <c r="A13" s="98" t="s">
        <v>70</v>
      </c>
      <c r="B13" s="2" t="n">
        <v>10607</v>
      </c>
      <c r="C13" s="2" t="n">
        <v>-13892</v>
      </c>
      <c r="D13" s="67" t="s">
        <v>56</v>
      </c>
      <c r="E13" s="2" t="n">
        <f aca="false">-('Balance Sheet'!E7-'Balance Sheet'!C7)</f>
        <v>-30854.064</v>
      </c>
      <c r="F13" s="2" t="n">
        <f aca="false">-('Balance Sheet'!F7-'Balance Sheet'!E7)</f>
        <v>-55767.8352</v>
      </c>
      <c r="G13" s="2" t="n">
        <f aca="false">-('Balance Sheet'!G7-'Balance Sheet'!F7)</f>
        <v>-70723.75464</v>
      </c>
      <c r="H13" s="2" t="n">
        <f aca="false">-('Balance Sheet'!H7-'Balance Sheet'!G7)</f>
        <v>-79760.678844</v>
      </c>
      <c r="I13" s="2" t="n">
        <f aca="false">-('Balance Sheet'!I7-'Balance Sheet'!H7)</f>
        <v>-76912.083171</v>
      </c>
      <c r="J13" s="2" t="n">
        <f aca="false">-('Balance Sheet'!J7-'Balance Sheet'!I7)</f>
        <v>-57684.06237825</v>
      </c>
      <c r="K13" s="2" t="n">
        <f aca="false">-('Balance Sheet'!K7-'Balance Sheet'!J7)</f>
        <v>-44224.447823325</v>
      </c>
      <c r="L13" s="2" t="n">
        <f aca="false">-('Balance Sheet'!L7-'Balance Sheet'!K7)</f>
        <v>-48646.8926056576</v>
      </c>
      <c r="M13" s="2" t="n">
        <f aca="false">-('Balance Sheet'!M7-'Balance Sheet'!L7)</f>
        <v>-53511.5818662234</v>
      </c>
      <c r="N13" s="2" t="n">
        <f aca="false">-('Balance Sheet'!N7-'Balance Sheet'!M7)</f>
        <v>-58862.7400528456</v>
      </c>
    </row>
    <row r="14" customFormat="false" ht="12.75" hidden="false" customHeight="false" outlineLevel="0" collapsed="false">
      <c r="A14" s="98" t="s">
        <v>71</v>
      </c>
      <c r="B14" s="2" t="n">
        <v>4826</v>
      </c>
      <c r="C14" s="2" t="n">
        <v>-6440</v>
      </c>
      <c r="D14" s="67" t="s">
        <v>56</v>
      </c>
      <c r="E14" s="2" t="n">
        <f aca="false">-('Balance Sheet'!E8-'Balance Sheet'!C8)</f>
        <v>-2819.926</v>
      </c>
      <c r="F14" s="2" t="n">
        <f aca="false">-('Balance Sheet'!F8-'Balance Sheet'!E8)</f>
        <v>-8132.8093</v>
      </c>
      <c r="G14" s="2" t="n">
        <f aca="false">-('Balance Sheet'!G8-'Balance Sheet'!F8)</f>
        <v>-10313.880885</v>
      </c>
      <c r="H14" s="2" t="n">
        <f aca="false">-('Balance Sheet'!H8-'Balance Sheet'!G8)</f>
        <v>-11631.76566475</v>
      </c>
      <c r="I14" s="2" t="n">
        <f aca="false">-('Balance Sheet'!I8-'Balance Sheet'!H8)</f>
        <v>-11216.3454624375</v>
      </c>
      <c r="J14" s="2" t="n">
        <f aca="false">-('Balance Sheet'!J8-'Balance Sheet'!I8)</f>
        <v>-8412.25909682812</v>
      </c>
      <c r="K14" s="2" t="n">
        <f aca="false">-('Balance Sheet'!K8-'Balance Sheet'!J8)</f>
        <v>-6449.39864090158</v>
      </c>
      <c r="L14" s="2" t="n">
        <f aca="false">-('Balance Sheet'!L8-'Balance Sheet'!K8)</f>
        <v>-7094.33850499171</v>
      </c>
      <c r="M14" s="2" t="n">
        <f aca="false">-('Balance Sheet'!M8-'Balance Sheet'!L8)</f>
        <v>-7803.7723554909</v>
      </c>
      <c r="N14" s="2" t="n">
        <f aca="false">-('Balance Sheet'!N8-'Balance Sheet'!M8)</f>
        <v>-8584.14959104</v>
      </c>
    </row>
    <row r="15" customFormat="false" ht="12.75" hidden="false" customHeight="false" outlineLevel="0" collapsed="false">
      <c r="A15" s="98" t="s">
        <v>72</v>
      </c>
      <c r="B15" s="2" t="n">
        <v>5724</v>
      </c>
      <c r="C15" s="2" t="n">
        <v>1841</v>
      </c>
      <c r="D15" s="67" t="s">
        <v>56</v>
      </c>
      <c r="E15" s="2" t="n">
        <f aca="false">'Balance Sheet'!E16-'Balance Sheet'!C16</f>
        <v>11228.016</v>
      </c>
      <c r="F15" s="2" t="n">
        <f aca="false">'Balance Sheet'!F16-'Balance Sheet'!E16</f>
        <v>13941.9588</v>
      </c>
      <c r="G15" s="2" t="n">
        <f aca="false">'Balance Sheet'!G16-'Balance Sheet'!F16</f>
        <v>17680.93866</v>
      </c>
      <c r="H15" s="2" t="n">
        <f aca="false">'Balance Sheet'!H16-'Balance Sheet'!G16</f>
        <v>19940.169711</v>
      </c>
      <c r="I15" s="2" t="n">
        <f aca="false">'Balance Sheet'!I16-'Balance Sheet'!H16</f>
        <v>19228.02079275</v>
      </c>
      <c r="J15" s="2" t="n">
        <f aca="false">'Balance Sheet'!J16-'Balance Sheet'!I16</f>
        <v>14421.0155945625</v>
      </c>
      <c r="K15" s="2" t="n">
        <f aca="false">'Balance Sheet'!K16-'Balance Sheet'!J16</f>
        <v>11056.1119558313</v>
      </c>
      <c r="L15" s="2" t="n">
        <f aca="false">'Balance Sheet'!L16-'Balance Sheet'!K16</f>
        <v>12161.7231514144</v>
      </c>
      <c r="M15" s="2" t="n">
        <f aca="false">'Balance Sheet'!M16-'Balance Sheet'!L16</f>
        <v>13377.8954665558</v>
      </c>
      <c r="N15" s="2" t="n">
        <f aca="false">'Balance Sheet'!N16-'Balance Sheet'!M16</f>
        <v>14715.6850132114</v>
      </c>
    </row>
    <row r="16" customFormat="false" ht="12.75" hidden="false" customHeight="false" outlineLevel="0" collapsed="false">
      <c r="A16" s="65" t="s">
        <v>73</v>
      </c>
      <c r="B16" s="38" t="n">
        <v>2326</v>
      </c>
      <c r="C16" s="38" t="n">
        <v>3712</v>
      </c>
      <c r="D16" s="99" t="s">
        <v>56</v>
      </c>
      <c r="E16" s="38" t="n">
        <f aca="false">'Balance Sheet'!E17-'Balance Sheet'!C17</f>
        <v>2141.1472</v>
      </c>
      <c r="F16" s="38" t="n">
        <f aca="false">'Balance Sheet'!F17-'Balance Sheet'!E17</f>
        <v>12083.03096</v>
      </c>
      <c r="G16" s="38" t="n">
        <f aca="false">'Balance Sheet'!G17-'Balance Sheet'!F17</f>
        <v>15323.480172</v>
      </c>
      <c r="H16" s="38" t="n">
        <f aca="false">'Balance Sheet'!H17-'Balance Sheet'!G17</f>
        <v>17281.4804162</v>
      </c>
      <c r="I16" s="38" t="n">
        <f aca="false">'Balance Sheet'!I17-'Balance Sheet'!H17</f>
        <v>16664.28468705</v>
      </c>
      <c r="J16" s="38" t="n">
        <f aca="false">'Balance Sheet'!J17-'Balance Sheet'!I17</f>
        <v>12498.2135152875</v>
      </c>
      <c r="K16" s="38" t="n">
        <f aca="false">'Balance Sheet'!K17-'Balance Sheet'!J17</f>
        <v>9581.96369505375</v>
      </c>
      <c r="L16" s="38" t="n">
        <f aca="false">'Balance Sheet'!L17-'Balance Sheet'!K17</f>
        <v>10540.1600645591</v>
      </c>
      <c r="M16" s="38" t="n">
        <f aca="false">'Balance Sheet'!M17-'Balance Sheet'!L17</f>
        <v>11594.1760710151</v>
      </c>
      <c r="N16" s="38" t="n">
        <f aca="false">'Balance Sheet'!N17-'Balance Sheet'!M17</f>
        <v>12753.5936781165</v>
      </c>
      <c r="O16" s="23"/>
    </row>
    <row r="17" customFormat="false" ht="12.75" hidden="false" customHeight="false" outlineLevel="0" collapsed="false">
      <c r="A17" s="88" t="s">
        <v>74</v>
      </c>
      <c r="B17" s="88" t="n">
        <f aca="false">SUM(B7:B16)</f>
        <v>31642.3141589144</v>
      </c>
      <c r="C17" s="88" t="n">
        <f aca="false">SUM(C7:C16)</f>
        <v>3766.94689194168</v>
      </c>
      <c r="D17" s="96"/>
      <c r="E17" s="2" t="n">
        <f aca="false">SUM(E7:E16)</f>
        <v>-13410.2772106667</v>
      </c>
      <c r="F17" s="2" t="n">
        <f aca="false">SUM(F7:F16)</f>
        <v>-32293.9585818667</v>
      </c>
      <c r="G17" s="2" t="n">
        <f aca="false">SUM(G7:G16)</f>
        <v>-31055.8281437067</v>
      </c>
      <c r="H17" s="2" t="n">
        <f aca="false">SUM(H7:H16)</f>
        <v>-17261.9456206707</v>
      </c>
      <c r="I17" s="2" t="n">
        <f aca="false">SUM(I7:I16)</f>
        <v>14347.0214988283</v>
      </c>
      <c r="J17" s="2" t="n">
        <f aca="false">SUM(J7:J16)</f>
        <v>65115.4057319527</v>
      </c>
      <c r="K17" s="2" t="n">
        <f aca="false">SUM(K7:K16)</f>
        <v>102008.209227002</v>
      </c>
      <c r="L17" s="2" t="n">
        <f aca="false">SUM(L7:L16)</f>
        <v>112145.926816369</v>
      </c>
      <c r="M17" s="2" t="n">
        <f aca="false">SUM(M7:M16)</f>
        <v>123297.416164672</v>
      </c>
      <c r="N17" s="2" t="n">
        <f aca="false">SUM(N7:N16)</f>
        <v>135564.054447806</v>
      </c>
    </row>
    <row r="18" customFormat="false" ht="12.75" hidden="false" customHeight="false" outlineLevel="0" collapsed="false">
      <c r="A18" s="88"/>
      <c r="B18" s="88"/>
      <c r="C18" s="88"/>
      <c r="D18" s="96"/>
    </row>
    <row r="19" customFormat="false" ht="12.75" hidden="false" customHeight="false" outlineLevel="0" collapsed="false">
      <c r="A19" s="38" t="s">
        <v>75</v>
      </c>
      <c r="B19" s="38"/>
      <c r="C19" s="38"/>
      <c r="D19" s="99" t="s">
        <v>76</v>
      </c>
      <c r="E19" s="38" t="n">
        <f aca="false">('Balance Sheet'!E10-'Balance Sheet'!C10)+(D9*'Balance Sheet'!C10)</f>
        <v>20337.996</v>
      </c>
      <c r="F19" s="38" t="n">
        <f aca="false">('Balance Sheet'!F10-'Balance Sheet'!E10)+($D$9*'Balance Sheet'!E10)</f>
        <v>34854.897</v>
      </c>
      <c r="G19" s="38" t="n">
        <f aca="false">('Balance Sheet'!G10-'Balance Sheet'!F10)+($D$9*'Balance Sheet'!F10)</f>
        <v>46821.74497</v>
      </c>
      <c r="H19" s="38" t="n">
        <f aca="false">('Balance Sheet'!H10-'Balance Sheet'!G10)+($D$9*'Balance Sheet'!G10)</f>
        <v>57446.6794055</v>
      </c>
      <c r="I19" s="38" t="n">
        <f aca="false">('Balance Sheet'!I10-'Balance Sheet'!H10)+($D$9*'Balance Sheet'!H10)</f>
        <v>63452.468616075</v>
      </c>
      <c r="J19" s="38" t="n">
        <f aca="false">('Balance Sheet'!J10-'Balance Sheet'!I10)+($D$9*'Balance Sheet'!I10)</f>
        <v>61689.9000434063</v>
      </c>
      <c r="K19" s="38" t="n">
        <f aca="false">('Balance Sheet'!K10-'Balance Sheet'!J10)+($D$9*'Balance Sheet'!J10)</f>
        <v>60808.6157570719</v>
      </c>
      <c r="L19" s="38" t="n">
        <f aca="false">('Balance Sheet'!L10-'Balance Sheet'!K10)+($D$9*'Balance Sheet'!K10)</f>
        <v>66889.4773327791</v>
      </c>
      <c r="M19" s="38" t="n">
        <f aca="false">('Balance Sheet'!M10-'Balance Sheet'!L10)+($D$9*'Balance Sheet'!L10)</f>
        <v>73578.425066057</v>
      </c>
      <c r="N19" s="38" t="n">
        <f aca="false">('Balance Sheet'!N10-'Balance Sheet'!M10)+($D$9*'Balance Sheet'!M10)</f>
        <v>80936.2675726627</v>
      </c>
    </row>
    <row r="20" customFormat="false" ht="12.75" hidden="false" customHeight="false" outlineLevel="0" collapsed="false">
      <c r="A20" s="88" t="s">
        <v>77</v>
      </c>
      <c r="B20" s="88"/>
      <c r="C20" s="88"/>
      <c r="D20" s="96"/>
      <c r="E20" s="2" t="n">
        <f aca="false">E17-E19</f>
        <v>-33748.2732106667</v>
      </c>
      <c r="F20" s="2" t="n">
        <f aca="false">F17-F19</f>
        <v>-67148.8555818667</v>
      </c>
      <c r="G20" s="2" t="n">
        <f aca="false">G17-G19</f>
        <v>-77877.5731137066</v>
      </c>
      <c r="H20" s="2" t="n">
        <f aca="false">H17-H19</f>
        <v>-74708.6250261708</v>
      </c>
      <c r="I20" s="2" t="n">
        <f aca="false">I17-I19</f>
        <v>-49105.4471172467</v>
      </c>
      <c r="J20" s="2" t="n">
        <f aca="false">J17-J19</f>
        <v>3425.50568854639</v>
      </c>
      <c r="K20" s="2" t="n">
        <f aca="false">K17-K19</f>
        <v>41199.59346993</v>
      </c>
      <c r="L20" s="2" t="n">
        <f aca="false">L17-L19</f>
        <v>45256.4494835897</v>
      </c>
      <c r="M20" s="2" t="n">
        <f aca="false">M17-M19</f>
        <v>49718.9910986153</v>
      </c>
      <c r="N20" s="2" t="n">
        <f aca="false">N17-N19</f>
        <v>54627.7868751436</v>
      </c>
    </row>
    <row r="21" customFormat="false" ht="12.75" hidden="false" customHeight="false" outlineLevel="0" collapsed="false">
      <c r="A21" s="88"/>
      <c r="B21" s="88"/>
      <c r="C21" s="88"/>
      <c r="D21" s="96"/>
    </row>
    <row r="22" customFormat="false" ht="12.75" hidden="false" customHeight="false" outlineLevel="0" collapsed="false">
      <c r="A22" s="38" t="s">
        <v>78</v>
      </c>
      <c r="B22" s="100"/>
      <c r="C22" s="100"/>
      <c r="D22" s="101" t="n">
        <v>0</v>
      </c>
      <c r="E22" s="38"/>
      <c r="F22" s="38"/>
      <c r="G22" s="38"/>
      <c r="H22" s="38"/>
      <c r="I22" s="38"/>
      <c r="J22" s="38"/>
      <c r="K22" s="38"/>
      <c r="L22" s="38"/>
      <c r="M22" s="38"/>
      <c r="N22" s="38" t="n">
        <f aca="false">N7/(D25-D22)</f>
        <v>1298300.74342199</v>
      </c>
    </row>
    <row r="23" customFormat="false" ht="12.75" hidden="false" customHeight="false" outlineLevel="0" collapsed="false">
      <c r="A23" s="2" t="s">
        <v>79</v>
      </c>
      <c r="B23" s="88"/>
      <c r="C23" s="88"/>
      <c r="D23" s="102"/>
      <c r="E23" s="2" t="n">
        <f aca="false">E20+E22</f>
        <v>-33748.2732106667</v>
      </c>
      <c r="F23" s="2" t="n">
        <f aca="false">F20+F22</f>
        <v>-67148.8555818667</v>
      </c>
      <c r="G23" s="2" t="n">
        <f aca="false">G20+G22</f>
        <v>-77877.5731137066</v>
      </c>
      <c r="H23" s="2" t="n">
        <f aca="false">H20+H22</f>
        <v>-74708.6250261708</v>
      </c>
      <c r="I23" s="2" t="n">
        <f aca="false">I20+I22</f>
        <v>-49105.4471172467</v>
      </c>
      <c r="J23" s="2" t="n">
        <f aca="false">J20+J22</f>
        <v>3425.50568854639</v>
      </c>
      <c r="K23" s="2" t="n">
        <f aca="false">K20+K22</f>
        <v>41199.59346993</v>
      </c>
      <c r="L23" s="2" t="n">
        <f aca="false">L20+L22</f>
        <v>45256.4494835897</v>
      </c>
      <c r="M23" s="2" t="n">
        <f aca="false">M20+M22</f>
        <v>49718.9910986153</v>
      </c>
      <c r="N23" s="2" t="n">
        <f aca="false">N20+N22</f>
        <v>1352928.53029714</v>
      </c>
    </row>
    <row r="24" customFormat="false" ht="12.75" hidden="false" customHeight="false" outlineLevel="0" collapsed="false">
      <c r="B24" s="88"/>
      <c r="C24" s="88"/>
      <c r="D24" s="102"/>
    </row>
    <row r="25" customFormat="false" ht="12.75" hidden="false" customHeight="false" outlineLevel="0" collapsed="false">
      <c r="A25" s="103" t="s">
        <v>80</v>
      </c>
      <c r="B25" s="103"/>
      <c r="C25" s="103"/>
      <c r="D25" s="104" t="n">
        <v>0.13</v>
      </c>
      <c r="E25" s="105" t="n">
        <f aca="false">1/((1+$D$25)^(E4-$C$4))</f>
        <v>0.884955752212389</v>
      </c>
      <c r="F25" s="105" t="n">
        <f aca="false">1/((1+$D$25)^(F4-$C$4))</f>
        <v>0.783146683373796</v>
      </c>
      <c r="G25" s="105" t="n">
        <f aca="false">1/((1+$D$25)^(G4-$C$4))</f>
        <v>0.693050162277696</v>
      </c>
      <c r="H25" s="105" t="n">
        <f aca="false">1/((1+$D$25)^(H4-$C$4))</f>
        <v>0.613318727679377</v>
      </c>
      <c r="I25" s="105" t="n">
        <f aca="false">1/((1+$D$25)^(I4-$C$4))</f>
        <v>0.542759935999449</v>
      </c>
      <c r="J25" s="105" t="n">
        <f aca="false">1/((1+$D$25)^(J4-$C$4))</f>
        <v>0.48031852743314</v>
      </c>
      <c r="K25" s="105" t="n">
        <f aca="false">1/((1+$D$25)^(K4-$C$4))</f>
        <v>0.425060643746142</v>
      </c>
      <c r="L25" s="105" t="n">
        <f aca="false">1/((1+$D$25)^(L4-$C$4))</f>
        <v>0.37615986172225</v>
      </c>
      <c r="M25" s="105" t="n">
        <f aca="false">1/((1+$D$25)^(M4-$C$4))</f>
        <v>0.332884833382522</v>
      </c>
      <c r="N25" s="105" t="n">
        <f aca="false">1/((1+$D$25)^(N4-$C$4))</f>
        <v>0.294588348126126</v>
      </c>
    </row>
    <row r="26" customFormat="false" ht="12.75" hidden="false" customHeight="false" outlineLevel="0" collapsed="false">
      <c r="A26" s="106" t="s">
        <v>81</v>
      </c>
      <c r="D26" s="58"/>
      <c r="E26" s="2" t="n">
        <f aca="false">E23*E25</f>
        <v>-29865.7285050148</v>
      </c>
      <c r="F26" s="2" t="n">
        <f aca="false">F23*F25</f>
        <v>-52587.4035412849</v>
      </c>
      <c r="G26" s="2" t="n">
        <f aca="false">G23*G25</f>
        <v>-53973.0646842475</v>
      </c>
      <c r="H26" s="2" t="n">
        <f aca="false">H23*H25</f>
        <v>-45820.1988477267</v>
      </c>
      <c r="I26" s="2" t="n">
        <f aca="false">I23*I25</f>
        <v>-26652.4693345811</v>
      </c>
      <c r="J26" s="2" t="n">
        <f aca="false">J23*J25</f>
        <v>1645.33384803645</v>
      </c>
      <c r="K26" s="2" t="n">
        <f aca="false">K23*K25</f>
        <v>17512.3257224078</v>
      </c>
      <c r="L26" s="2" t="n">
        <f aca="false">L23*L25</f>
        <v>17023.6597797871</v>
      </c>
      <c r="M26" s="2" t="n">
        <f aca="false">M23*M25</f>
        <v>16550.6980678096</v>
      </c>
      <c r="N26" s="2" t="n">
        <f aca="false">N23*N25</f>
        <v>398556.980872941</v>
      </c>
    </row>
    <row r="27" customFormat="false" ht="12.75" hidden="false" customHeight="false" outlineLevel="0" collapsed="false">
      <c r="A27" s="106"/>
      <c r="D27" s="58"/>
    </row>
    <row r="28" customFormat="false" ht="12.75" hidden="false" customHeight="false" outlineLevel="0" collapsed="false">
      <c r="A28" s="107" t="s">
        <v>82</v>
      </c>
      <c r="B28" s="108" t="n">
        <f aca="false">SUM(E26:N26)</f>
        <v>242390.133378127</v>
      </c>
      <c r="C28" s="80"/>
      <c r="D28" s="2"/>
    </row>
    <row r="29" customFormat="false" ht="12.75" hidden="false" customHeight="false" outlineLevel="0" collapsed="false">
      <c r="A29" s="109" t="s">
        <v>83</v>
      </c>
      <c r="B29" s="110" t="n">
        <f aca="false">-('Balance Sheet'!C20+'Balance Sheet'!C15)</f>
        <v>-51027</v>
      </c>
      <c r="C29" s="80"/>
      <c r="D29" s="2"/>
    </row>
    <row r="30" customFormat="false" ht="12.75" hidden="false" customHeight="false" outlineLevel="0" collapsed="false">
      <c r="A30" s="109" t="s">
        <v>84</v>
      </c>
      <c r="B30" s="111" t="n">
        <v>0</v>
      </c>
      <c r="C30" s="80"/>
      <c r="D30" s="2"/>
    </row>
    <row r="31" customFormat="false" ht="12.75" hidden="false" customHeight="false" outlineLevel="0" collapsed="false">
      <c r="A31" s="109" t="s">
        <v>85</v>
      </c>
      <c r="B31" s="110" t="n">
        <f aca="false">SUM(B28:B30)</f>
        <v>191363.133378127</v>
      </c>
      <c r="C31" s="80"/>
      <c r="D31" s="2"/>
    </row>
    <row r="32" customFormat="false" ht="12.75" hidden="false" customHeight="false" outlineLevel="0" collapsed="false">
      <c r="A32" s="112" t="s">
        <v>86</v>
      </c>
      <c r="B32" s="110" t="n">
        <v>11241</v>
      </c>
      <c r="C32" s="80"/>
      <c r="D32" s="2"/>
    </row>
    <row r="33" customFormat="false" ht="12.75" hidden="false" customHeight="false" outlineLevel="0" collapsed="false">
      <c r="A33" s="113" t="s">
        <v>87</v>
      </c>
      <c r="B33" s="114" t="n">
        <f aca="false">B31/B32</f>
        <v>17.0236752404703</v>
      </c>
      <c r="C33" s="80"/>
      <c r="D33" s="2"/>
    </row>
    <row r="34" customFormat="false" ht="12.75" hidden="false" customHeight="false" outlineLevel="0" collapsed="false">
      <c r="B34" s="23"/>
      <c r="C34" s="23"/>
      <c r="D34" s="33"/>
    </row>
    <row r="35" customFormat="false" ht="12.75" hidden="false" customHeight="false" outlineLevel="0" collapsed="false">
      <c r="D35" s="58"/>
    </row>
    <row r="36" customFormat="false" ht="12.75" hidden="false" customHeight="false" outlineLevel="0" collapsed="false">
      <c r="A36" s="59" t="s">
        <v>88</v>
      </c>
      <c r="B36" s="12" t="n">
        <v>1991</v>
      </c>
      <c r="C36" s="12" t="n">
        <v>1992</v>
      </c>
      <c r="D36" s="115"/>
      <c r="E36" s="12" t="n">
        <f aca="false">C36+1</f>
        <v>1993</v>
      </c>
      <c r="F36" s="12" t="n">
        <f aca="false">E36+1</f>
        <v>1994</v>
      </c>
      <c r="G36" s="12" t="n">
        <f aca="false">F36+1</f>
        <v>1995</v>
      </c>
      <c r="H36" s="12" t="n">
        <f aca="false">G36+1</f>
        <v>1996</v>
      </c>
      <c r="I36" s="12" t="n">
        <f aca="false">H36+1</f>
        <v>1997</v>
      </c>
      <c r="J36" s="12" t="n">
        <f aca="false">I36+1</f>
        <v>1998</v>
      </c>
      <c r="K36" s="12" t="n">
        <f aca="false">J36+1</f>
        <v>1999</v>
      </c>
      <c r="L36" s="12" t="n">
        <f aca="false">K36+1</f>
        <v>2000</v>
      </c>
      <c r="M36" s="12" t="n">
        <f aca="false">L36+1</f>
        <v>2001</v>
      </c>
      <c r="N36" s="12" t="n">
        <f aca="false">M36+1</f>
        <v>2002</v>
      </c>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customFormat="false" ht="12.75" hidden="false" customHeight="false" outlineLevel="0" collapsed="false">
      <c r="A37" s="2" t="s">
        <v>89</v>
      </c>
      <c r="B37" s="116"/>
      <c r="C37" s="116" t="n">
        <f aca="false">C7/'Income Statement'!C5</f>
        <v>0.0572401461105601</v>
      </c>
      <c r="D37" s="117" t="s">
        <v>90</v>
      </c>
      <c r="E37" s="118" t="n">
        <f aca="false">E7/'Income Statement'!E5</f>
        <v>0.0659599999999999</v>
      </c>
      <c r="F37" s="118" t="n">
        <f aca="false">F7/'Income Statement'!F5</f>
        <v>0.06256</v>
      </c>
      <c r="G37" s="118" t="n">
        <f aca="false">G7/'Income Statement'!G5</f>
        <v>0.06256</v>
      </c>
      <c r="H37" s="118" t="n">
        <f aca="false">H7/'Income Statement'!H5</f>
        <v>0.06256</v>
      </c>
      <c r="I37" s="118" t="n">
        <f aca="false">I7/'Income Statement'!I5</f>
        <v>0.06256</v>
      </c>
      <c r="J37" s="118" t="n">
        <f aca="false">J7/'Income Statement'!J5</f>
        <v>0.06256</v>
      </c>
      <c r="K37" s="118" t="n">
        <f aca="false">K7/'Income Statement'!K5</f>
        <v>0.06256</v>
      </c>
      <c r="L37" s="118" t="n">
        <f aca="false">L7/'Income Statement'!L5</f>
        <v>0.06256</v>
      </c>
      <c r="M37" s="118" t="n">
        <f aca="false">M7/'Income Statement'!M5</f>
        <v>0.06256</v>
      </c>
      <c r="N37" s="118" t="n">
        <f aca="false">N7/'Income Statement'!N5</f>
        <v>0.06256</v>
      </c>
    </row>
    <row r="38" customFormat="false" ht="12.75" hidden="false" customHeight="false" outlineLevel="0" collapsed="false">
      <c r="A38" s="2" t="s">
        <v>91</v>
      </c>
      <c r="B38" s="119"/>
      <c r="C38" s="119" t="n">
        <f aca="false">'Income Statement'!C5/(('Balance Sheet'!B13+'Balance Sheet'!C13)/2)</f>
        <v>1.56823570254072</v>
      </c>
      <c r="D38" s="117" t="s">
        <v>92</v>
      </c>
      <c r="E38" s="119" t="n">
        <f aca="false">'Income Statement'!E5/(('Balance Sheet'!C13+'Balance Sheet'!E13)/2)</f>
        <v>1.80053401897436</v>
      </c>
      <c r="F38" s="119" t="n">
        <f aca="false">'Income Statement'!F5/(('Balance Sheet'!E13+'Balance Sheet'!F13)/2)</f>
        <v>1.89540217491906</v>
      </c>
      <c r="G38" s="119" t="n">
        <f aca="false">'Income Statement'!G5/(('Balance Sheet'!F13+'Balance Sheet'!G13)/2)</f>
        <v>1.87994331524893</v>
      </c>
      <c r="H38" s="119" t="n">
        <f aca="false">'Income Statement'!H5/(('Balance Sheet'!G13+'Balance Sheet'!H13)/2)</f>
        <v>1.84423411100435</v>
      </c>
      <c r="I38" s="119" t="n">
        <f aca="false">'Income Statement'!I5/(('Balance Sheet'!H13+'Balance Sheet'!I13)/2)</f>
        <v>1.79455104713844</v>
      </c>
      <c r="J38" s="119" t="n">
        <f aca="false">'Income Statement'!J5/(('Balance Sheet'!I13+'Balance Sheet'!J13)/2)</f>
        <v>1.73388978321565</v>
      </c>
      <c r="K38" s="119" t="n">
        <f aca="false">'Income Statement'!K5/(('Balance Sheet'!J13+'Balance Sheet'!K13)/2)</f>
        <v>1.70160724226148</v>
      </c>
      <c r="L38" s="119" t="n">
        <f aca="false">'Income Statement'!L5/(('Balance Sheet'!K13+'Balance Sheet'!L13)/2)</f>
        <v>1.70435691135039</v>
      </c>
      <c r="M38" s="119" t="n">
        <f aca="false">'Income Statement'!M5/(('Balance Sheet'!L13+'Balance Sheet'!M13)/2)</f>
        <v>1.70678937806604</v>
      </c>
      <c r="N38" s="119" t="n">
        <f aca="false">'Income Statement'!N5/(('Balance Sheet'!M13+'Balance Sheet'!N13)/2)</f>
        <v>1.70893843184971</v>
      </c>
    </row>
    <row r="39" customFormat="false" ht="12.75" hidden="false" customHeight="false" outlineLevel="0" collapsed="false">
      <c r="A39" s="2" t="s">
        <v>93</v>
      </c>
      <c r="B39" s="116"/>
      <c r="C39" s="116" t="n">
        <f aca="false">C37*C38</f>
        <v>0.089766040749228</v>
      </c>
      <c r="D39" s="67" t="s">
        <v>94</v>
      </c>
      <c r="E39" s="118" t="n">
        <f aca="false">E37*E38</f>
        <v>0.118763223891549</v>
      </c>
      <c r="F39" s="118" t="n">
        <f aca="false">F37*F38</f>
        <v>0.118576360062936</v>
      </c>
      <c r="G39" s="118" t="n">
        <f aca="false">G37*G38</f>
        <v>0.117609253801973</v>
      </c>
      <c r="H39" s="118" t="n">
        <f aca="false">H37*H38</f>
        <v>0.115375285984432</v>
      </c>
      <c r="I39" s="118" t="n">
        <f aca="false">I37*I38</f>
        <v>0.112267113508981</v>
      </c>
      <c r="J39" s="118" t="n">
        <f aca="false">J37*J38</f>
        <v>0.108472144837971</v>
      </c>
      <c r="K39" s="118" t="n">
        <f aca="false">K37*K38</f>
        <v>0.106452549075878</v>
      </c>
      <c r="L39" s="118" t="n">
        <f aca="false">L37*L38</f>
        <v>0.10662456837408</v>
      </c>
      <c r="M39" s="118" t="n">
        <f aca="false">M37*M38</f>
        <v>0.106776743491811</v>
      </c>
      <c r="N39" s="118" t="n">
        <f aca="false">N37*N38</f>
        <v>0.106911188296518</v>
      </c>
    </row>
    <row r="40" customFormat="false" ht="12.75" hidden="false" customHeight="false" outlineLevel="0" collapsed="false">
      <c r="A40" s="2" t="s">
        <v>95</v>
      </c>
      <c r="B40" s="120"/>
      <c r="C40" s="120" t="n">
        <f aca="false">'Income Statement'!C21/'Cash Flow, DCF, Ratios'!C7</f>
        <v>0.77461572960411</v>
      </c>
      <c r="D40" s="117" t="s">
        <v>96</v>
      </c>
      <c r="E40" s="120" t="n">
        <f aca="false">'Income Statement'!E21/'Cash Flow, DCF, Ratios'!E7</f>
        <v>0.857848168640989</v>
      </c>
      <c r="F40" s="120" t="n">
        <f aca="false">'Income Statement'!F21/'Cash Flow, DCF, Ratios'!F7</f>
        <v>0.857148591919928</v>
      </c>
      <c r="G40" s="120" t="n">
        <f aca="false">'Income Statement'!G21/'Cash Flow, DCF, Ratios'!G7</f>
        <v>0.855973918272443</v>
      </c>
      <c r="H40" s="120" t="n">
        <f aca="false">'Income Statement'!H21/'Cash Flow, DCF, Ratios'!H7</f>
        <v>0.853185195984818</v>
      </c>
      <c r="I40" s="120" t="n">
        <f aca="false">'Income Statement'!I21/'Cash Flow, DCF, Ratios'!I7</f>
        <v>0.849120553022457</v>
      </c>
      <c r="J40" s="120" t="n">
        <f aca="false">'Income Statement'!J21/'Cash Flow, DCF, Ratios'!J7</f>
        <v>0.843841937252166</v>
      </c>
      <c r="K40" s="120" t="n">
        <f aca="false">'Income Statement'!K21/'Cash Flow, DCF, Ratios'!K7</f>
        <v>0.840879338756593</v>
      </c>
      <c r="L40" s="120" t="n">
        <f aca="false">'Income Statement'!L21/'Cash Flow, DCF, Ratios'!L7</f>
        <v>0.841136050928036</v>
      </c>
      <c r="M40" s="120" t="n">
        <f aca="false">'Income Statement'!M21/'Cash Flow, DCF, Ratios'!M7</f>
        <v>0.841362459220354</v>
      </c>
      <c r="N40" s="120" t="n">
        <f aca="false">'Income Statement'!N21/'Cash Flow, DCF, Ratios'!N7</f>
        <v>0.841561951841558</v>
      </c>
    </row>
    <row r="41" customFormat="false" ht="12.75" hidden="false" customHeight="false" outlineLevel="0" collapsed="false">
      <c r="A41" s="2" t="s">
        <v>97</v>
      </c>
      <c r="B41" s="119"/>
      <c r="C41" s="119" t="n">
        <f aca="false">(('Balance Sheet'!B13+'Balance Sheet'!C13)/2)/(('Balance Sheet'!B26+'Balance Sheet'!C26)/2)</f>
        <v>1.87658828757853</v>
      </c>
      <c r="D41" s="117" t="s">
        <v>98</v>
      </c>
      <c r="E41" s="119" t="n">
        <f aca="false">(('Balance Sheet'!C13+'Balance Sheet'!E13)/2)/(('Balance Sheet'!C26+'Balance Sheet'!E26)/2)</f>
        <v>1.86905786606178</v>
      </c>
      <c r="F41" s="119" t="n">
        <f aca="false">(('Balance Sheet'!E13+'Balance Sheet'!F13)/2)/(('Balance Sheet'!E26+'Balance Sheet'!F26)/2)</f>
        <v>1.88965899776172</v>
      </c>
      <c r="G41" s="119" t="n">
        <f aca="false">(('Balance Sheet'!F13+'Balance Sheet'!G13)/2)/(('Balance Sheet'!F26+'Balance Sheet'!G26)/2)</f>
        <v>1.90347875148402</v>
      </c>
      <c r="H41" s="119" t="n">
        <f aca="false">(('Balance Sheet'!G13+'Balance Sheet'!H13)/2)/(('Balance Sheet'!G26+'Balance Sheet'!H26)/2)</f>
        <v>1.91161461665144</v>
      </c>
      <c r="I41" s="119" t="n">
        <f aca="false">(('Balance Sheet'!H13+'Balance Sheet'!I13)/2)/(('Balance Sheet'!H26+'Balance Sheet'!I26)/2)</f>
        <v>1.91641614016453</v>
      </c>
      <c r="J41" s="119" t="n">
        <f aca="false">(('Balance Sheet'!I13+'Balance Sheet'!J13)/2)/(('Balance Sheet'!I26+'Balance Sheet'!J26)/2)</f>
        <v>1.91919027469411</v>
      </c>
      <c r="K41" s="119" t="n">
        <f aca="false">(('Balance Sheet'!J13+'Balance Sheet'!K13)/2)/(('Balance Sheet'!J26+'Balance Sheet'!K26)/2)</f>
        <v>1.92086981604559</v>
      </c>
      <c r="L41" s="119" t="n">
        <f aca="false">(('Balance Sheet'!K13+'Balance Sheet'!L13)/2)/(('Balance Sheet'!K26+'Balance Sheet'!L26)/2)</f>
        <v>1.92214900871156</v>
      </c>
      <c r="M41" s="119" t="n">
        <f aca="false">(('Balance Sheet'!L13+'Balance Sheet'!M13)/2)/(('Balance Sheet'!L26+'Balance Sheet'!M26)/2)</f>
        <v>1.92328205455741</v>
      </c>
      <c r="N41" s="119" t="n">
        <f aca="false">(('Balance Sheet'!M13+'Balance Sheet'!N13)/2)/(('Balance Sheet'!M26+'Balance Sheet'!N26)/2)</f>
        <v>1.92428419830822</v>
      </c>
    </row>
    <row r="42" customFormat="false" ht="12.75" hidden="false" customHeight="false" outlineLevel="0" collapsed="false">
      <c r="A42" s="2" t="s">
        <v>99</v>
      </c>
      <c r="B42" s="118"/>
      <c r="C42" s="118" t="n">
        <f aca="false">C39*C40*C41</f>
        <v>0.130487041189423</v>
      </c>
      <c r="D42" s="67" t="s">
        <v>100</v>
      </c>
      <c r="E42" s="118" t="n">
        <f aca="false">E39*E40*E41</f>
        <v>0.190421137026652</v>
      </c>
      <c r="F42" s="118" t="n">
        <f aca="false">F39*F40*F41</f>
        <v>0.192060329883474</v>
      </c>
      <c r="G42" s="118" t="n">
        <f aca="false">G39*G40*G41</f>
        <v>0.191624069714309</v>
      </c>
      <c r="H42" s="118" t="n">
        <f aca="false">H39*H40*H41</f>
        <v>0.188172625419645</v>
      </c>
      <c r="I42" s="118" t="n">
        <f aca="false">I39*I40*I41</f>
        <v>0.182688718623275</v>
      </c>
      <c r="J42" s="118" t="n">
        <f aca="false">J39*J40*J41</f>
        <v>0.175669905223256</v>
      </c>
      <c r="K42" s="118" t="n">
        <f aca="false">K39*K40*K41</f>
        <v>0.171944258720933</v>
      </c>
      <c r="L42" s="118" t="n">
        <f aca="false">L39*L40*L41</f>
        <v>0.172389410775773</v>
      </c>
      <c r="M42" s="118" t="n">
        <f aca="false">M39*M40*M41</f>
        <v>0.172783704536144</v>
      </c>
      <c r="N42" s="118" t="n">
        <f aca="false">N39*N40*N41</f>
        <v>0.173132445083041</v>
      </c>
    </row>
    <row r="43" customFormat="false" ht="12.75" hidden="false" customHeight="false" outlineLevel="0" collapsed="false">
      <c r="D43" s="67"/>
    </row>
    <row r="44" customFormat="false" ht="12.75" hidden="false" customHeight="false" outlineLevel="0" collapsed="false">
      <c r="D44" s="58"/>
      <c r="F44" s="116"/>
    </row>
    <row r="45" customFormat="false" ht="12.75" hidden="false" customHeight="false" outlineLevel="0" collapsed="false">
      <c r="D45"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1998-02-10T15:11:39Z</dcterms:created>
  <dc:creator>Charles Lee</dc:creator>
  <dc:description/>
  <dc:language>en-US</dc:language>
  <cp:lastModifiedBy>jdasovic</cp:lastModifiedBy>
  <cp:lastPrinted>1999-02-17T00:15:34Z</cp:lastPrinted>
  <dcterms:modified xsi:type="dcterms:W3CDTF">2001-02-18T21:03:34Z</dcterms:modified>
  <cp:revision>0</cp:revision>
  <dc:subject/>
  <dc:title/>
</cp:coreProperties>
</file>