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Option (1)" sheetId="1" state="visible" r:id="rId3"/>
    <sheet name="Option (2)" sheetId="2" state="visible" r:id="rId4"/>
    <sheet name="Option (3)" sheetId="3" state="visible" r:id="rId5"/>
    <sheet name="Option (4)" sheetId="4" state="visible" r:id="rId6"/>
    <sheet name="Option (5)" sheetId="5" state="visible" r:id="rId7"/>
    <sheet name="Option (6)" sheetId="6" state="visible" r:id="rId8"/>
    <sheet name="DataEntry" sheetId="7" state="visible" r:id="rId9"/>
  </sheets>
  <definedNames>
    <definedName function="false" hidden="false" localSheetId="6" name="_xlnm.Print_Area" vbProcedure="false">DataEntry!$A$1:$L$48</definedName>
    <definedName function="false" hidden="false" localSheetId="0" name="_xlnm.Print_Area" vbProcedure="false">'Option (1)'!$A$1:$L$57</definedName>
    <definedName function="false" hidden="false" localSheetId="1" name="_xlnm.Print_Area" vbProcedure="false">'Option (2)'!$A$1:$L$57</definedName>
    <definedName function="false" hidden="false" localSheetId="2" name="_xlnm.Print_Area" vbProcedure="false">'Option (3)'!$A$1:$L$57</definedName>
    <definedName function="false" hidden="false" localSheetId="3" name="_xlnm.Print_Area" vbProcedure="false">'Option (4)'!$A$1:$L$57</definedName>
    <definedName function="false" hidden="false" localSheetId="4" name="_xlnm.Print_Area" vbProcedure="false">'Option (5)'!$A$1:$L$57</definedName>
    <definedName function="false" hidden="false" localSheetId="5" name="_xlnm.Print_Area" vbProcedure="false">'Option (6)'!$A$1:$L$57</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<sst xmlns="http://schemas.openxmlformats.org/spreadsheetml/2006/main" count="500" uniqueCount="129">
  <si>
    <t xml:space="preserve">RMC Vanguard Mortgage Corporation</t>
  </si>
  <si>
    <t xml:space="preserve">Good Faith Estimate Of Settlement Charges</t>
  </si>
  <si>
    <t xml:space="preserve">Name(s)</t>
  </si>
  <si>
    <t xml:space="preserve">Date:</t>
  </si>
  <si>
    <t xml:space="preserve"> </t>
  </si>
  <si>
    <t xml:space="preserve">Property Address:</t>
  </si>
  <si>
    <t xml:space="preserve">Option 1:</t>
  </si>
  <si>
    <t xml:space="preserve">year fixed with escrow account , roll in closing and prepaids</t>
  </si>
  <si>
    <t xml:space="preserve">Total points including origination fee = </t>
  </si>
  <si>
    <t xml:space="preserve">1 loan with mortgage insurance</t>
  </si>
  <si>
    <t xml:space="preserve">Loan and Property Information</t>
  </si>
  <si>
    <t xml:space="preserve">Estimated RMCV/Lender Closing Costs</t>
  </si>
  <si>
    <t xml:space="preserve">Estimated Prepayments &amp; Funds for Escrow Account</t>
  </si>
  <si>
    <t xml:space="preserve">per day</t>
  </si>
  <si>
    <t xml:space="preserve">per mo</t>
  </si>
  <si>
    <t xml:space="preserve">Total Prepaids  =</t>
  </si>
  <si>
    <t xml:space="preserve">*these may vary depending on insurance renewal and tax payments made</t>
  </si>
  <si>
    <t xml:space="preserve">Estimated Monthly Payments</t>
  </si>
  <si>
    <t xml:space="preserve">Subtotal =</t>
  </si>
  <si>
    <t xml:space="preserve">Estimated Other Closing Costs</t>
  </si>
  <si>
    <t xml:space="preserve">Total Monthly Payment  =</t>
  </si>
  <si>
    <t xml:space="preserve">Cash To Close Estimate</t>
  </si>
  <si>
    <t xml:space="preserve">Total Estimated Settlement Costs =</t>
  </si>
  <si>
    <t xml:space="preserve">Current borrower escrow to be refunded after closing</t>
  </si>
  <si>
    <t xml:space="preserve">This form does not cover all items you may be required to pay in cash at settlement.  You may inquire as to the amounts of such other items which you may be required to pay at settlement. For example, deposits in escrow of real estate taxes and insurance.  You may be required to pay additional amounts at closing.  Any application fees deposited with RMC Vanguard are non-refundable.  The above figures are estimates and are subject to change.  Certain of the above estimates based on the amount of the loan and rate applied for may change.</t>
  </si>
  <si>
    <t xml:space="preserve">This application does not constitute a commitment to make a loan. I hereby acknowledge receipt of a description of the loan plan I am applying for; 'Settlement Information Booklet-HUD Guide for Homebuyers; "The equal Credit Opportunity Act Notice" "The Consumer Handbook on Adjustable 'Rate Mortgages and this Good Faith Estimate of Settlement Costs."</t>
  </si>
  <si>
    <t xml:space="preserve">Borrower</t>
  </si>
  <si>
    <t xml:space="preserve">Date</t>
  </si>
  <si>
    <t xml:space="preserve">CoBorrower</t>
  </si>
  <si>
    <t xml:space="preserve">Option 2:</t>
  </si>
  <si>
    <t xml:space="preserve">year fixed without escrow account, roll in costs and prepaids</t>
  </si>
  <si>
    <t xml:space="preserve">2 loans without escrow account</t>
  </si>
  <si>
    <t xml:space="preserve">2nd lenders title</t>
  </si>
  <si>
    <t xml:space="preserve">Option 3:</t>
  </si>
  <si>
    <t xml:space="preserve">year fixed without escrow account, loan amts = payoff</t>
  </si>
  <si>
    <t xml:space="preserve">Option 4:</t>
  </si>
  <si>
    <t xml:space="preserve">Option 5:</t>
  </si>
  <si>
    <t xml:space="preserve">Option 6:</t>
  </si>
  <si>
    <t xml:space="preserve">DATA ENTRY</t>
  </si>
  <si>
    <t xml:space="preserve">LO initials:</t>
  </si>
  <si>
    <t xml:space="preserve">LR</t>
  </si>
  <si>
    <t xml:space="preserve">Please Select</t>
  </si>
  <si>
    <t xml:space="preserve">FOR RMCV USE ONLY</t>
  </si>
  <si>
    <t xml:space="preserve">BC</t>
  </si>
  <si>
    <t xml:space="preserve">BS</t>
  </si>
  <si>
    <t xml:space="preserve">Paul Thomas refi</t>
  </si>
  <si>
    <t xml:space="preserve">DB</t>
  </si>
  <si>
    <t xml:space="preserve">Option #: </t>
  </si>
  <si>
    <t xml:space="preserve">year fixed with escrow account option shown</t>
  </si>
  <si>
    <t xml:space="preserve">Credit Towards Existing Lenders Title Policy</t>
  </si>
  <si>
    <t xml:space="preserve">Estimated Hazard Insurance</t>
  </si>
  <si>
    <t xml:space="preserve">Estimated Escrow Deposits for Taxes Based on Funding Date</t>
  </si>
  <si>
    <t xml:space="preserve">Estimated Days of Interim Interest Based on Closing Date</t>
  </si>
  <si>
    <t xml:space="preserve">JS</t>
  </si>
  <si>
    <t xml:space="preserve"> Option #</t>
  </si>
  <si>
    <t xml:space="preserve">Points</t>
  </si>
  <si>
    <t xml:space="preserve">Rate</t>
  </si>
  <si>
    <t xml:space="preserve">OR</t>
  </si>
  <si>
    <t xml:space="preserve">Type of Loan, 1st:</t>
  </si>
  <si>
    <t xml:space="preserve">year fixed</t>
  </si>
  <si>
    <t xml:space="preserve">Estimated Value of Home</t>
  </si>
  <si>
    <t xml:space="preserve">=  Funding date</t>
  </si>
  <si>
    <t xml:space="preserve">JB</t>
  </si>
  <si>
    <t xml:space="preserve">Loan Term - 1st</t>
  </si>
  <si>
    <t xml:space="preserve">New first loan amount </t>
  </si>
  <si>
    <t xml:space="preserve">2+3</t>
  </si>
  <si>
    <t xml:space="preserve">Loan Term - 2nd</t>
  </si>
  <si>
    <t xml:space="preserve">Second Loan Amount</t>
  </si>
  <si>
    <t xml:space="preserve">Note Rate:</t>
  </si>
  <si>
    <t xml:space="preserve">current 30 day lock</t>
  </si>
  <si>
    <t xml:space="preserve">Total LTV</t>
  </si>
  <si>
    <t xml:space="preserve">5+6</t>
  </si>
  <si>
    <t xml:space="preserve">2nd Lien Rate</t>
  </si>
  <si>
    <t xml:space="preserve">Closing Date</t>
  </si>
  <si>
    <t xml:space="preserve">Hazard Ins yr:</t>
  </si>
  <si>
    <t xml:space="preserve">Estimate </t>
  </si>
  <si>
    <t xml:space="preserve">Funding Date (3 days after closing)</t>
  </si>
  <si>
    <t xml:space="preserve">Years Paid on Original Loan</t>
  </si>
  <si>
    <t xml:space="preserve">=</t>
  </si>
  <si>
    <t xml:space="preserve">Taxes yr:</t>
  </si>
  <si>
    <t xml:space="preserve">Estimate @ 2.5%</t>
  </si>
  <si>
    <t xml:space="preserve">rate/term refi</t>
  </si>
  <si>
    <t xml:space="preserve">Transaction Type</t>
  </si>
  <si>
    <t xml:space="preserve">Credit on outstanding balance</t>
  </si>
  <si>
    <t xml:space="preserve">total loan points</t>
  </si>
  <si>
    <t xml:space="preserve">Days of Interim Interest</t>
  </si>
  <si>
    <t xml:space="preserve">escrow waiver fee</t>
  </si>
  <si>
    <t xml:space="preserve">Est Mo Taxes*</t>
  </si>
  <si>
    <t xml:space="preserve">Appraisal </t>
  </si>
  <si>
    <t xml:space="preserve">Est Mo Hazard Ins*</t>
  </si>
  <si>
    <t xml:space="preserve">Credit Report</t>
  </si>
  <si>
    <t xml:space="preserve">Mo Mortgage Insurance</t>
  </si>
  <si>
    <t xml:space="preserve">Application Fee</t>
  </si>
  <si>
    <t xml:space="preserve">HOA fee</t>
  </si>
  <si>
    <t xml:space="preserve">Underwriting</t>
  </si>
  <si>
    <t xml:space="preserve">Wire/Funding</t>
  </si>
  <si>
    <t xml:space="preserve">Tax Service</t>
  </si>
  <si>
    <t xml:space="preserve">Flood Cert</t>
  </si>
  <si>
    <t xml:space="preserve">Doc Prep Ancillary</t>
  </si>
  <si>
    <t xml:space="preserve">Principal &amp; Interest at </t>
  </si>
  <si>
    <t xml:space="preserve">Delivery </t>
  </si>
  <si>
    <t xml:space="preserve">Taxes</t>
  </si>
  <si>
    <t xml:space="preserve">Processing</t>
  </si>
  <si>
    <t xml:space="preserve">Homeowners Insurance</t>
  </si>
  <si>
    <t xml:space="preserve">2nd Lien Principal &amp; Interest</t>
  </si>
  <si>
    <t xml:space="preserve">Mortgage Insurance</t>
  </si>
  <si>
    <t xml:space="preserve">Lenders Title Policy</t>
  </si>
  <si>
    <t xml:space="preserve">Condo/HOA fee</t>
  </si>
  <si>
    <t xml:space="preserve">Owners Title Policy</t>
  </si>
  <si>
    <t xml:space="preserve">not reqd</t>
  </si>
  <si>
    <t xml:space="preserve">Settlement</t>
  </si>
  <si>
    <t xml:space="preserve">Recording</t>
  </si>
  <si>
    <t xml:space="preserve">Tax Certificates</t>
  </si>
  <si>
    <t xml:space="preserve">Survey</t>
  </si>
  <si>
    <t xml:space="preserve">use current?</t>
  </si>
  <si>
    <t xml:space="preserve">Payoff existing loan(s)</t>
  </si>
  <si>
    <t xml:space="preserve">Attorney</t>
  </si>
  <si>
    <t xml:space="preserve">Closing Costs - Lender</t>
  </si>
  <si>
    <t xml:space="preserve">Condo Certification</t>
  </si>
  <si>
    <t xml:space="preserve">Closing Costs - Other</t>
  </si>
  <si>
    <t xml:space="preserve">2nd lien charges</t>
  </si>
  <si>
    <t xml:space="preserve">Prepaids</t>
  </si>
  <si>
    <t xml:space="preserve">HOA Transfer fee</t>
  </si>
  <si>
    <t xml:space="preserve">Subtotal</t>
  </si>
  <si>
    <t xml:space="preserve">less new loan amount</t>
  </si>
  <si>
    <t xml:space="preserve">Closing Cost Deposit</t>
  </si>
  <si>
    <t xml:space="preserve">less lender credit </t>
  </si>
  <si>
    <t xml:space="preserve">tbd</t>
  </si>
  <si>
    <t xml:space="preserve">888-852-7645 ext. 6025 Toll free / 713-802-6035 Fax</t>
  </si>
</sst>
</file>

<file path=xl/styles.xml><?xml version="1.0" encoding="utf-8"?>
<styleSheet xmlns="http://schemas.openxmlformats.org/spreadsheetml/2006/main">
  <numFmts count="18">
    <numFmt numFmtId="164" formatCode="General_)"/>
    <numFmt numFmtId="165" formatCode="dd\-mmm\-yy"/>
    <numFmt numFmtId="166" formatCode="0.000"/>
    <numFmt numFmtId="167" formatCode="\$#\,000"/>
    <numFmt numFmtId="168" formatCode="0%"/>
    <numFmt numFmtId="169" formatCode="0"/>
    <numFmt numFmtId="170" formatCode="0.000%"/>
    <numFmt numFmtId="171" formatCode="mm/dd/yy"/>
    <numFmt numFmtId="172" formatCode="\$#,##0"/>
    <numFmt numFmtId="173" formatCode="#,##0"/>
    <numFmt numFmtId="174" formatCode="\$#,##0_);&quot;($&quot;#,##0\)"/>
    <numFmt numFmtId="175" formatCode=".00"/>
    <numFmt numFmtId="176" formatCode="\$#,##0.00"/>
    <numFmt numFmtId="177" formatCode="\$#\,000.00"/>
    <numFmt numFmtId="178" formatCode="\$#,##0.00_);&quot;($&quot;#,##0.00\)"/>
    <numFmt numFmtId="179" formatCode="#,##0.00"/>
    <numFmt numFmtId="180" formatCode="m/d"/>
    <numFmt numFmtId="181" formatCode="[$-409]d\-mmm\-yy"/>
  </numFmts>
  <fonts count="21">
    <font>
      <sz val="12"/>
      <name val="Arial"/>
      <family val="0"/>
    </font>
    <font>
      <sz val="10"/>
      <name val="Arial"/>
      <family val="0"/>
    </font>
    <font>
      <sz val="10"/>
      <name val="Arial"/>
      <family val="0"/>
    </font>
    <font>
      <sz val="10"/>
      <name val="Arial"/>
      <family val="0"/>
    </font>
    <font>
      <sz val="12"/>
      <name val="Times New Roman"/>
      <family val="1"/>
    </font>
    <font>
      <b val="true"/>
      <sz val="18"/>
      <name val="Times New Roman"/>
      <family val="0"/>
    </font>
    <font>
      <b val="true"/>
      <sz val="12"/>
      <name val="Times New Roman"/>
      <family val="1"/>
    </font>
    <font>
      <b val="true"/>
      <sz val="11"/>
      <name val="Times New Roman"/>
      <family val="1"/>
    </font>
    <font>
      <b val="true"/>
      <u val="single"/>
      <sz val="12"/>
      <name val="Times New Roman"/>
      <family val="1"/>
    </font>
    <font>
      <sz val="11"/>
      <name val="Times New Roman"/>
      <family val="1"/>
    </font>
    <font>
      <sz val="12"/>
      <color rgb="FFFF0000"/>
      <name val="Times New Roman"/>
      <family val="1"/>
    </font>
    <font>
      <sz val="11"/>
      <color rgb="FFFF0000"/>
      <name val="Times New Roman"/>
      <family val="1"/>
    </font>
    <font>
      <u val="single"/>
      <sz val="12"/>
      <name val="Times New Roman"/>
      <family val="1"/>
    </font>
    <font>
      <sz val="10"/>
      <name val="Times New Roman"/>
      <family val="1"/>
    </font>
    <font>
      <b val="true"/>
      <i val="true"/>
      <sz val="11"/>
      <name val="Times New Roman"/>
      <family val="1"/>
    </font>
    <font>
      <sz val="8"/>
      <name val="Times New Roman"/>
      <family val="1"/>
    </font>
    <font>
      <sz val="11"/>
      <name val="Arial"/>
      <family val="0"/>
    </font>
    <font>
      <u val="single"/>
      <sz val="11"/>
      <name val="Times New Roman"/>
      <family val="1"/>
    </font>
    <font>
      <sz val="9"/>
      <name val="Times New Roman"/>
      <family val="1"/>
    </font>
    <font>
      <i val="true"/>
      <sz val="11"/>
      <name val="Times New Roman"/>
      <family val="1"/>
    </font>
    <font>
      <sz val="12"/>
      <name val="Times New Roman"/>
      <family val="0"/>
    </font>
  </fonts>
  <fills count="6">
    <fill>
      <patternFill patternType="none"/>
    </fill>
    <fill>
      <patternFill patternType="gray125"/>
    </fill>
    <fill>
      <patternFill patternType="solid">
        <fgColor rgb="FFFFFFFF"/>
        <bgColor rgb="FFFFFFCC"/>
      </patternFill>
    </fill>
    <fill>
      <patternFill patternType="solid">
        <fgColor rgb="FFE3E3E3"/>
        <bgColor rgb="FFCCFFCC"/>
      </patternFill>
    </fill>
    <fill>
      <patternFill patternType="solid">
        <fgColor rgb="FF00FF00"/>
        <bgColor rgb="FF33CCCC"/>
      </patternFill>
    </fill>
    <fill>
      <patternFill patternType="solid">
        <fgColor rgb="FFFF8080"/>
        <bgColor rgb="FFFF99CC"/>
      </patternFill>
    </fill>
  </fills>
  <borders count="32">
    <border diagonalUp="false" diagonalDown="false">
      <left/>
      <right/>
      <top/>
      <bottom/>
      <diagonal/>
    </border>
    <border diagonalUp="false" diagonalDown="false">
      <left/>
      <right/>
      <top/>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medium"/>
      <right/>
      <top/>
      <bottom style="thin"/>
      <diagonal/>
    </border>
    <border diagonalUp="false" diagonalDown="false">
      <left/>
      <right style="medium"/>
      <top/>
      <bottom style="thin"/>
      <diagonal/>
    </border>
    <border diagonalUp="false" diagonalDown="false">
      <left style="medium"/>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style="thin"/>
      <bottom/>
      <diagonal/>
    </border>
    <border diagonalUp="false" diagonalDown="false">
      <left/>
      <right style="medium"/>
      <top style="thin"/>
      <bottom/>
      <diagonal/>
    </border>
    <border diagonalUp="false" diagonalDown="false">
      <left/>
      <right style="thin"/>
      <top/>
      <bottom/>
      <diagonal/>
    </border>
    <border diagonalUp="false" diagonalDown="false">
      <left style="thin"/>
      <right/>
      <top/>
      <bottom style="thin"/>
      <diagonal/>
    </border>
    <border diagonalUp="false" diagonalDown="false">
      <left style="thin"/>
      <right/>
      <top/>
      <bottom/>
      <diagonal/>
    </border>
    <border diagonalUp="false" diagonalDown="false">
      <left/>
      <right style="medium"/>
      <top/>
      <bottom style="double"/>
      <diagonal/>
    </border>
    <border diagonalUp="false" diagonalDown="false">
      <left/>
      <right/>
      <top style="thin"/>
      <bottom style="double"/>
      <diagonal/>
    </border>
    <border diagonalUp="false" diagonalDown="false">
      <left/>
      <right/>
      <top/>
      <bottom style="double"/>
      <diagonal/>
    </border>
    <border diagonalUp="false" diagonalDown="false">
      <left style="medium"/>
      <right style="medium"/>
      <top style="medium"/>
      <bottom style="medium"/>
      <diagonal/>
    </border>
    <border diagonalUp="false" diagonalDown="false">
      <left style="medium"/>
      <right/>
      <top/>
      <bottom style="medium"/>
      <diagonal/>
    </border>
    <border diagonalUp="false" diagonalDown="false">
      <left/>
      <right/>
      <top/>
      <bottom style="medium"/>
      <diagonal/>
    </border>
    <border diagonalUp="false" diagonalDown="false">
      <left style="thin"/>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n"/>
      <bottom style="thin"/>
      <diagonal/>
    </border>
    <border diagonalUp="false" diagonalDown="false">
      <left style="medium"/>
      <right style="medium"/>
      <top/>
      <bottom/>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false" applyProtection="true">
      <alignment horizontal="general" vertical="bottom" textRotation="0" wrapText="false" indent="0" shrinkToFit="false"/>
      <protection locked="true" hidden="true"/>
    </xf>
    <xf numFmtId="164" fontId="4" fillId="2" borderId="0" xfId="0" applyFont="true" applyBorder="false" applyAlignment="false" applyProtection="false">
      <alignment horizontal="general" vertical="bottom" textRotation="0" wrapText="false" indent="0" shrinkToFit="false"/>
      <protection locked="true" hidden="false"/>
    </xf>
    <xf numFmtId="164" fontId="5" fillId="2" borderId="0" xfId="0" applyFont="true" applyBorder="true" applyAlignment="true" applyProtection="true">
      <alignment horizontal="center" vertical="bottom" textRotation="0" wrapText="false" indent="0" shrinkToFit="false"/>
      <protection locked="true" hidden="true"/>
    </xf>
    <xf numFmtId="164" fontId="5" fillId="2" borderId="0" xfId="0" applyFont="true" applyBorder="false" applyAlignment="true" applyProtection="true">
      <alignment horizontal="center" vertical="bottom" textRotation="0" wrapText="false" indent="0" shrinkToFit="false"/>
      <protection locked="true" hidden="true"/>
    </xf>
    <xf numFmtId="164" fontId="4" fillId="2" borderId="0" xfId="0" applyFont="true" applyBorder="false" applyAlignment="true" applyProtection="true">
      <alignment horizontal="center" vertical="bottom" textRotation="0" wrapText="false" indent="0" shrinkToFit="false"/>
      <protection locked="true" hidden="true"/>
    </xf>
    <xf numFmtId="164" fontId="4" fillId="2" borderId="0" xfId="0" applyFont="true" applyBorder="false" applyAlignment="true" applyProtection="true">
      <alignment horizontal="left" vertical="bottom" textRotation="0" wrapText="false" indent="0" shrinkToFit="false"/>
      <protection locked="true" hidden="true"/>
    </xf>
    <xf numFmtId="164" fontId="4" fillId="2" borderId="1" xfId="0" applyFont="true" applyBorder="tru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5" fontId="4" fillId="2" borderId="1" xfId="0" applyFont="true" applyBorder="true" applyAlignment="true" applyProtection="true">
      <alignment horizontal="left" vertical="bottom" textRotation="0" wrapText="false" indent="0" shrinkToFit="false"/>
      <protection locked="true" hidden="true"/>
    </xf>
    <xf numFmtId="164" fontId="6" fillId="2" borderId="1" xfId="0" applyFont="true" applyBorder="true" applyAlignment="true" applyProtection="true">
      <alignment horizontal="right" vertical="bottom" textRotation="0" wrapText="false" indent="0" shrinkToFit="false"/>
      <protection locked="true" hidden="true"/>
    </xf>
    <xf numFmtId="164" fontId="6" fillId="2" borderId="1" xfId="0" applyFont="true" applyBorder="true" applyAlignment="true" applyProtection="true">
      <alignment horizontal="center" vertical="bottom" textRotation="0" wrapText="false" indent="0" shrinkToFit="false"/>
      <protection locked="true" hidden="true"/>
    </xf>
    <xf numFmtId="164" fontId="6" fillId="2" borderId="1" xfId="0" applyFont="true" applyBorder="true" applyAlignment="true" applyProtection="true">
      <alignment horizontal="left" vertical="bottom" textRotation="0" wrapText="false" indent="0" shrinkToFit="false"/>
      <protection locked="true" hidden="true"/>
    </xf>
    <xf numFmtId="164" fontId="6" fillId="2" borderId="1" xfId="0" applyFont="true" applyBorder="true" applyAlignment="false" applyProtection="true">
      <alignment horizontal="general" vertical="bottom" textRotation="0" wrapText="false" indent="0" shrinkToFit="false"/>
      <protection locked="true" hidden="true"/>
    </xf>
    <xf numFmtId="164" fontId="6" fillId="2" borderId="0" xfId="0" applyFont="true" applyBorder="false" applyAlignment="false" applyProtection="true">
      <alignment horizontal="general" vertical="bottom" textRotation="0" wrapText="false" indent="0" shrinkToFit="false"/>
      <protection locked="true" hidden="true"/>
    </xf>
    <xf numFmtId="164" fontId="7" fillId="2" borderId="0" xfId="0" applyFont="true" applyBorder="false" applyAlignment="true" applyProtection="true">
      <alignment horizontal="left" vertical="bottom" textRotation="0" wrapText="false" indent="0" shrinkToFit="false"/>
      <protection locked="true" hidden="true"/>
    </xf>
    <xf numFmtId="164" fontId="6" fillId="2" borderId="0" xfId="0" applyFont="true" applyBorder="false" applyAlignment="true" applyProtection="true">
      <alignment horizontal="right" vertical="bottom" textRotation="0" wrapText="false" indent="0" shrinkToFit="false"/>
      <protection locked="true" hidden="true"/>
    </xf>
    <xf numFmtId="166" fontId="6" fillId="2" borderId="0" xfId="0" applyFont="true" applyBorder="false" applyAlignment="true" applyProtection="true">
      <alignment horizontal="left" vertical="bottom" textRotation="0" wrapText="false" indent="0" shrinkToFit="false"/>
      <protection locked="true" hidden="true"/>
    </xf>
    <xf numFmtId="164" fontId="8" fillId="2" borderId="2" xfId="0" applyFont="true" applyBorder="true" applyAlignment="true" applyProtection="true">
      <alignment horizontal="left" vertical="bottom" textRotation="0" wrapText="false" indent="0" shrinkToFit="false"/>
      <protection locked="true" hidden="true"/>
    </xf>
    <xf numFmtId="164" fontId="4" fillId="2" borderId="3" xfId="0" applyFont="true" applyBorder="true" applyAlignment="false" applyProtection="true">
      <alignment horizontal="general" vertical="bottom" textRotation="0" wrapText="false" indent="0" shrinkToFit="false"/>
      <protection locked="true" hidden="true"/>
    </xf>
    <xf numFmtId="164" fontId="4" fillId="2" borderId="4" xfId="0" applyFont="true" applyBorder="true" applyAlignment="false" applyProtection="true">
      <alignment horizontal="general" vertical="bottom" textRotation="0" wrapText="false" indent="0" shrinkToFit="false"/>
      <protection locked="true" hidden="true"/>
    </xf>
    <xf numFmtId="164" fontId="9" fillId="2" borderId="5" xfId="0" applyFont="true" applyBorder="true" applyAlignment="true" applyProtection="true">
      <alignment horizontal="left" vertical="center" textRotation="0" wrapText="false" indent="0" shrinkToFit="false"/>
      <protection locked="true" hidden="true"/>
    </xf>
    <xf numFmtId="164" fontId="9" fillId="2" borderId="0" xfId="0" applyFont="true" applyBorder="true" applyAlignment="true" applyProtection="true">
      <alignment horizontal="general" vertical="center" textRotation="0" wrapText="false" indent="0" shrinkToFit="false"/>
      <protection locked="true" hidden="true"/>
    </xf>
    <xf numFmtId="164" fontId="9" fillId="2" borderId="1" xfId="0" applyFont="true" applyBorder="true" applyAlignment="true" applyProtection="true">
      <alignment horizontal="right" vertical="center" textRotation="0" wrapText="false" indent="0" shrinkToFit="false"/>
      <protection locked="true" hidden="true"/>
    </xf>
    <xf numFmtId="164" fontId="9" fillId="2" borderId="0" xfId="0" applyFont="true" applyBorder="true" applyAlignment="true" applyProtection="true">
      <alignment horizontal="left" vertical="center" textRotation="0" wrapText="false" indent="0" shrinkToFit="false"/>
      <protection locked="true" hidden="true"/>
    </xf>
    <xf numFmtId="164" fontId="9" fillId="2" borderId="1" xfId="0" applyFont="true" applyBorder="true" applyAlignment="true" applyProtection="true">
      <alignment horizontal="general" vertical="center" textRotation="0" wrapText="false" indent="0" shrinkToFit="false"/>
      <protection locked="true" hidden="true"/>
    </xf>
    <xf numFmtId="167" fontId="9" fillId="2" borderId="1" xfId="0" applyFont="true" applyBorder="true" applyAlignment="true" applyProtection="true">
      <alignment horizontal="right" vertical="center" textRotation="0" wrapText="false" indent="0" shrinkToFit="false"/>
      <protection locked="true" hidden="true"/>
    </xf>
    <xf numFmtId="164" fontId="4" fillId="2" borderId="6" xfId="0" applyFont="true" applyBorder="true" applyAlignment="true" applyProtection="true">
      <alignment horizontal="general" vertical="center" textRotation="0" wrapText="false" indent="0" shrinkToFit="false"/>
      <protection locked="true" hidden="true"/>
    </xf>
    <xf numFmtId="168" fontId="9" fillId="2" borderId="0" xfId="0" applyFont="true" applyBorder="true" applyAlignment="true" applyProtection="true">
      <alignment horizontal="general" vertical="center" textRotation="0" wrapText="false" indent="0" shrinkToFit="false"/>
      <protection locked="true" hidden="true"/>
    </xf>
    <xf numFmtId="167" fontId="9" fillId="3" borderId="1" xfId="0" applyFont="true" applyBorder="true" applyAlignment="true" applyProtection="true">
      <alignment horizontal="general" vertical="center" textRotation="0" wrapText="false" indent="0" shrinkToFit="false"/>
      <protection locked="true" hidden="false"/>
    </xf>
    <xf numFmtId="169" fontId="9" fillId="2" borderId="1" xfId="0" applyFont="true" applyBorder="true" applyAlignment="true" applyProtection="true">
      <alignment horizontal="general" vertical="center" textRotation="0" wrapText="false" indent="0" shrinkToFit="false"/>
      <protection locked="true" hidden="true"/>
    </xf>
    <xf numFmtId="164" fontId="10" fillId="2" borderId="0" xfId="0" applyFont="true" applyBorder="false" applyAlignment="false" applyProtection="false">
      <alignment horizontal="general" vertical="bottom" textRotation="0" wrapText="false" indent="0" shrinkToFit="false"/>
      <protection locked="true" hidden="false"/>
    </xf>
    <xf numFmtId="170" fontId="7" fillId="2" borderId="1" xfId="0" applyFont="true" applyBorder="true" applyAlignment="true" applyProtection="true">
      <alignment horizontal="general" vertical="center" textRotation="0" wrapText="false" indent="0" shrinkToFit="false"/>
      <protection locked="true" hidden="true"/>
    </xf>
    <xf numFmtId="168" fontId="9" fillId="2" borderId="1" xfId="0" applyFont="true" applyBorder="true" applyAlignment="true" applyProtection="true">
      <alignment horizontal="general" vertical="center" textRotation="0" wrapText="false" indent="0" shrinkToFit="false"/>
      <protection locked="true" hidden="true"/>
    </xf>
    <xf numFmtId="164" fontId="11" fillId="2" borderId="0" xfId="0" applyFont="true" applyBorder="true" applyAlignment="true" applyProtection="true">
      <alignment horizontal="general" vertical="center" textRotation="0" wrapText="false" indent="0" shrinkToFit="false"/>
      <protection locked="true" hidden="true"/>
    </xf>
    <xf numFmtId="164" fontId="10" fillId="2" borderId="6" xfId="0" applyFont="true" applyBorder="true" applyAlignment="true" applyProtection="true">
      <alignment horizontal="general" vertical="center" textRotation="0" wrapText="false" indent="0" shrinkToFit="false"/>
      <protection locked="true" hidden="true"/>
    </xf>
    <xf numFmtId="170" fontId="9" fillId="2" borderId="1" xfId="0" applyFont="true" applyBorder="true" applyAlignment="true" applyProtection="true">
      <alignment horizontal="right" vertical="center" textRotation="0" wrapText="false" indent="0" shrinkToFit="false"/>
      <protection locked="true" hidden="true"/>
    </xf>
    <xf numFmtId="171" fontId="9" fillId="2" borderId="1" xfId="0" applyFont="true" applyBorder="true" applyAlignment="true" applyProtection="true">
      <alignment horizontal="right" vertical="center" textRotation="0" wrapText="false" indent="0" shrinkToFit="false"/>
      <protection locked="true" hidden="true"/>
    </xf>
    <xf numFmtId="172" fontId="9" fillId="2" borderId="1" xfId="0" applyFont="true" applyBorder="true" applyAlignment="true" applyProtection="true">
      <alignment horizontal="general" vertical="center" textRotation="0" wrapText="false" indent="0" shrinkToFit="false"/>
      <protection locked="true" hidden="true"/>
    </xf>
    <xf numFmtId="164" fontId="4" fillId="2" borderId="7" xfId="0" applyFont="true" applyBorder="true" applyAlignment="true" applyProtection="true">
      <alignment horizontal="left" vertical="bottom" textRotation="0" wrapText="false" indent="0" shrinkToFit="false"/>
      <protection locked="true" hidden="true"/>
    </xf>
    <xf numFmtId="164" fontId="4" fillId="2" borderId="8" xfId="0" applyFont="true" applyBorder="true" applyAlignment="false" applyProtection="true">
      <alignment horizontal="general" vertical="bottom" textRotation="0" wrapText="false" indent="0" shrinkToFit="false"/>
      <protection locked="true" hidden="true"/>
    </xf>
    <xf numFmtId="164" fontId="8" fillId="2" borderId="9" xfId="0" applyFont="true" applyBorder="true" applyAlignment="true" applyProtection="true">
      <alignment horizontal="left" vertical="center" textRotation="0" wrapText="false" indent="0" shrinkToFit="false"/>
      <protection locked="true" hidden="true"/>
    </xf>
    <xf numFmtId="164" fontId="12" fillId="2" borderId="10" xfId="0" applyFont="true" applyBorder="true" applyAlignment="true" applyProtection="true">
      <alignment horizontal="general" vertical="center" textRotation="0" wrapText="false" indent="0" shrinkToFit="false"/>
      <protection locked="true" hidden="true"/>
    </xf>
    <xf numFmtId="169" fontId="12" fillId="2" borderId="10" xfId="0" applyFont="true" applyBorder="true" applyAlignment="true" applyProtection="true">
      <alignment horizontal="general" vertical="center" textRotation="0" wrapText="false" indent="0" shrinkToFit="false"/>
      <protection locked="true" hidden="true"/>
    </xf>
    <xf numFmtId="164" fontId="12" fillId="2" borderId="11" xfId="0" applyFont="true" applyBorder="true" applyAlignment="true" applyProtection="true">
      <alignment horizontal="general" vertical="center" textRotation="0" wrapText="false" indent="0" shrinkToFit="false"/>
      <protection locked="true" hidden="true"/>
    </xf>
    <xf numFmtId="164" fontId="8" fillId="2" borderId="12" xfId="0" applyFont="true" applyBorder="true" applyAlignment="true" applyProtection="true">
      <alignment horizontal="left" vertical="center" textRotation="0" wrapText="false" indent="0" shrinkToFit="false"/>
      <protection locked="true" hidden="true"/>
    </xf>
    <xf numFmtId="164" fontId="12" fillId="2" borderId="13" xfId="0" applyFont="true" applyBorder="true" applyAlignment="true" applyProtection="true">
      <alignment horizontal="general" vertical="center" textRotation="0" wrapText="false" indent="0" shrinkToFit="false"/>
      <protection locked="true" hidden="true"/>
    </xf>
    <xf numFmtId="164" fontId="4" fillId="2" borderId="5" xfId="0" applyFont="true" applyBorder="true" applyAlignment="true" applyProtection="true">
      <alignment horizontal="general" vertical="center" textRotation="0" wrapText="false" indent="0" shrinkToFit="false"/>
      <protection locked="true" hidden="true"/>
    </xf>
    <xf numFmtId="166" fontId="9" fillId="2" borderId="1" xfId="0" applyFont="true" applyBorder="true" applyAlignment="true" applyProtection="true">
      <alignment horizontal="general" vertical="center" textRotation="0" wrapText="false" indent="0" shrinkToFit="false"/>
      <protection locked="true" hidden="true"/>
    </xf>
    <xf numFmtId="173" fontId="9" fillId="2" borderId="1" xfId="0" applyFont="true" applyBorder="true" applyAlignment="true" applyProtection="true">
      <alignment horizontal="general" vertical="center" textRotation="0" wrapText="false" indent="0" shrinkToFit="false"/>
      <protection locked="true" hidden="true"/>
    </xf>
    <xf numFmtId="164" fontId="9" fillId="2" borderId="14" xfId="0" applyFont="true" applyBorder="true" applyAlignment="true" applyProtection="true">
      <alignment horizontal="left" vertical="center" textRotation="0" wrapText="false" indent="0" shrinkToFit="false"/>
      <protection locked="true" hidden="true"/>
    </xf>
    <xf numFmtId="164" fontId="9" fillId="2" borderId="15" xfId="0" applyFont="true" applyBorder="true" applyAlignment="true" applyProtection="true">
      <alignment horizontal="general" vertical="center" textRotation="0" wrapText="false" indent="0" shrinkToFit="false"/>
      <protection locked="true" hidden="true"/>
    </xf>
    <xf numFmtId="174" fontId="9" fillId="2" borderId="1" xfId="0" applyFont="true" applyBorder="true" applyAlignment="true" applyProtection="true">
      <alignment horizontal="general" vertical="center" textRotation="0" wrapText="false" indent="0" shrinkToFit="false"/>
      <protection locked="true" hidden="true"/>
    </xf>
    <xf numFmtId="173" fontId="9" fillId="2" borderId="8" xfId="0" applyFont="true" applyBorder="true" applyAlignment="true" applyProtection="true">
      <alignment horizontal="center" vertical="center" textRotation="0" wrapText="false" indent="0" shrinkToFit="false"/>
      <protection locked="true" hidden="true"/>
    </xf>
    <xf numFmtId="175" fontId="9" fillId="2" borderId="1" xfId="0" applyFont="true" applyBorder="true" applyAlignment="true" applyProtection="true">
      <alignment horizontal="general" vertical="center" textRotation="0" wrapText="false" indent="0" shrinkToFit="false"/>
      <protection locked="true" hidden="true"/>
    </xf>
    <xf numFmtId="164" fontId="13" fillId="2" borderId="0" xfId="0" applyFont="true" applyBorder="false" applyAlignment="false" applyProtection="false">
      <alignment horizontal="general" vertical="bottom" textRotation="0" wrapText="false" indent="0" shrinkToFit="false"/>
      <protection locked="true" hidden="false"/>
    </xf>
    <xf numFmtId="164" fontId="9" fillId="2" borderId="16" xfId="0" applyFont="true" applyBorder="true" applyAlignment="true" applyProtection="true">
      <alignment horizontal="general" vertical="center" textRotation="0" wrapText="false" indent="0" shrinkToFit="false"/>
      <protection locked="true" hidden="true"/>
    </xf>
    <xf numFmtId="164" fontId="14" fillId="2" borderId="0" xfId="0" applyFont="true" applyBorder="true" applyAlignment="true" applyProtection="true">
      <alignment horizontal="right" vertical="center" textRotation="0" wrapText="false" indent="0" shrinkToFit="false"/>
      <protection locked="true" hidden="true"/>
    </xf>
    <xf numFmtId="172" fontId="9" fillId="2" borderId="17" xfId="0" applyFont="true" applyBorder="true" applyAlignment="true" applyProtection="true">
      <alignment horizontal="center" vertical="center" textRotation="0" wrapText="false" indent="0" shrinkToFit="false"/>
      <protection locked="true" hidden="true"/>
    </xf>
    <xf numFmtId="164" fontId="13" fillId="2" borderId="15" xfId="0" applyFont="true" applyBorder="true" applyAlignment="true" applyProtection="false">
      <alignment horizontal="general" vertical="center"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true"/>
    </xf>
    <xf numFmtId="176" fontId="13" fillId="2" borderId="8" xfId="0" applyFont="true" applyBorder="true" applyAlignment="true" applyProtection="true">
      <alignment horizontal="general" vertical="center" textRotation="0" wrapText="false" indent="0" shrinkToFit="false"/>
      <protection locked="true" hidden="true"/>
    </xf>
    <xf numFmtId="164" fontId="4" fillId="2" borderId="10" xfId="0" applyFont="true" applyBorder="true" applyAlignment="true" applyProtection="true">
      <alignment horizontal="general" vertical="center" textRotation="0" wrapText="false" indent="0" shrinkToFit="false"/>
      <protection locked="true" hidden="true"/>
    </xf>
    <xf numFmtId="176" fontId="13" fillId="2" borderId="13" xfId="0" applyFont="true" applyBorder="true" applyAlignment="true" applyProtection="true">
      <alignment horizontal="general" vertical="center" textRotation="0" wrapText="false" indent="0" shrinkToFit="false"/>
      <protection locked="true" hidden="true"/>
    </xf>
    <xf numFmtId="164" fontId="4" fillId="2" borderId="16" xfId="0" applyFont="true" applyBorder="true" applyAlignment="true" applyProtection="true">
      <alignment horizontal="general" vertical="center" textRotation="0" wrapText="false" indent="0" shrinkToFit="false"/>
      <protection locked="true" hidden="true"/>
    </xf>
    <xf numFmtId="164" fontId="4" fillId="2" borderId="0" xfId="0" applyFont="true" applyBorder="true" applyAlignment="true" applyProtection="true">
      <alignment horizontal="general" vertical="center" textRotation="0" wrapText="false" indent="0" shrinkToFit="false"/>
      <protection locked="true" hidden="true"/>
    </xf>
    <xf numFmtId="176" fontId="13" fillId="2" borderId="6" xfId="0" applyFont="true" applyBorder="true" applyAlignment="true" applyProtection="true">
      <alignment horizontal="general" vertical="center" textRotation="0" wrapText="false" indent="0" shrinkToFit="false"/>
      <protection locked="true" hidden="true"/>
    </xf>
    <xf numFmtId="170" fontId="9" fillId="2" borderId="1" xfId="0" applyFont="true" applyBorder="true" applyAlignment="true" applyProtection="true">
      <alignment horizontal="general" vertical="center" textRotation="0" wrapText="false" indent="0" shrinkToFit="false"/>
      <protection locked="true" hidden="true"/>
    </xf>
    <xf numFmtId="170" fontId="9" fillId="2" borderId="0" xfId="0" applyFont="true" applyBorder="true" applyAlignment="true" applyProtection="true">
      <alignment horizontal="general" vertical="center" textRotation="0" wrapText="false" indent="0" shrinkToFit="false"/>
      <protection locked="true" hidden="true"/>
    </xf>
    <xf numFmtId="172" fontId="9" fillId="2" borderId="18" xfId="0" applyFont="true" applyBorder="true" applyAlignment="true" applyProtection="true">
      <alignment horizontal="general" vertical="center" textRotation="0" wrapText="false" indent="0" shrinkToFit="false"/>
      <protection locked="true" hidden="true"/>
    </xf>
    <xf numFmtId="164" fontId="8" fillId="2" borderId="5" xfId="0" applyFont="true" applyBorder="true" applyAlignment="true" applyProtection="true">
      <alignment horizontal="left" vertical="center" textRotation="0" wrapText="false" indent="0" shrinkToFit="false"/>
      <protection locked="true" hidden="true"/>
    </xf>
    <xf numFmtId="164" fontId="13" fillId="2" borderId="0" xfId="0" applyFont="true" applyBorder="true" applyAlignment="true" applyProtection="true">
      <alignment horizontal="general" vertical="center" textRotation="0" wrapText="false" indent="0" shrinkToFit="false"/>
      <protection locked="true" hidden="true"/>
    </xf>
    <xf numFmtId="164" fontId="13" fillId="2" borderId="0" xfId="0" applyFont="true" applyBorder="true" applyAlignment="true" applyProtection="true">
      <alignment horizontal="left" vertical="center" textRotation="0" wrapText="false" indent="0" shrinkToFit="false"/>
      <protection locked="true" hidden="true"/>
    </xf>
    <xf numFmtId="172" fontId="13" fillId="2" borderId="0" xfId="0" applyFont="true" applyBorder="true" applyAlignment="true" applyProtection="true">
      <alignment horizontal="general" vertical="center" textRotation="0" wrapText="false" indent="0" shrinkToFit="false"/>
      <protection locked="true" hidden="true"/>
    </xf>
    <xf numFmtId="164" fontId="15" fillId="2" borderId="14" xfId="0" applyFont="true" applyBorder="true" applyAlignment="true" applyProtection="true">
      <alignment horizontal="left" vertical="center" textRotation="0" wrapText="false" indent="0" shrinkToFit="false"/>
      <protection locked="true" hidden="true"/>
    </xf>
    <xf numFmtId="173" fontId="9" fillId="2" borderId="1" xfId="0" applyFont="true" applyBorder="true" applyAlignment="true" applyProtection="false">
      <alignment horizontal="general" vertical="center" textRotation="0" wrapText="false" indent="0" shrinkToFit="false"/>
      <protection locked="true" hidden="false"/>
    </xf>
    <xf numFmtId="173" fontId="9" fillId="2" borderId="1" xfId="0" applyFont="true" applyBorder="true" applyAlignment="true" applyProtection="true">
      <alignment horizontal="right" vertical="center" textRotation="0" wrapText="false" indent="0" shrinkToFit="false"/>
      <protection locked="true" hidden="true"/>
    </xf>
    <xf numFmtId="176" fontId="16" fillId="0" borderId="13" xfId="0" applyFont="true" applyBorder="true" applyAlignment="true" applyProtection="true">
      <alignment horizontal="general" vertical="center" textRotation="0" wrapText="false" indent="0" shrinkToFit="false"/>
      <protection locked="true" hidden="true"/>
    </xf>
    <xf numFmtId="176" fontId="9" fillId="2" borderId="6" xfId="0" applyFont="true" applyBorder="true" applyAlignment="true" applyProtection="true">
      <alignment horizontal="general" vertical="center" textRotation="0" wrapText="false" indent="0" shrinkToFit="false"/>
      <protection locked="true" hidden="true"/>
    </xf>
    <xf numFmtId="164" fontId="17" fillId="2" borderId="15" xfId="0" applyFont="true" applyBorder="true" applyAlignment="true" applyProtection="true">
      <alignment horizontal="general" vertical="center" textRotation="0" wrapText="false" indent="0" shrinkToFit="false"/>
      <protection locked="true" hidden="true"/>
    </xf>
    <xf numFmtId="164" fontId="9" fillId="2" borderId="8" xfId="0" applyFont="true" applyBorder="true" applyAlignment="true" applyProtection="true">
      <alignment horizontal="general" vertical="center" textRotation="0" wrapText="false" indent="0" shrinkToFit="false"/>
      <protection locked="true" hidden="true"/>
    </xf>
    <xf numFmtId="164" fontId="13" fillId="2" borderId="13" xfId="0" applyFont="true" applyBorder="true" applyAlignment="true" applyProtection="true">
      <alignment horizontal="general" vertical="center" textRotation="0" wrapText="false" indent="0" shrinkToFit="false"/>
      <protection locked="true" hidden="true"/>
    </xf>
    <xf numFmtId="164" fontId="9" fillId="2" borderId="14" xfId="0" applyFont="true" applyBorder="true" applyAlignment="true" applyProtection="true">
      <alignment horizontal="general" vertical="center" textRotation="0" wrapText="false" indent="0" shrinkToFit="false"/>
      <protection locked="true" hidden="true"/>
    </xf>
    <xf numFmtId="172" fontId="9" fillId="2" borderId="6" xfId="0" applyFont="true" applyBorder="true" applyAlignment="true" applyProtection="true">
      <alignment horizontal="center" vertical="center" textRotation="0" wrapText="false" indent="0" shrinkToFit="false"/>
      <protection locked="true" hidden="true"/>
    </xf>
    <xf numFmtId="172" fontId="9" fillId="2" borderId="0" xfId="0" applyFont="true" applyBorder="true" applyAlignment="true" applyProtection="true">
      <alignment horizontal="general" vertical="center" textRotation="0" wrapText="false" indent="0" shrinkToFit="false"/>
      <protection locked="true" hidden="true"/>
    </xf>
    <xf numFmtId="172" fontId="9" fillId="2" borderId="8" xfId="0" applyFont="true" applyBorder="true" applyAlignment="true" applyProtection="true">
      <alignment horizontal="center" vertical="center" textRotation="0" wrapText="false" indent="0" shrinkToFit="false"/>
      <protection locked="true" hidden="true"/>
    </xf>
    <xf numFmtId="172" fontId="9" fillId="2" borderId="19" xfId="0" applyFont="true" applyBorder="true" applyAlignment="true" applyProtection="true">
      <alignment horizontal="general" vertical="center" textRotation="0" wrapText="false" indent="0" shrinkToFit="false"/>
      <protection locked="true" hidden="true"/>
    </xf>
    <xf numFmtId="164" fontId="4" fillId="2" borderId="14" xfId="0" applyFont="true" applyBorder="true" applyAlignment="true" applyProtection="true">
      <alignment horizontal="general" vertical="center" textRotation="0" wrapText="false" indent="0" shrinkToFit="false"/>
      <protection locked="true" hidden="true"/>
    </xf>
    <xf numFmtId="164" fontId="18" fillId="2" borderId="0" xfId="0" applyFont="true" applyBorder="true" applyAlignment="true" applyProtection="true">
      <alignment horizontal="general" vertical="center" textRotation="0" wrapText="false" indent="0" shrinkToFit="false"/>
      <protection locked="true" hidden="true"/>
    </xf>
    <xf numFmtId="164" fontId="0" fillId="2" borderId="0" xfId="0" applyFont="false" applyBorder="false" applyAlignment="false" applyProtection="false">
      <alignment horizontal="general" vertical="bottom" textRotation="0" wrapText="false" indent="0" shrinkToFit="false"/>
      <protection locked="true" hidden="false"/>
    </xf>
    <xf numFmtId="164" fontId="19" fillId="2" borderId="0" xfId="0" applyFont="true" applyBorder="false" applyAlignment="true" applyProtection="false">
      <alignment horizontal="right" vertical="bottom" textRotation="0" wrapText="false" indent="0" shrinkToFit="false"/>
      <protection locked="true" hidden="false"/>
    </xf>
    <xf numFmtId="172" fontId="14" fillId="2" borderId="20" xfId="0" applyFont="true" applyBorder="true" applyAlignment="true" applyProtection="true">
      <alignment horizontal="center" vertical="center" textRotation="0" wrapText="false" indent="0" shrinkToFit="false"/>
      <protection locked="true" hidden="false"/>
    </xf>
    <xf numFmtId="164" fontId="4" fillId="2" borderId="21" xfId="0" applyFont="true" applyBorder="true" applyAlignment="true" applyProtection="true">
      <alignment horizontal="general" vertical="center" textRotation="0" wrapText="false" indent="0" shrinkToFit="false"/>
      <protection locked="true" hidden="true"/>
    </xf>
    <xf numFmtId="164" fontId="4" fillId="2" borderId="22" xfId="0" applyFont="true" applyBorder="true" applyAlignment="true" applyProtection="true">
      <alignment horizontal="general" vertical="center" textRotation="0" wrapText="false" indent="0" shrinkToFit="false"/>
      <protection locked="true" hidden="true"/>
    </xf>
    <xf numFmtId="164" fontId="4" fillId="2" borderId="23" xfId="0" applyFont="true" applyBorder="true" applyAlignment="true" applyProtection="false">
      <alignment horizontal="general" vertical="center" textRotation="0" wrapText="false" indent="0" shrinkToFit="false"/>
      <protection locked="true" hidden="false"/>
    </xf>
    <xf numFmtId="164" fontId="13" fillId="2" borderId="22" xfId="0" applyFont="true" applyBorder="true" applyAlignment="true" applyProtection="false">
      <alignment horizontal="left" vertical="center" textRotation="0" wrapText="false" indent="0" shrinkToFit="false"/>
      <protection locked="true" hidden="false"/>
    </xf>
    <xf numFmtId="164" fontId="4" fillId="2" borderId="22" xfId="0" applyFont="true" applyBorder="true" applyAlignment="true" applyProtection="false">
      <alignment horizontal="general" vertical="center" textRotation="0" wrapText="false" indent="0" shrinkToFit="false"/>
      <protection locked="true" hidden="false"/>
    </xf>
    <xf numFmtId="177" fontId="13" fillId="2" borderId="24"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false" applyProtection="true">
      <alignment horizontal="general" vertical="bottom" textRotation="0" wrapText="false" indent="0" shrinkToFit="false"/>
      <protection locked="true" hidden="true"/>
    </xf>
    <xf numFmtId="164" fontId="13" fillId="2" borderId="0" xfId="0" applyFont="true" applyBorder="true" applyAlignment="true" applyProtection="true">
      <alignment horizontal="left" vertical="bottom" textRotation="0" wrapText="false" indent="0" shrinkToFit="false"/>
      <protection locked="true" hidden="true"/>
    </xf>
    <xf numFmtId="177" fontId="13" fillId="2" borderId="0" xfId="0" applyFont="true" applyBorder="true" applyAlignment="false" applyProtection="true">
      <alignment horizontal="general" vertical="bottom" textRotation="0" wrapText="false" indent="0" shrinkToFit="false"/>
      <protection locked="true" hidden="true"/>
    </xf>
    <xf numFmtId="164" fontId="15" fillId="2" borderId="0" xfId="0" applyFont="true" applyBorder="false" applyAlignment="true" applyProtection="true">
      <alignment horizontal="justify" vertical="center" textRotation="0" wrapText="true" indent="0" shrinkToFit="false"/>
      <protection locked="true" hidden="true"/>
    </xf>
    <xf numFmtId="164" fontId="18" fillId="2" borderId="0" xfId="0" applyFont="true" applyBorder="true" applyAlignment="true" applyProtection="true">
      <alignment horizontal="justify" vertical="center" textRotation="0" wrapText="true" indent="0" shrinkToFit="false"/>
      <protection locked="true" hidden="true"/>
    </xf>
    <xf numFmtId="164" fontId="4" fillId="2" borderId="0" xfId="0" applyFont="true" applyBorder="true" applyAlignment="true" applyProtection="true">
      <alignment horizontal="center" vertical="center" textRotation="0" wrapText="false" indent="0" shrinkToFit="false"/>
      <protection locked="true" hidden="true"/>
    </xf>
    <xf numFmtId="167" fontId="9" fillId="2" borderId="1" xfId="0" applyFont="true" applyBorder="true" applyAlignment="true" applyProtection="true">
      <alignment horizontal="general" vertical="center" textRotation="0" wrapText="false" indent="0" shrinkToFit="false"/>
      <protection locked="true" hidden="false"/>
    </xf>
    <xf numFmtId="176" fontId="13" fillId="2" borderId="8" xfId="0" applyFont="true" applyBorder="true" applyAlignment="true" applyProtection="true">
      <alignment horizontal="center" vertical="center" textRotation="0" wrapText="false" indent="0" shrinkToFit="false"/>
      <protection locked="true" hidden="true"/>
    </xf>
    <xf numFmtId="176" fontId="13" fillId="2" borderId="13" xfId="0" applyFont="true" applyBorder="true" applyAlignment="true" applyProtection="true">
      <alignment horizontal="center" vertical="center" textRotation="0" wrapText="false" indent="0" shrinkToFit="false"/>
      <protection locked="true" hidden="true"/>
    </xf>
    <xf numFmtId="176" fontId="13" fillId="2" borderId="6" xfId="0" applyFont="true" applyBorder="true" applyAlignment="true" applyProtection="true">
      <alignment horizontal="center" vertical="center" textRotation="0" wrapText="false" indent="0" shrinkToFit="false"/>
      <protection locked="true" hidden="true"/>
    </xf>
    <xf numFmtId="176" fontId="16" fillId="0" borderId="13" xfId="0" applyFont="true" applyBorder="true" applyAlignment="true" applyProtection="true">
      <alignment horizontal="center" vertical="center" textRotation="0" wrapText="false" indent="0" shrinkToFit="false"/>
      <protection locked="true" hidden="true"/>
    </xf>
    <xf numFmtId="176" fontId="9" fillId="2" borderId="6" xfId="0" applyFont="true" applyBorder="true" applyAlignment="true" applyProtection="true">
      <alignment horizontal="center" vertical="center" textRotation="0" wrapText="false" indent="0" shrinkToFit="false"/>
      <protection locked="true" hidden="true"/>
    </xf>
    <xf numFmtId="164" fontId="9" fillId="2" borderId="8" xfId="0" applyFont="true" applyBorder="true" applyAlignment="true" applyProtection="true">
      <alignment horizontal="center" vertical="center" textRotation="0" wrapText="false" indent="0" shrinkToFit="false"/>
      <protection locked="true" hidden="true"/>
    </xf>
    <xf numFmtId="164" fontId="13" fillId="2" borderId="13" xfId="0" applyFont="true" applyBorder="true" applyAlignment="true" applyProtection="true">
      <alignment horizontal="center" vertical="center" textRotation="0" wrapText="false" indent="0" shrinkToFit="false"/>
      <protection locked="true" hidden="true"/>
    </xf>
    <xf numFmtId="164" fontId="4" fillId="2" borderId="0" xfId="0" applyFont="true" applyBorder="false" applyAlignment="true" applyProtection="false">
      <alignment horizontal="center" vertical="bottom" textRotation="0" wrapText="false" indent="0" shrinkToFit="false"/>
      <protection locked="true" hidden="false"/>
    </xf>
    <xf numFmtId="173" fontId="4" fillId="2" borderId="0" xfId="0" applyFont="true" applyBorder="false" applyAlignment="true" applyProtection="false">
      <alignment horizontal="general" vertical="bottom" textRotation="0" wrapText="false" indent="0" shrinkToFit="false"/>
      <protection locked="true" hidden="false"/>
    </xf>
    <xf numFmtId="164" fontId="4" fillId="2" borderId="0" xfId="0" applyFont="true" applyBorder="false" applyAlignment="true" applyProtection="false">
      <alignment horizontal="general" vertical="bottom" textRotation="0" wrapText="false" indent="0" shrinkToFit="false"/>
      <protection locked="true" hidden="false"/>
    </xf>
    <xf numFmtId="164" fontId="5" fillId="2" borderId="0" xfId="0" applyFont="true" applyBorder="true" applyAlignment="true" applyProtection="false">
      <alignment horizontal="center" vertical="bottom" textRotation="0" wrapText="false" indent="0" shrinkToFit="false"/>
      <protection locked="true" hidden="false"/>
    </xf>
    <xf numFmtId="171" fontId="4" fillId="2" borderId="0" xfId="0" applyFont="true" applyBorder="false" applyAlignment="true" applyProtection="false">
      <alignment horizontal="center"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4" fillId="2" borderId="0" xfId="0" applyFont="true" applyBorder="false" applyAlignment="true" applyProtection="false">
      <alignment horizontal="left" vertical="bottom" textRotation="0" wrapText="false" indent="0" shrinkToFit="false"/>
      <protection locked="true" hidden="false"/>
    </xf>
    <xf numFmtId="164" fontId="4" fillId="2" borderId="1" xfId="0" applyFont="true" applyBorder="true" applyAlignment="false" applyProtection="false">
      <alignment horizontal="general" vertical="bottom" textRotation="0" wrapText="false" indent="0" shrinkToFit="false"/>
      <protection locked="true" hidden="false"/>
    </xf>
    <xf numFmtId="164" fontId="4" fillId="4" borderId="1" xfId="0" applyFont="true" applyBorder="tru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left" vertical="bottom" textRotation="0" wrapText="false" indent="0" shrinkToFit="false"/>
      <protection locked="true" hidden="false"/>
    </xf>
    <xf numFmtId="165" fontId="4" fillId="4" borderId="1" xfId="0" applyFont="true" applyBorder="true" applyAlignment="true" applyProtection="false">
      <alignment horizontal="left" vertical="bottom" textRotation="0" wrapText="false" indent="0" shrinkToFit="false"/>
      <protection locked="true" hidden="false"/>
    </xf>
    <xf numFmtId="164" fontId="20" fillId="2" borderId="1" xfId="0" applyFont="true" applyBorder="true" applyAlignment="true" applyProtection="false">
      <alignment horizontal="right" vertical="bottom" textRotation="0" wrapText="false" indent="0" shrinkToFit="false"/>
      <protection locked="true" hidden="false"/>
    </xf>
    <xf numFmtId="164" fontId="4" fillId="4" borderId="1" xfId="0" applyFont="true" applyBorder="true" applyAlignment="true" applyProtection="false">
      <alignment horizontal="center" vertical="bottom" textRotation="0" wrapText="false" indent="0" shrinkToFit="false"/>
      <protection locked="true" hidden="false"/>
    </xf>
    <xf numFmtId="164" fontId="4" fillId="2" borderId="20" xfId="0" applyFont="true" applyBorder="true" applyAlignment="true" applyProtection="false">
      <alignment horizontal="center" vertical="bottom" textRotation="0" wrapText="true" indent="0" shrinkToFit="false"/>
      <protection locked="true" hidden="false"/>
    </xf>
    <xf numFmtId="173" fontId="4" fillId="2" borderId="20" xfId="0" applyFont="true" applyBorder="true" applyAlignment="true" applyProtection="false">
      <alignment horizontal="center" vertical="bottom" textRotation="0" wrapText="true" indent="0" shrinkToFit="false"/>
      <protection locked="true" hidden="false"/>
    </xf>
    <xf numFmtId="164" fontId="4" fillId="2" borderId="25" xfId="0" applyFont="true" applyBorder="true" applyAlignment="true" applyProtection="false">
      <alignment horizontal="center" vertical="bottom" textRotation="0" wrapText="true" indent="0" shrinkToFit="false"/>
      <protection locked="true" hidden="false"/>
    </xf>
    <xf numFmtId="164" fontId="0" fillId="0" borderId="2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left" vertical="bottom" textRotation="0" wrapText="false" indent="0" shrinkToFit="false"/>
      <protection locked="true" hidden="false"/>
    </xf>
    <xf numFmtId="164" fontId="20" fillId="2" borderId="0" xfId="0" applyFont="true" applyBorder="false" applyAlignment="true" applyProtection="false">
      <alignment horizontal="right" vertical="bottom" textRotation="0" wrapText="false" indent="0" shrinkToFit="false"/>
      <protection locked="true" hidden="false"/>
    </xf>
    <xf numFmtId="166" fontId="4" fillId="5" borderId="0" xfId="0" applyFont="true" applyBorder="false" applyAlignment="true" applyProtection="false">
      <alignment horizontal="center" vertical="bottom" textRotation="0" wrapText="false" indent="0" shrinkToFit="false"/>
      <protection locked="true" hidden="false"/>
    </xf>
    <xf numFmtId="164" fontId="8" fillId="2" borderId="2" xfId="0" applyFont="true" applyBorder="true" applyAlignment="true" applyProtection="false">
      <alignment horizontal="left" vertical="bottom" textRotation="0" wrapText="false" indent="0" shrinkToFit="false"/>
      <protection locked="true" hidden="false"/>
    </xf>
    <xf numFmtId="164" fontId="4" fillId="2" borderId="3" xfId="0" applyFont="true" applyBorder="true" applyAlignment="false" applyProtection="false">
      <alignment horizontal="general" vertical="bottom" textRotation="0" wrapText="false" indent="0" shrinkToFit="false"/>
      <protection locked="true" hidden="false"/>
    </xf>
    <xf numFmtId="164" fontId="4" fillId="2" borderId="4" xfId="0" applyFont="true" applyBorder="true" applyAlignment="false" applyProtection="false">
      <alignment horizontal="general" vertical="bottom" textRotation="0" wrapText="false" indent="0" shrinkToFit="false"/>
      <protection locked="true" hidden="false"/>
    </xf>
    <xf numFmtId="164" fontId="9" fillId="2" borderId="5" xfId="0" applyFont="true" applyBorder="true" applyAlignment="true" applyProtection="false">
      <alignment horizontal="left" vertical="center" textRotation="0" wrapText="false" indent="0" shrinkToFit="false"/>
      <protection locked="true" hidden="false"/>
    </xf>
    <xf numFmtId="164" fontId="9" fillId="2" borderId="0" xfId="0" applyFont="true" applyBorder="true" applyAlignment="true" applyProtection="false">
      <alignment horizontal="general" vertical="center" textRotation="0" wrapText="false" indent="0" shrinkToFit="false"/>
      <protection locked="true" hidden="false"/>
    </xf>
    <xf numFmtId="164" fontId="9" fillId="2" borderId="1" xfId="0" applyFont="true" applyBorder="true" applyAlignment="true" applyProtection="false">
      <alignment horizontal="right" vertical="center" textRotation="0" wrapText="false" indent="0" shrinkToFit="false"/>
      <protection locked="true" hidden="false"/>
    </xf>
    <xf numFmtId="164" fontId="9" fillId="2" borderId="0" xfId="0" applyFont="true" applyBorder="true" applyAlignment="true" applyProtection="false">
      <alignment horizontal="left" vertical="center" textRotation="0" wrapText="false" indent="0" shrinkToFit="false"/>
      <protection locked="true" hidden="false"/>
    </xf>
    <xf numFmtId="164" fontId="9" fillId="2" borderId="1" xfId="0" applyFont="true" applyBorder="true" applyAlignment="true" applyProtection="false">
      <alignment horizontal="general" vertical="center" textRotation="0" wrapText="false" indent="0" shrinkToFit="false"/>
      <protection locked="true" hidden="false"/>
    </xf>
    <xf numFmtId="167" fontId="9" fillId="4" borderId="1" xfId="0" applyFont="true" applyBorder="true" applyAlignment="true" applyProtection="true">
      <alignment horizontal="right" vertical="center" textRotation="0" wrapText="false" indent="0" shrinkToFit="false"/>
      <protection locked="true" hidden="false"/>
    </xf>
    <xf numFmtId="164" fontId="4" fillId="2" borderId="6" xfId="0" applyFont="true" applyBorder="true" applyAlignment="true" applyProtection="false">
      <alignment horizontal="general" vertical="center" textRotation="0" wrapText="false" indent="0" shrinkToFit="false"/>
      <protection locked="true" hidden="false"/>
    </xf>
    <xf numFmtId="166" fontId="4" fillId="4" borderId="0" xfId="0" applyFont="true" applyBorder="false" applyAlignment="true" applyProtection="false">
      <alignment horizontal="center" vertical="bottom" textRotation="0" wrapText="false" indent="0" shrinkToFit="false"/>
      <protection locked="true" hidden="false"/>
    </xf>
    <xf numFmtId="170" fontId="4" fillId="4" borderId="0" xfId="0" applyFont="true" applyBorder="false" applyAlignment="true" applyProtection="false">
      <alignment horizontal="center" vertical="bottom" textRotation="0" wrapText="false" indent="0" shrinkToFit="false"/>
      <protection locked="true" hidden="false"/>
    </xf>
    <xf numFmtId="164" fontId="4" fillId="2" borderId="5" xfId="0" applyFont="true" applyBorder="true" applyAlignment="true" applyProtection="false">
      <alignment horizontal="center" vertical="bottom" textRotation="0" wrapText="false" indent="0" shrinkToFit="false"/>
      <protection locked="true" hidden="false"/>
    </xf>
    <xf numFmtId="164" fontId="4" fillId="2" borderId="0" xfId="0" applyFont="true" applyBorder="true" applyAlignment="true" applyProtection="false">
      <alignment horizontal="center" vertical="bottom" textRotation="0" wrapText="false" indent="0" shrinkToFit="false"/>
      <protection locked="true" hidden="false"/>
    </xf>
    <xf numFmtId="172" fontId="4" fillId="2" borderId="6" xfId="0" applyFont="true" applyBorder="true" applyAlignment="true" applyProtection="false">
      <alignment horizontal="center" vertical="bottom" textRotation="0" wrapText="false" indent="0" shrinkToFit="false"/>
      <protection locked="true" hidden="false"/>
    </xf>
    <xf numFmtId="173" fontId="4" fillId="2" borderId="5" xfId="0" applyFont="true" applyBorder="true" applyAlignment="true" applyProtection="false">
      <alignment horizontal="general" vertical="bottom" textRotation="0" wrapText="false" indent="0" shrinkToFit="false"/>
      <protection locked="true" hidden="false"/>
    </xf>
    <xf numFmtId="172" fontId="4" fillId="2" borderId="0" xfId="0" applyFont="true" applyBorder="true" applyAlignment="true" applyProtection="false">
      <alignment horizontal="general" vertical="bottom" textRotation="0" wrapText="false" indent="0" shrinkToFit="false"/>
      <protection locked="true" hidden="false"/>
    </xf>
    <xf numFmtId="171" fontId="4" fillId="5" borderId="26" xfId="0" applyFont="true" applyBorder="true" applyAlignment="true" applyProtection="false">
      <alignment horizontal="center" vertical="bottom" textRotation="0" wrapText="false" indent="0" shrinkToFit="false"/>
      <protection locked="true" hidden="false"/>
    </xf>
    <xf numFmtId="164" fontId="4" fillId="5" borderId="27" xfId="0" applyFont="true" applyBorder="true" applyAlignment="true" applyProtection="false">
      <alignment horizontal="center" vertical="bottom" textRotation="0" wrapText="false" indent="0" shrinkToFit="false"/>
      <protection locked="true" hidden="false"/>
    </xf>
    <xf numFmtId="164" fontId="4" fillId="5" borderId="28" xfId="0" applyFont="true" applyBorder="true" applyAlignment="true" applyProtection="false">
      <alignment horizontal="left" vertical="bottom" textRotation="0" wrapText="false" indent="0" shrinkToFit="false"/>
      <protection locked="true" hidden="false"/>
    </xf>
    <xf numFmtId="164" fontId="4" fillId="2" borderId="25" xfId="0" applyFont="true" applyBorder="true" applyAlignment="true" applyProtection="false">
      <alignment horizontal="center" vertical="bottom" textRotation="0" wrapText="false" indent="0" shrinkToFit="false"/>
      <protection locked="true" hidden="false"/>
    </xf>
    <xf numFmtId="168" fontId="9" fillId="2" borderId="0" xfId="0" applyFont="true" applyBorder="true" applyAlignment="true" applyProtection="false">
      <alignment horizontal="general" vertical="center" textRotation="0" wrapText="false" indent="0" shrinkToFit="false"/>
      <protection locked="true" hidden="false"/>
    </xf>
    <xf numFmtId="167" fontId="9" fillId="4" borderId="1" xfId="0" applyFont="true" applyBorder="true" applyAlignment="true" applyProtection="true">
      <alignment horizontal="general" vertical="center" textRotation="0" wrapText="false" indent="0" shrinkToFit="false"/>
      <protection locked="true" hidden="false"/>
    </xf>
    <xf numFmtId="171" fontId="4" fillId="2" borderId="5" xfId="0" applyFont="true" applyBorder="true" applyAlignment="true" applyProtection="false">
      <alignment horizontal="center" vertical="bottom" textRotation="0" wrapText="false" indent="0" shrinkToFit="false"/>
      <protection locked="true" hidden="false"/>
    </xf>
    <xf numFmtId="164" fontId="4" fillId="2" borderId="6" xfId="0" applyFont="true" applyBorder="true" applyAlignment="true" applyProtection="false">
      <alignment horizontal="center" vertical="bottom" textRotation="0" wrapText="false" indent="0" shrinkToFit="false"/>
      <protection locked="true" hidden="false"/>
    </xf>
    <xf numFmtId="169" fontId="9" fillId="2" borderId="1" xfId="0" applyFont="true" applyBorder="true" applyAlignment="true" applyProtection="true">
      <alignment horizontal="general" vertical="center" textRotation="0" wrapText="false" indent="0" shrinkToFit="false"/>
      <protection locked="true" hidden="false"/>
    </xf>
    <xf numFmtId="170" fontId="9" fillId="5" borderId="1" xfId="0" applyFont="true" applyBorder="true" applyAlignment="true" applyProtection="true">
      <alignment horizontal="general" vertical="center" textRotation="0" wrapText="false" indent="0" shrinkToFit="false"/>
      <protection locked="true" hidden="false"/>
    </xf>
    <xf numFmtId="164" fontId="9" fillId="4" borderId="0" xfId="0" applyFont="true" applyBorder="true" applyAlignment="true" applyProtection="false">
      <alignment horizontal="general" vertical="center" textRotation="0" wrapText="false" indent="0" shrinkToFit="false"/>
      <protection locked="true" hidden="false"/>
    </xf>
    <xf numFmtId="168" fontId="9" fillId="2" borderId="1" xfId="0" applyFont="true" applyBorder="true" applyAlignment="true" applyProtection="true">
      <alignment horizontal="general" vertical="center" textRotation="0" wrapText="false" indent="0" shrinkToFit="false"/>
      <protection locked="true" hidden="false"/>
    </xf>
    <xf numFmtId="170" fontId="9" fillId="2" borderId="1" xfId="0" applyFont="true" applyBorder="true" applyAlignment="true" applyProtection="true">
      <alignment horizontal="right" vertical="center" textRotation="0" wrapText="false" indent="0" shrinkToFit="false"/>
      <protection locked="true" hidden="false"/>
    </xf>
    <xf numFmtId="171" fontId="9" fillId="4" borderId="1" xfId="0" applyFont="true" applyBorder="true" applyAlignment="true" applyProtection="false">
      <alignment horizontal="right" vertical="center" textRotation="0" wrapText="false" indent="0" shrinkToFit="false"/>
      <protection locked="true" hidden="false"/>
    </xf>
    <xf numFmtId="171" fontId="9" fillId="2" borderId="0" xfId="0" applyFont="true" applyBorder="true" applyAlignment="true" applyProtection="false">
      <alignment horizontal="general" vertical="center" textRotation="0" wrapText="false" indent="0" shrinkToFit="false"/>
      <protection locked="true" hidden="false"/>
    </xf>
    <xf numFmtId="164" fontId="4" fillId="2" borderId="6" xfId="0" applyFont="true" applyBorder="true" applyAlignment="true" applyProtection="false">
      <alignment horizontal="right" vertical="center" textRotation="0" wrapText="false" indent="0" shrinkToFit="false"/>
      <protection locked="true" hidden="false"/>
    </xf>
    <xf numFmtId="170" fontId="4" fillId="2" borderId="0" xfId="0" applyFont="true" applyBorder="false" applyAlignment="true" applyProtection="false">
      <alignment horizontal="center" vertical="bottom" textRotation="0" wrapText="false" indent="0" shrinkToFit="false"/>
      <protection locked="true" hidden="false"/>
    </xf>
    <xf numFmtId="172" fontId="9" fillId="2" borderId="1" xfId="0" applyFont="true" applyBorder="true" applyAlignment="true" applyProtection="true">
      <alignment horizontal="general" vertical="center" textRotation="0" wrapText="false" indent="0" shrinkToFit="false"/>
      <protection locked="true" hidden="false"/>
    </xf>
    <xf numFmtId="171" fontId="9" fillId="5" borderId="1" xfId="0" applyFont="true" applyBorder="true" applyAlignment="true" applyProtection="true">
      <alignment horizontal="right" vertical="center"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70" fontId="9" fillId="4" borderId="1" xfId="0" applyFont="true" applyBorder="true" applyAlignment="true" applyProtection="true">
      <alignment horizontal="right" vertical="center" textRotation="0" wrapText="false" indent="0" shrinkToFit="false"/>
      <protection locked="true" hidden="false"/>
    </xf>
    <xf numFmtId="164" fontId="0" fillId="2" borderId="5" xfId="0" applyFont="true" applyBorder="true" applyAlignment="true" applyProtection="false">
      <alignment horizontal="right" vertical="center" textRotation="0" wrapText="true" indent="0" shrinkToFit="false"/>
      <protection locked="true" hidden="false"/>
    </xf>
    <xf numFmtId="164" fontId="0" fillId="2" borderId="0" xfId="0" applyFont="true" applyBorder="true" applyAlignment="true" applyProtection="false">
      <alignment horizontal="center" vertical="center" textRotation="0" wrapText="true" indent="0" shrinkToFit="false"/>
      <protection locked="true" hidden="false"/>
    </xf>
    <xf numFmtId="172" fontId="0" fillId="5" borderId="0" xfId="0" applyFont="true" applyBorder="false" applyAlignment="true" applyProtection="false">
      <alignment horizontal="center" vertical="center" textRotation="0" wrapText="false" indent="0" shrinkToFit="false"/>
      <protection locked="true" hidden="false"/>
    </xf>
    <xf numFmtId="164" fontId="4" fillId="2" borderId="7" xfId="0" applyFont="true" applyBorder="true" applyAlignment="true" applyProtection="false">
      <alignment horizontal="left" vertical="bottom" textRotation="0" wrapText="false" indent="0" shrinkToFit="false"/>
      <protection locked="true" hidden="false"/>
    </xf>
    <xf numFmtId="164" fontId="4" fillId="2" borderId="8" xfId="0" applyFont="tru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true" applyProtection="false">
      <alignment horizontal="left" vertical="center" textRotation="0" wrapText="true" indent="0" shrinkToFit="false"/>
      <protection locked="true" hidden="false"/>
    </xf>
    <xf numFmtId="164" fontId="0" fillId="0" borderId="0" xfId="0" applyFont="fals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8" fillId="2" borderId="9" xfId="0" applyFont="true" applyBorder="true" applyAlignment="true" applyProtection="false">
      <alignment horizontal="left" vertical="center" textRotation="0" wrapText="false" indent="0" shrinkToFit="false"/>
      <protection locked="true" hidden="false"/>
    </xf>
    <xf numFmtId="164" fontId="12" fillId="2" borderId="10" xfId="0" applyFont="true" applyBorder="true" applyAlignment="true" applyProtection="false">
      <alignment horizontal="general" vertical="center" textRotation="0" wrapText="false" indent="0" shrinkToFit="false"/>
      <protection locked="true" hidden="false"/>
    </xf>
    <xf numFmtId="169" fontId="12" fillId="2" borderId="10" xfId="0" applyFont="true" applyBorder="true" applyAlignment="true" applyProtection="false">
      <alignment horizontal="general" vertical="center" textRotation="0" wrapText="false" indent="0" shrinkToFit="false"/>
      <protection locked="true" hidden="false"/>
    </xf>
    <xf numFmtId="164" fontId="12" fillId="2" borderId="11" xfId="0" applyFont="true" applyBorder="true" applyAlignment="true" applyProtection="false">
      <alignment horizontal="general" vertical="center" textRotation="0" wrapText="false" indent="0" shrinkToFit="false"/>
      <protection locked="true" hidden="false"/>
    </xf>
    <xf numFmtId="164" fontId="8" fillId="2" borderId="12" xfId="0" applyFont="true" applyBorder="true" applyAlignment="true" applyProtection="false">
      <alignment horizontal="left" vertical="center" textRotation="0" wrapText="false" indent="0" shrinkToFit="false"/>
      <protection locked="true" hidden="false"/>
    </xf>
    <xf numFmtId="164" fontId="12" fillId="2" borderId="13" xfId="0" applyFont="true" applyBorder="true" applyAlignment="true" applyProtection="false">
      <alignment horizontal="general" vertical="center" textRotation="0" wrapText="false" indent="0" shrinkToFit="false"/>
      <protection locked="true" hidden="false"/>
    </xf>
    <xf numFmtId="164" fontId="4" fillId="2" borderId="5" xfId="0" applyFont="true" applyBorder="true" applyAlignment="true" applyProtection="false">
      <alignment horizontal="general" vertical="center" textRotation="0" wrapText="false" indent="0" shrinkToFit="false"/>
      <protection locked="true" hidden="false"/>
    </xf>
    <xf numFmtId="166" fontId="9" fillId="5" borderId="1" xfId="0" applyFont="true" applyBorder="true" applyAlignment="true" applyProtection="false">
      <alignment horizontal="general" vertical="center" textRotation="0" wrapText="false" indent="0" shrinkToFit="false"/>
      <protection locked="true" hidden="false"/>
    </xf>
    <xf numFmtId="173" fontId="9" fillId="5" borderId="1" xfId="0" applyFont="true" applyBorder="true" applyAlignment="true" applyProtection="false">
      <alignment horizontal="general" vertical="center" textRotation="0" wrapText="false" indent="0" shrinkToFit="false"/>
      <protection locked="true" hidden="false"/>
    </xf>
    <xf numFmtId="164" fontId="9" fillId="2" borderId="14" xfId="0" applyFont="true" applyBorder="true" applyAlignment="true" applyProtection="false">
      <alignment horizontal="left" vertical="center" textRotation="0" wrapText="false" indent="0" shrinkToFit="false"/>
      <protection locked="true" hidden="false"/>
    </xf>
    <xf numFmtId="164" fontId="9" fillId="5" borderId="15" xfId="0" applyFont="true" applyBorder="true" applyAlignment="true" applyProtection="false">
      <alignment horizontal="general" vertical="center" textRotation="0" wrapText="false" indent="0" shrinkToFit="false"/>
      <protection locked="true" hidden="false"/>
    </xf>
    <xf numFmtId="178" fontId="9" fillId="2" borderId="1" xfId="0" applyFont="true" applyBorder="true" applyAlignment="true" applyProtection="true">
      <alignment horizontal="general" vertical="center" textRotation="0" wrapText="false" indent="0" shrinkToFit="false"/>
      <protection locked="true" hidden="false"/>
    </xf>
    <xf numFmtId="179" fontId="9" fillId="2" borderId="8" xfId="0" applyFont="true" applyBorder="true" applyAlignment="true" applyProtection="true">
      <alignment horizontal="center" vertical="center" textRotation="0" wrapText="false" indent="0" shrinkToFit="false"/>
      <protection locked="true" hidden="false"/>
    </xf>
    <xf numFmtId="164" fontId="4" fillId="2" borderId="21" xfId="0" applyFont="true" applyBorder="true" applyAlignment="true" applyProtection="false">
      <alignment horizontal="center" vertical="bottom" textRotation="0" wrapText="false" indent="0" shrinkToFit="false"/>
      <protection locked="true" hidden="false"/>
    </xf>
    <xf numFmtId="164" fontId="4" fillId="2" borderId="22" xfId="0" applyFont="true" applyBorder="true" applyAlignment="true" applyProtection="false">
      <alignment horizontal="center" vertical="bottom" textRotation="0" wrapText="false" indent="0" shrinkToFit="false"/>
      <protection locked="true" hidden="false"/>
    </xf>
    <xf numFmtId="164" fontId="4" fillId="2" borderId="24" xfId="0" applyFont="true" applyBorder="true" applyAlignment="true" applyProtection="false">
      <alignment horizontal="center" vertical="bottom" textRotation="0" wrapText="false" indent="0" shrinkToFit="false"/>
      <protection locked="true" hidden="false"/>
    </xf>
    <xf numFmtId="173" fontId="4" fillId="2" borderId="21" xfId="0" applyFont="true" applyBorder="true" applyAlignment="true" applyProtection="false">
      <alignment horizontal="general" vertical="bottom" textRotation="0" wrapText="false" indent="0" shrinkToFit="false"/>
      <protection locked="true" hidden="false"/>
    </xf>
    <xf numFmtId="172" fontId="4" fillId="2" borderId="22" xfId="0" applyFont="true" applyBorder="true" applyAlignment="true" applyProtection="false">
      <alignment horizontal="general" vertical="bottom" textRotation="0" wrapText="false" indent="0" shrinkToFit="false"/>
      <protection locked="true" hidden="false"/>
    </xf>
    <xf numFmtId="175" fontId="9" fillId="4" borderId="1" xfId="0" applyFont="true" applyBorder="true" applyAlignment="true" applyProtection="false">
      <alignment horizontal="general" vertical="center" textRotation="0" wrapText="false" indent="0" shrinkToFit="false"/>
      <protection locked="true" hidden="false"/>
    </xf>
    <xf numFmtId="164" fontId="13" fillId="2" borderId="0" xfId="0" applyFont="true" applyBorder="false" applyAlignment="true" applyProtection="false">
      <alignment horizontal="center" vertical="bottom" textRotation="0" wrapText="false" indent="0" shrinkToFit="false"/>
      <protection locked="true" hidden="false"/>
    </xf>
    <xf numFmtId="173" fontId="9" fillId="4" borderId="1" xfId="0" applyFont="true" applyBorder="true" applyAlignment="true" applyProtection="false">
      <alignment horizontal="general" vertical="center" textRotation="0" wrapText="false" indent="0" shrinkToFit="false"/>
      <protection locked="true" hidden="false"/>
    </xf>
    <xf numFmtId="164" fontId="9" fillId="2" borderId="15" xfId="0" applyFont="true" applyBorder="true" applyAlignment="true" applyProtection="false">
      <alignment horizontal="general" vertical="center" textRotation="0" wrapText="false" indent="0" shrinkToFit="false"/>
      <protection locked="true" hidden="false"/>
    </xf>
    <xf numFmtId="172" fontId="4" fillId="2" borderId="0" xfId="0" applyFont="true" applyBorder="false" applyAlignment="true" applyProtection="false">
      <alignment horizontal="center" vertical="bottom" textRotation="0" wrapText="false" indent="0" shrinkToFit="false"/>
      <protection locked="true" hidden="false"/>
    </xf>
    <xf numFmtId="173" fontId="4" fillId="2" borderId="0" xfId="0" applyFont="true" applyBorder="false" applyAlignment="true" applyProtection="false">
      <alignment horizontal="center" vertical="bottom" textRotation="0" wrapText="false" indent="0" shrinkToFit="false"/>
      <protection locked="true" hidden="false"/>
    </xf>
    <xf numFmtId="164" fontId="9" fillId="2" borderId="16" xfId="0" applyFont="true" applyBorder="true" applyAlignment="true" applyProtection="false">
      <alignment horizontal="general" vertical="center" textRotation="0" wrapText="false" indent="0" shrinkToFit="false"/>
      <protection locked="true" hidden="false"/>
    </xf>
    <xf numFmtId="164" fontId="14" fillId="2" borderId="0" xfId="0" applyFont="true" applyBorder="true" applyAlignment="true" applyProtection="false">
      <alignment horizontal="right" vertical="center" textRotation="0" wrapText="false" indent="0" shrinkToFit="false"/>
      <protection locked="true" hidden="false"/>
    </xf>
    <xf numFmtId="176" fontId="14" fillId="2" borderId="17" xfId="0" applyFont="true" applyBorder="true" applyAlignment="true" applyProtection="true">
      <alignment horizontal="center" vertical="center" textRotation="0" wrapText="false" indent="0" shrinkToFit="false"/>
      <protection locked="true" hidden="false"/>
    </xf>
    <xf numFmtId="164" fontId="4" fillId="2" borderId="1" xfId="0" applyFont="true" applyBorder="true" applyAlignment="true" applyProtection="false">
      <alignment horizontal="general" vertical="center" textRotation="0" wrapText="false" indent="0" shrinkToFit="false"/>
      <protection locked="true" hidden="false"/>
    </xf>
    <xf numFmtId="176" fontId="13" fillId="2" borderId="8" xfId="0" applyFont="true" applyBorder="true" applyAlignment="true" applyProtection="false">
      <alignment horizontal="center" vertical="center" textRotation="0" wrapText="false" indent="0" shrinkToFit="false"/>
      <protection locked="true" hidden="false"/>
    </xf>
    <xf numFmtId="164" fontId="4" fillId="2" borderId="10" xfId="0" applyFont="true" applyBorder="true" applyAlignment="true" applyProtection="false">
      <alignment horizontal="general" vertical="center" textRotation="0" wrapText="false" indent="0" shrinkToFit="false"/>
      <protection locked="true" hidden="false"/>
    </xf>
    <xf numFmtId="176" fontId="13" fillId="2" borderId="13" xfId="0" applyFont="true" applyBorder="true" applyAlignment="true" applyProtection="false">
      <alignment horizontal="center" vertical="center" textRotation="0" wrapText="false" indent="0" shrinkToFit="false"/>
      <protection locked="true" hidden="false"/>
    </xf>
    <xf numFmtId="164" fontId="4" fillId="2" borderId="16" xfId="0" applyFont="true" applyBorder="true" applyAlignment="true" applyProtection="false">
      <alignment horizontal="general" vertical="center" textRotation="0" wrapText="false" indent="0" shrinkToFit="false"/>
      <protection locked="true" hidden="false"/>
    </xf>
    <xf numFmtId="164" fontId="4" fillId="2" borderId="0" xfId="0" applyFont="true" applyBorder="true" applyAlignment="true" applyProtection="false">
      <alignment horizontal="general" vertical="center" textRotation="0" wrapText="false" indent="0" shrinkToFit="false"/>
      <protection locked="true" hidden="false"/>
    </xf>
    <xf numFmtId="176" fontId="13" fillId="2" borderId="6" xfId="0" applyFont="true" applyBorder="true" applyAlignment="true" applyProtection="false">
      <alignment horizontal="center" vertical="center" textRotation="0" wrapText="false" indent="0" shrinkToFit="false"/>
      <protection locked="true" hidden="false"/>
    </xf>
    <xf numFmtId="170" fontId="9" fillId="2" borderId="1" xfId="0" applyFont="true" applyBorder="true" applyAlignment="true" applyProtection="true">
      <alignment horizontal="general" vertical="center" textRotation="0" wrapText="false" indent="0" shrinkToFit="false"/>
      <protection locked="true" hidden="false"/>
    </xf>
    <xf numFmtId="170" fontId="9" fillId="2" borderId="0" xfId="0" applyFont="true" applyBorder="true" applyAlignment="true" applyProtection="true">
      <alignment horizontal="general" vertical="center" textRotation="0" wrapText="false" indent="0" shrinkToFit="false"/>
      <protection locked="true" hidden="false"/>
    </xf>
    <xf numFmtId="173" fontId="9" fillId="4" borderId="29" xfId="0" applyFont="true" applyBorder="true" applyAlignment="true" applyProtection="false">
      <alignment horizontal="general" vertical="center" textRotation="0" wrapText="false" indent="0" shrinkToFit="false"/>
      <protection locked="true" hidden="false"/>
    </xf>
    <xf numFmtId="172" fontId="14" fillId="5" borderId="18" xfId="0" applyFont="true" applyBorder="true" applyAlignment="true" applyProtection="false">
      <alignment horizontal="general" vertical="center" textRotation="0" wrapText="false" indent="0" shrinkToFit="false"/>
      <protection locked="true" hidden="false"/>
    </xf>
    <xf numFmtId="164" fontId="4" fillId="2" borderId="0" xfId="0" applyFont="true" applyBorder="false" applyAlignment="true" applyProtection="false">
      <alignment horizontal="right" vertical="bottom" textRotation="0" wrapText="false" indent="0" shrinkToFit="false"/>
      <protection locked="true" hidden="false"/>
    </xf>
    <xf numFmtId="164" fontId="8" fillId="2" borderId="5" xfId="0" applyFont="true" applyBorder="true" applyAlignment="true" applyProtection="false">
      <alignment horizontal="left" vertical="center" textRotation="0" wrapText="false" indent="0" shrinkToFit="false"/>
      <protection locked="true" hidden="false"/>
    </xf>
    <xf numFmtId="164" fontId="13" fillId="2" borderId="0" xfId="0" applyFont="true" applyBorder="true" applyAlignment="true" applyProtection="false">
      <alignment horizontal="general" vertical="center" textRotation="0" wrapText="false" indent="0" shrinkToFit="false"/>
      <protection locked="true" hidden="false"/>
    </xf>
    <xf numFmtId="164" fontId="13" fillId="2" borderId="0" xfId="0" applyFont="true" applyBorder="true" applyAlignment="true" applyProtection="false">
      <alignment horizontal="left" vertical="center" textRotation="0" wrapText="false" indent="0" shrinkToFit="false"/>
      <protection locked="true" hidden="false"/>
    </xf>
    <xf numFmtId="172" fontId="13" fillId="2" borderId="0" xfId="0" applyFont="true" applyBorder="true" applyAlignment="true" applyProtection="false">
      <alignment horizontal="general" vertical="center" textRotation="0" wrapText="false" indent="0" shrinkToFit="false"/>
      <protection locked="true" hidden="false"/>
    </xf>
    <xf numFmtId="164" fontId="15" fillId="2" borderId="14" xfId="0" applyFont="true" applyBorder="true" applyAlignment="true" applyProtection="false">
      <alignment horizontal="left" vertical="center" textRotation="0" wrapText="false" indent="0" shrinkToFit="false"/>
      <protection locked="true" hidden="false"/>
    </xf>
    <xf numFmtId="180" fontId="4" fillId="2" borderId="0" xfId="0" applyFont="true" applyBorder="false" applyAlignment="true" applyProtection="false">
      <alignment horizontal="center" vertical="bottom" textRotation="0" wrapText="false" indent="0" shrinkToFit="false"/>
      <protection locked="true" hidden="false"/>
    </xf>
    <xf numFmtId="173" fontId="9" fillId="4" borderId="1" xfId="0" applyFont="true" applyBorder="true" applyAlignment="true" applyProtection="false">
      <alignment horizontal="right" vertical="center" textRotation="0" wrapText="false" indent="0" shrinkToFit="false"/>
      <protection locked="true" hidden="false"/>
    </xf>
    <xf numFmtId="176" fontId="16" fillId="0" borderId="13" xfId="0" applyFont="true" applyBorder="true" applyAlignment="true" applyProtection="false">
      <alignment horizontal="center" vertical="center" textRotation="0" wrapText="false" indent="0" shrinkToFit="false"/>
      <protection locked="true" hidden="false"/>
    </xf>
    <xf numFmtId="176" fontId="9" fillId="2" borderId="6" xfId="0" applyFont="true" applyBorder="true" applyAlignment="true" applyProtection="true">
      <alignment horizontal="center" vertical="center" textRotation="0" wrapText="false" indent="0" shrinkToFit="false"/>
      <protection locked="true" hidden="false"/>
    </xf>
    <xf numFmtId="164" fontId="17" fillId="2" borderId="15" xfId="0" applyFont="true" applyBorder="true" applyAlignment="true" applyProtection="false">
      <alignment horizontal="general" vertical="center" textRotation="0" wrapText="false" indent="0" shrinkToFit="false"/>
      <protection locked="true" hidden="false"/>
    </xf>
    <xf numFmtId="164" fontId="9" fillId="2" borderId="8" xfId="0" applyFont="true" applyBorder="true" applyAlignment="true" applyProtection="false">
      <alignment horizontal="center" vertical="center" textRotation="0" wrapText="false" indent="0" shrinkToFit="false"/>
      <protection locked="true" hidden="false"/>
    </xf>
    <xf numFmtId="181" fontId="4" fillId="2" borderId="0" xfId="0" applyFont="true" applyBorder="false" applyAlignment="true" applyProtection="false">
      <alignment horizontal="center" vertical="bottom" textRotation="0" wrapText="false" indent="0" shrinkToFit="false"/>
      <protection locked="true" hidden="false"/>
    </xf>
    <xf numFmtId="164" fontId="13" fillId="2" borderId="13" xfId="0" applyFont="true" applyBorder="true" applyAlignment="true" applyProtection="false">
      <alignment horizontal="center" vertical="center" textRotation="0" wrapText="false" indent="0" shrinkToFit="false"/>
      <protection locked="true" hidden="false"/>
    </xf>
    <xf numFmtId="167" fontId="9" fillId="4" borderId="8" xfId="0" applyFont="true" applyBorder="true" applyAlignment="true" applyProtection="true">
      <alignment horizontal="right" vertical="center" textRotation="0" wrapText="false" indent="0" shrinkToFit="false"/>
      <protection locked="true" hidden="false"/>
    </xf>
    <xf numFmtId="172" fontId="9" fillId="2" borderId="8" xfId="0" applyFont="true" applyBorder="true" applyAlignment="true" applyProtection="true">
      <alignment horizontal="center" vertical="center" textRotation="0" wrapText="false" indent="0" shrinkToFit="false"/>
      <protection locked="true" hidden="false"/>
    </xf>
    <xf numFmtId="164" fontId="9" fillId="2" borderId="14" xfId="0" applyFont="true" applyBorder="true" applyAlignment="true" applyProtection="false">
      <alignment horizontal="general" vertical="center" textRotation="0" wrapText="false" indent="0" shrinkToFit="false"/>
      <protection locked="true" hidden="false"/>
    </xf>
    <xf numFmtId="172" fontId="9" fillId="2" borderId="17" xfId="0" applyFont="true" applyBorder="true" applyAlignment="true" applyProtection="true">
      <alignment horizontal="center" vertical="center" textRotation="0" wrapText="false" indent="0" shrinkToFit="false"/>
      <protection locked="true" hidden="false"/>
    </xf>
    <xf numFmtId="172" fontId="9" fillId="2" borderId="1" xfId="0" applyFont="true" applyBorder="true" applyAlignment="true" applyProtection="false">
      <alignment horizontal="general" vertical="center" textRotation="0" wrapText="false" indent="0" shrinkToFit="false"/>
      <protection locked="true" hidden="false"/>
    </xf>
    <xf numFmtId="172" fontId="9" fillId="2" borderId="6" xfId="0" applyFont="true" applyBorder="true" applyAlignment="true" applyProtection="true">
      <alignment horizontal="center" vertical="center" textRotation="0" wrapText="false" indent="0" shrinkToFit="false"/>
      <protection locked="true" hidden="false"/>
    </xf>
    <xf numFmtId="172" fontId="9" fillId="2" borderId="0" xfId="0" applyFont="true" applyBorder="true" applyAlignment="true" applyProtection="false">
      <alignment horizontal="general" vertical="center" textRotation="0" wrapText="false" indent="0" shrinkToFit="false"/>
      <protection locked="true" hidden="false"/>
    </xf>
    <xf numFmtId="172" fontId="14" fillId="5" borderId="19" xfId="0" applyFont="true" applyBorder="true" applyAlignment="true" applyProtection="false">
      <alignment horizontal="general" vertical="center" textRotation="0" wrapText="false" indent="0" shrinkToFit="false"/>
      <protection locked="true" hidden="false"/>
    </xf>
    <xf numFmtId="164" fontId="4" fillId="2" borderId="14" xfId="0" applyFont="true" applyBorder="true" applyAlignment="true" applyProtection="false">
      <alignment horizontal="general" vertical="center" textRotation="0" wrapText="false" indent="0" shrinkToFit="false"/>
      <protection locked="true" hidden="false"/>
    </xf>
    <xf numFmtId="164" fontId="18" fillId="2" borderId="0" xfId="0" applyFont="true" applyBorder="true" applyAlignment="true" applyProtection="false">
      <alignment horizontal="general" vertical="center"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19" fillId="5" borderId="0" xfId="0" applyFont="true" applyBorder="false" applyAlignment="true" applyProtection="false">
      <alignment horizontal="right" vertical="bottom" textRotation="0" wrapText="false" indent="0" shrinkToFit="false"/>
      <protection locked="true" hidden="false"/>
    </xf>
    <xf numFmtId="164" fontId="4" fillId="2" borderId="21" xfId="0" applyFont="true" applyBorder="true" applyAlignment="true" applyProtection="false">
      <alignment horizontal="general" vertical="center" textRotation="0" wrapText="false" indent="0" shrinkToFit="false"/>
      <protection locked="true" hidden="false"/>
    </xf>
    <xf numFmtId="164" fontId="4" fillId="2" borderId="0" xfId="0" applyFont="true" applyBorder="true" applyAlignment="false" applyProtection="false">
      <alignment horizontal="general" vertical="bottom" textRotation="0" wrapText="false" indent="0" shrinkToFit="false"/>
      <protection locked="true" hidden="false"/>
    </xf>
    <xf numFmtId="164" fontId="13" fillId="2" borderId="0" xfId="0" applyFont="true" applyBorder="true" applyAlignment="true" applyProtection="false">
      <alignment horizontal="left" vertical="bottom" textRotation="0" wrapText="false" indent="0" shrinkToFit="false"/>
      <protection locked="true" hidden="false"/>
    </xf>
    <xf numFmtId="177" fontId="13" fillId="2" borderId="0" xfId="0" applyFont="true" applyBorder="true" applyAlignment="false" applyProtection="true">
      <alignment horizontal="general" vertical="bottom" textRotation="0" wrapText="false" indent="0" shrinkToFit="false"/>
      <protection locked="true" hidden="false"/>
    </xf>
    <xf numFmtId="164" fontId="4" fillId="4" borderId="0" xfId="0" applyFont="true" applyBorder="true" applyAlignment="true" applyProtection="true">
      <alignment horizontal="center" vertical="bottom" textRotation="0" wrapText="false" indent="0" shrinkToFit="false"/>
      <protection locked="true" hidden="true"/>
    </xf>
    <xf numFmtId="164" fontId="4" fillId="2" borderId="30" xfId="0" applyFont="true" applyBorder="true" applyAlignment="true" applyProtection="false">
      <alignment horizontal="center" vertical="bottom" textRotation="0" wrapText="false" indent="0" shrinkToFit="false"/>
      <protection locked="true" hidden="false"/>
    </xf>
    <xf numFmtId="171" fontId="4" fillId="2" borderId="21" xfId="0" applyFont="true" applyBorder="true" applyAlignment="true" applyProtection="false">
      <alignment horizontal="center" vertical="bottom" textRotation="0" wrapText="false" indent="0" shrinkToFit="false"/>
      <protection locked="true" hidden="false"/>
    </xf>
    <xf numFmtId="164" fontId="4" fillId="2" borderId="31" xfId="0" applyFont="true" applyBorder="true" applyAlignment="true" applyProtection="false">
      <alignment horizontal="center" vertical="bottom" textRotation="0" wrapText="false" indent="0" shrinkToFit="false"/>
      <protection locked="true" hidden="false"/>
    </xf>
    <xf numFmtId="171" fontId="4" fillId="2" borderId="3"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E3E3E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5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76953125" defaultRowHeight="15.75" customHeight="true" zeroHeight="false" outlineLevelRow="0" outlineLevelCol="0"/>
  <cols>
    <col collapsed="false" customWidth="true" hidden="false" outlineLevel="0" max="1" min="1" style="1" width="1.77"/>
    <col collapsed="false" customWidth="true" hidden="false" outlineLevel="0" max="2" min="2" style="1" width="6.77"/>
    <col collapsed="false" customWidth="true" hidden="false" outlineLevel="0" max="3" min="3" style="1" width="4.88"/>
    <col collapsed="false" customWidth="true" hidden="false" outlineLevel="0" max="4" min="4" style="1" width="12.77"/>
    <col collapsed="false" customWidth="true" hidden="false" outlineLevel="0" max="5" min="5" style="1" width="7.77"/>
    <col collapsed="false" customWidth="true" hidden="false" outlineLevel="0" max="7" min="6" style="1" width="4.77"/>
    <col collapsed="false" customWidth="false" hidden="false" outlineLevel="0" max="8" min="8" style="1" width="9.77"/>
    <col collapsed="false" customWidth="true" hidden="false" outlineLevel="0" max="9" min="9" style="1" width="6.21"/>
    <col collapsed="false" customWidth="true" hidden="false" outlineLevel="0" max="10" min="10" style="1" width="7.88"/>
    <col collapsed="false" customWidth="true" hidden="false" outlineLevel="0" max="11" min="11" style="1" width="9.55"/>
    <col collapsed="false" customWidth="true" hidden="false" outlineLevel="0" max="12" min="12" style="1" width="9.44"/>
    <col collapsed="false" customWidth="false" hidden="false" outlineLevel="0" max="257" min="13" style="2" width="9.77"/>
  </cols>
  <sheetData>
    <row r="1" customFormat="false" ht="22.5" hidden="false" customHeight="false" outlineLevel="0" collapsed="false">
      <c r="A1" s="3" t="s">
        <v>0</v>
      </c>
      <c r="B1" s="3"/>
      <c r="C1" s="3"/>
      <c r="D1" s="3"/>
      <c r="E1" s="3"/>
      <c r="F1" s="3"/>
      <c r="G1" s="3"/>
      <c r="H1" s="3"/>
      <c r="I1" s="3"/>
      <c r="J1" s="3"/>
      <c r="K1" s="3"/>
      <c r="L1" s="3"/>
    </row>
    <row r="2" customFormat="false" ht="18.75" hidden="false" customHeight="true" outlineLevel="0" collapsed="false">
      <c r="A2" s="3" t="s">
        <v>1</v>
      </c>
      <c r="B2" s="3"/>
      <c r="C2" s="3"/>
      <c r="D2" s="3"/>
      <c r="E2" s="3"/>
      <c r="F2" s="3"/>
      <c r="G2" s="3"/>
      <c r="H2" s="3"/>
      <c r="I2" s="3"/>
      <c r="J2" s="3"/>
      <c r="K2" s="3"/>
      <c r="L2" s="3"/>
    </row>
    <row r="3" customFormat="false" ht="18.75" hidden="false" customHeight="true" outlineLevel="0" collapsed="false">
      <c r="A3" s="4"/>
      <c r="B3" s="5"/>
      <c r="C3" s="5"/>
      <c r="D3" s="5"/>
      <c r="E3" s="5"/>
      <c r="F3" s="5"/>
      <c r="G3" s="5"/>
      <c r="H3" s="5"/>
      <c r="I3" s="5"/>
      <c r="J3" s="5"/>
      <c r="K3" s="5"/>
      <c r="L3" s="5"/>
    </row>
    <row r="4" customFormat="false" ht="15.75" hidden="false" customHeight="false" outlineLevel="0" collapsed="false">
      <c r="A4" s="6" t="s">
        <v>2</v>
      </c>
      <c r="C4" s="7"/>
      <c r="D4" s="7" t="str">
        <f aca="false">DataEntry!$D$4</f>
        <v>Paul Thomas refi</v>
      </c>
      <c r="E4" s="7"/>
      <c r="F4" s="7"/>
      <c r="G4" s="8"/>
      <c r="H4" s="7"/>
      <c r="I4" s="7"/>
      <c r="J4" s="7" t="s">
        <v>3</v>
      </c>
      <c r="K4" s="9" t="n">
        <f aca="false">DataEntry!$K$4</f>
        <v>37133</v>
      </c>
      <c r="L4" s="7" t="s">
        <v>4</v>
      </c>
    </row>
    <row r="5" customFormat="false" ht="15.75" hidden="false" customHeight="false" outlineLevel="0" collapsed="false">
      <c r="A5" s="6" t="s">
        <v>5</v>
      </c>
      <c r="C5" s="7"/>
      <c r="D5" s="7"/>
      <c r="E5" s="10" t="s">
        <v>6</v>
      </c>
      <c r="F5" s="11" t="n">
        <f aca="false">DataEntry!$F$5</f>
        <v>30</v>
      </c>
      <c r="G5" s="12" t="s">
        <v>7</v>
      </c>
      <c r="H5" s="13"/>
      <c r="I5" s="13"/>
      <c r="J5" s="13"/>
      <c r="K5" s="13"/>
      <c r="L5" s="7"/>
    </row>
    <row r="6" customFormat="false" ht="16.5" hidden="false" customHeight="true" outlineLevel="0" collapsed="false">
      <c r="B6" s="14"/>
      <c r="C6" s="14"/>
      <c r="D6" s="15"/>
      <c r="E6" s="16" t="s">
        <v>8</v>
      </c>
      <c r="F6" s="17" t="n">
        <f aca="false">DataEntry!$O$8</f>
        <v>0</v>
      </c>
      <c r="G6" s="14"/>
      <c r="H6" s="14" t="s">
        <v>9</v>
      </c>
    </row>
    <row r="7" customFormat="false" ht="15.75" hidden="false" customHeight="false" outlineLevel="0" collapsed="false">
      <c r="A7" s="18" t="s">
        <v>10</v>
      </c>
      <c r="B7" s="19"/>
      <c r="C7" s="19"/>
      <c r="D7" s="19"/>
      <c r="E7" s="19"/>
      <c r="F7" s="19"/>
      <c r="G7" s="19"/>
      <c r="H7" s="19"/>
      <c r="I7" s="19"/>
      <c r="J7" s="19"/>
      <c r="K7" s="19"/>
      <c r="L7" s="20"/>
    </row>
    <row r="8" customFormat="false" ht="15.75" hidden="false" customHeight="false" outlineLevel="0" collapsed="false">
      <c r="A8" s="21" t="str">
        <f aca="false">DataEntry!A8</f>
        <v>Type of Loan, 1st:</v>
      </c>
      <c r="B8" s="22"/>
      <c r="C8" s="22"/>
      <c r="D8" s="23" t="n">
        <f aca="false">DataEntry!D8</f>
        <v>30</v>
      </c>
      <c r="E8" s="24" t="str">
        <f aca="false">DataEntry!E8</f>
        <v>year fixed</v>
      </c>
      <c r="F8" s="22"/>
      <c r="G8" s="25"/>
      <c r="H8" s="26" t="n">
        <f aca="false">DataEntry!H8</f>
        <v>185000</v>
      </c>
      <c r="I8" s="24" t="str">
        <f aca="false">DataEntry!I8</f>
        <v>Estimated Value of Home</v>
      </c>
      <c r="J8" s="22"/>
      <c r="K8" s="22"/>
      <c r="L8" s="27"/>
    </row>
    <row r="9" customFormat="false" ht="15.75" hidden="false" customHeight="false" outlineLevel="0" collapsed="false">
      <c r="A9" s="21" t="str">
        <f aca="false">DataEntry!A9</f>
        <v>Loan Term - 1st</v>
      </c>
      <c r="B9" s="22"/>
      <c r="C9" s="22"/>
      <c r="D9" s="25" t="n">
        <f aca="false">DataEntry!D9</f>
        <v>360</v>
      </c>
      <c r="E9" s="22" t="s">
        <v>4</v>
      </c>
      <c r="F9" s="28" t="s">
        <v>4</v>
      </c>
      <c r="G9" s="25"/>
      <c r="H9" s="29" t="n">
        <v>166500</v>
      </c>
      <c r="I9" s="24" t="str">
        <f aca="false">DataEntry!I9</f>
        <v>New first loan amount </v>
      </c>
      <c r="J9" s="22"/>
      <c r="K9" s="22"/>
      <c r="L9" s="27"/>
    </row>
    <row r="10" customFormat="false" ht="15.75" hidden="false" customHeight="false" outlineLevel="0" collapsed="false">
      <c r="A10" s="21" t="str">
        <f aca="false">DataEntry!A10</f>
        <v>Loan Term - 2nd</v>
      </c>
      <c r="B10" s="22"/>
      <c r="C10" s="22"/>
      <c r="D10" s="23" t="n">
        <v>0</v>
      </c>
      <c r="E10" s="22"/>
      <c r="F10" s="28" t="s">
        <v>4</v>
      </c>
      <c r="G10" s="25"/>
      <c r="H10" s="30" t="n">
        <v>0</v>
      </c>
      <c r="I10" s="24" t="str">
        <f aca="false">DataEntry!I10</f>
        <v>Second Loan Amount</v>
      </c>
      <c r="J10" s="22"/>
      <c r="K10" s="22"/>
      <c r="L10" s="27"/>
      <c r="N10" s="31"/>
    </row>
    <row r="11" customFormat="false" ht="15.75" hidden="false" customHeight="false" outlineLevel="0" collapsed="false">
      <c r="A11" s="21" t="str">
        <f aca="false">DataEntry!A11</f>
        <v>Note Rate:</v>
      </c>
      <c r="B11" s="22"/>
      <c r="C11" s="22"/>
      <c r="D11" s="32" t="n">
        <f aca="false">DataEntry!$P$8</f>
        <v>0.0675</v>
      </c>
      <c r="E11" s="22" t="str">
        <f aca="false">DataEntry!E11</f>
        <v>current 30 day lock</v>
      </c>
      <c r="F11" s="22"/>
      <c r="G11" s="25"/>
      <c r="H11" s="33" t="n">
        <f aca="false">H9/H8</f>
        <v>0.9</v>
      </c>
      <c r="I11" s="24" t="str">
        <f aca="false">DataEntry!I11</f>
        <v>Total LTV</v>
      </c>
      <c r="J11" s="22"/>
      <c r="K11" s="34" t="str">
        <f aca="false">IF(H11&gt;0.901,"TO HIGH!"," ")</f>
        <v> </v>
      </c>
      <c r="L11" s="35" t="str">
        <f aca="false">IF(H11&lt;0.801,"TOO LOW!"," ")</f>
        <v> </v>
      </c>
    </row>
    <row r="12" customFormat="false" ht="15.75" hidden="false" customHeight="false" outlineLevel="0" collapsed="false">
      <c r="A12" s="21" t="str">
        <f aca="false">DataEntry!A12</f>
        <v>2nd Lien Rate</v>
      </c>
      <c r="B12" s="22"/>
      <c r="C12" s="22"/>
      <c r="D12" s="36" t="n">
        <v>0</v>
      </c>
      <c r="E12" s="22"/>
      <c r="F12" s="22"/>
      <c r="G12" s="25"/>
      <c r="H12" s="37" t="n">
        <f aca="false">DataEntry!H12</f>
        <v>37165</v>
      </c>
      <c r="I12" s="24" t="str">
        <f aca="false">DataEntry!I12</f>
        <v>Closing Date</v>
      </c>
      <c r="J12" s="22"/>
      <c r="K12" s="22"/>
      <c r="L12" s="27"/>
    </row>
    <row r="13" customFormat="false" ht="15.75" hidden="false" customHeight="false" outlineLevel="0" collapsed="false">
      <c r="A13" s="21" t="str">
        <f aca="false">DataEntry!A13</f>
        <v>Hazard Ins yr:</v>
      </c>
      <c r="B13" s="22"/>
      <c r="C13" s="22"/>
      <c r="D13" s="38" t="n">
        <f aca="false">DataEntry!D13</f>
        <v>900</v>
      </c>
      <c r="E13" s="22" t="str">
        <f aca="false">DataEntry!E13</f>
        <v>Estimate </v>
      </c>
      <c r="F13" s="22"/>
      <c r="G13" s="25"/>
      <c r="H13" s="37" t="n">
        <f aca="false">DataEntry!H13</f>
        <v>37168</v>
      </c>
      <c r="I13" s="24" t="str">
        <f aca="false">DataEntry!I13</f>
        <v>Funding Date (3 days after closing)</v>
      </c>
      <c r="J13" s="22"/>
      <c r="K13" s="22"/>
      <c r="L13" s="27"/>
      <c r="M13" s="0"/>
      <c r="N13" s="0"/>
    </row>
    <row r="14" customFormat="false" ht="15.75" hidden="false" customHeight="false" outlineLevel="0" collapsed="false">
      <c r="A14" s="21" t="str">
        <f aca="false">DataEntry!A14</f>
        <v>Taxes yr:</v>
      </c>
      <c r="B14" s="22"/>
      <c r="C14" s="22"/>
      <c r="D14" s="38" t="n">
        <f aca="false">DataEntry!D14</f>
        <v>4625</v>
      </c>
      <c r="E14" s="22" t="str">
        <f aca="false">DataEntry!E14</f>
        <v>Estimate @ 2.5%</v>
      </c>
      <c r="F14" s="22"/>
      <c r="G14" s="25"/>
      <c r="H14" s="36" t="str">
        <f aca="false">DataEntry!H14</f>
        <v>rate/term refi</v>
      </c>
      <c r="I14" s="24" t="str">
        <f aca="false">DataEntry!I14</f>
        <v>Transaction Type</v>
      </c>
      <c r="J14" s="22"/>
      <c r="K14" s="22"/>
      <c r="L14" s="27"/>
      <c r="M14" s="0"/>
      <c r="N14" s="0"/>
    </row>
    <row r="15" customFormat="false" ht="9" hidden="false" customHeight="true" outlineLevel="0" collapsed="false">
      <c r="A15" s="39" t="s">
        <v>4</v>
      </c>
      <c r="B15" s="7"/>
      <c r="C15" s="7"/>
      <c r="D15" s="7"/>
      <c r="E15" s="7"/>
      <c r="F15" s="7"/>
      <c r="G15" s="7"/>
      <c r="H15" s="7"/>
      <c r="I15" s="7"/>
      <c r="J15" s="7"/>
      <c r="K15" s="7"/>
      <c r="L15" s="40"/>
      <c r="M15" s="0"/>
      <c r="N15" s="0"/>
    </row>
    <row r="16" customFormat="false" ht="15" hidden="false" customHeight="true" outlineLevel="0" collapsed="false">
      <c r="A16" s="41" t="s">
        <v>11</v>
      </c>
      <c r="B16" s="42"/>
      <c r="C16" s="42"/>
      <c r="D16" s="42"/>
      <c r="E16" s="43"/>
      <c r="F16" s="44"/>
      <c r="G16" s="45" t="s">
        <v>12</v>
      </c>
      <c r="H16" s="42"/>
      <c r="I16" s="42"/>
      <c r="J16" s="42"/>
      <c r="K16" s="42"/>
      <c r="L16" s="46"/>
      <c r="M16" s="0"/>
      <c r="N16" s="0"/>
    </row>
    <row r="17" customFormat="false" ht="13.5" hidden="false" customHeight="true" outlineLevel="0" collapsed="false">
      <c r="A17" s="47"/>
      <c r="B17" s="22" t="n">
        <f aca="false">DataEntry!B17</f>
        <v>801</v>
      </c>
      <c r="C17" s="48" t="n">
        <f aca="false">F6</f>
        <v>0</v>
      </c>
      <c r="D17" s="24" t="str">
        <f aca="false">DataEntry!D17</f>
        <v>total loan points</v>
      </c>
      <c r="E17" s="49" t="n">
        <f aca="false">C17*H9/100</f>
        <v>0</v>
      </c>
      <c r="F17" s="50"/>
      <c r="G17" s="51" t="n">
        <f aca="false">DataEntry!G17</f>
        <v>4</v>
      </c>
      <c r="H17" s="24" t="str">
        <f aca="false">DataEntry!H17</f>
        <v>Days of Interim Interest</v>
      </c>
      <c r="I17" s="22"/>
      <c r="J17" s="52" t="n">
        <f aca="false">$H$9*$D$11/365</f>
        <v>30.791095890411</v>
      </c>
      <c r="K17" s="24" t="s">
        <v>13</v>
      </c>
      <c r="L17" s="53" t="n">
        <f aca="false">J17*G17</f>
        <v>123.164383561644</v>
      </c>
      <c r="M17" s="0"/>
      <c r="N17" s="0"/>
    </row>
    <row r="18" customFormat="false" ht="13.5" hidden="false" customHeight="true" outlineLevel="0" collapsed="false">
      <c r="A18" s="47"/>
      <c r="B18" s="22" t="n">
        <f aca="false">DataEntry!B18</f>
        <v>802</v>
      </c>
      <c r="C18" s="54" t="n">
        <v>0</v>
      </c>
      <c r="D18" s="24" t="str">
        <f aca="false">DataEntry!D18</f>
        <v>escrow waiver fee</v>
      </c>
      <c r="E18" s="49" t="n">
        <f aca="false">C18*H9/100</f>
        <v>0</v>
      </c>
      <c r="F18" s="50"/>
      <c r="G18" s="51" t="n">
        <f aca="false">DataEntry!G18</f>
        <v>11</v>
      </c>
      <c r="H18" s="24" t="str">
        <f aca="false">DataEntry!H18</f>
        <v>Est Mo Taxes*</v>
      </c>
      <c r="I18" s="22"/>
      <c r="J18" s="52" t="n">
        <f aca="false">D14/12</f>
        <v>385.416666666667</v>
      </c>
      <c r="K18" s="24" t="s">
        <v>14</v>
      </c>
      <c r="L18" s="53" t="n">
        <f aca="false">G18*J18</f>
        <v>4239.58333333333</v>
      </c>
      <c r="M18" s="0"/>
      <c r="N18" s="0"/>
      <c r="O18" s="55"/>
    </row>
    <row r="19" customFormat="false" ht="13.5" hidden="false" customHeight="true" outlineLevel="0" collapsed="false">
      <c r="A19" s="47"/>
      <c r="B19" s="22" t="n">
        <f aca="false">DataEntry!B19</f>
        <v>803</v>
      </c>
      <c r="C19" s="22"/>
      <c r="D19" s="24" t="str">
        <f aca="false">DataEntry!D19</f>
        <v>Appraisal </v>
      </c>
      <c r="E19" s="49" t="n">
        <f aca="false">DataEntry!E19</f>
        <v>325</v>
      </c>
      <c r="F19" s="50"/>
      <c r="G19" s="51" t="n">
        <f aca="false">DataEntry!G19</f>
        <v>4</v>
      </c>
      <c r="H19" s="24" t="str">
        <f aca="false">DataEntry!H19</f>
        <v>Est Mo Hazard Ins*</v>
      </c>
      <c r="I19" s="22"/>
      <c r="J19" s="52" t="n">
        <f aca="false">D13/12</f>
        <v>75</v>
      </c>
      <c r="K19" s="24" t="s">
        <v>14</v>
      </c>
      <c r="L19" s="53" t="n">
        <f aca="false">G19*J19</f>
        <v>300</v>
      </c>
      <c r="M19" s="0" t="s">
        <v>4</v>
      </c>
      <c r="N19" s="0"/>
    </row>
    <row r="20" customFormat="false" ht="13.5" hidden="false" customHeight="true" outlineLevel="0" collapsed="false">
      <c r="A20" s="47"/>
      <c r="B20" s="22" t="n">
        <f aca="false">DataEntry!B20</f>
        <v>804</v>
      </c>
      <c r="C20" s="22"/>
      <c r="D20" s="24" t="str">
        <f aca="false">DataEntry!D20</f>
        <v>Credit Report</v>
      </c>
      <c r="E20" s="49" t="n">
        <f aca="false">DataEntry!E20</f>
        <v>50</v>
      </c>
      <c r="F20" s="50"/>
      <c r="G20" s="51" t="n">
        <f aca="false">DataEntry!G20</f>
        <v>0</v>
      </c>
      <c r="H20" s="24" t="str">
        <f aca="false">DataEntry!H20</f>
        <v>Mo Mortgage Insurance</v>
      </c>
      <c r="I20" s="22"/>
      <c r="J20" s="52" t="n">
        <f aca="false">H9*0.0052/12</f>
        <v>72.15</v>
      </c>
      <c r="K20" s="24" t="s">
        <v>14</v>
      </c>
      <c r="L20" s="53" t="n">
        <f aca="false">G20*J20</f>
        <v>0</v>
      </c>
    </row>
    <row r="21" customFormat="false" ht="13.5" hidden="false" customHeight="true" outlineLevel="0" collapsed="false">
      <c r="A21" s="47"/>
      <c r="B21" s="22" t="n">
        <f aca="false">DataEntry!B21</f>
        <v>805</v>
      </c>
      <c r="C21" s="22"/>
      <c r="D21" s="24" t="str">
        <f aca="false">DataEntry!D21</f>
        <v>Application Fee</v>
      </c>
      <c r="E21" s="49" t="n">
        <f aca="false">DataEntry!E21</f>
        <v>0</v>
      </c>
      <c r="F21" s="50"/>
      <c r="G21" s="51" t="n">
        <f aca="false">DataEntry!G21</f>
        <v>0</v>
      </c>
      <c r="H21" s="24" t="str">
        <f aca="false">DataEntry!H21</f>
        <v>HOA fee</v>
      </c>
      <c r="I21" s="22"/>
      <c r="J21" s="52" t="n">
        <v>0</v>
      </c>
      <c r="K21" s="24" t="s">
        <v>14</v>
      </c>
      <c r="L21" s="53" t="n">
        <f aca="false">G21*J21</f>
        <v>0</v>
      </c>
    </row>
    <row r="22" customFormat="false" ht="13.5" hidden="false" customHeight="true" outlineLevel="0" collapsed="false">
      <c r="A22" s="47"/>
      <c r="B22" s="22" t="n">
        <f aca="false">DataEntry!B22</f>
        <v>828</v>
      </c>
      <c r="C22" s="22"/>
      <c r="D22" s="24" t="str">
        <f aca="false">DataEntry!D22</f>
        <v>Underwriting</v>
      </c>
      <c r="E22" s="49" t="n">
        <f aca="false">DataEntry!E22</f>
        <v>250</v>
      </c>
      <c r="F22" s="50"/>
      <c r="G22" s="56"/>
      <c r="H22" s="24" t="s">
        <v>4</v>
      </c>
      <c r="I22" s="22"/>
      <c r="J22" s="22"/>
      <c r="K22" s="57" t="s">
        <v>15</v>
      </c>
      <c r="L22" s="58" t="n">
        <f aca="false">SUM(L17:L21)</f>
        <v>4662.74771689498</v>
      </c>
    </row>
    <row r="23" customFormat="false" ht="13.5" hidden="false" customHeight="true" outlineLevel="0" collapsed="false">
      <c r="A23" s="47"/>
      <c r="B23" s="22" t="n">
        <f aca="false">DataEntry!B23</f>
        <v>809</v>
      </c>
      <c r="C23" s="22"/>
      <c r="D23" s="24" t="str">
        <f aca="false">DataEntry!D23</f>
        <v>Wire/Funding</v>
      </c>
      <c r="E23" s="49" t="n">
        <f aca="false">DataEntry!E23</f>
        <v>0</v>
      </c>
      <c r="F23" s="50"/>
      <c r="G23" s="59" t="s">
        <v>16</v>
      </c>
      <c r="H23" s="60"/>
      <c r="I23" s="60"/>
      <c r="J23" s="60"/>
      <c r="K23" s="60"/>
      <c r="L23" s="61"/>
    </row>
    <row r="24" customFormat="false" ht="15" hidden="false" customHeight="true" outlineLevel="0" collapsed="false">
      <c r="A24" s="47"/>
      <c r="B24" s="22" t="n">
        <f aca="false">DataEntry!B24</f>
        <v>810</v>
      </c>
      <c r="C24" s="22"/>
      <c r="D24" s="24" t="str">
        <f aca="false">DataEntry!D24</f>
        <v>Tax Service</v>
      </c>
      <c r="E24" s="49" t="n">
        <f aca="false">DataEntry!E24</f>
        <v>110</v>
      </c>
      <c r="F24" s="50" t="s">
        <v>4</v>
      </c>
      <c r="G24" s="45" t="s">
        <v>17</v>
      </c>
      <c r="H24" s="62"/>
      <c r="I24" s="62"/>
      <c r="J24" s="62"/>
      <c r="K24" s="62"/>
      <c r="L24" s="63"/>
    </row>
    <row r="25" customFormat="false" ht="13.5" hidden="false" customHeight="true" outlineLevel="0" collapsed="false">
      <c r="A25" s="47"/>
      <c r="B25" s="22" t="n">
        <f aca="false">DataEntry!B25</f>
        <v>823</v>
      </c>
      <c r="C25" s="22"/>
      <c r="D25" s="24" t="str">
        <f aca="false">DataEntry!D25</f>
        <v>Flood Cert</v>
      </c>
      <c r="E25" s="49" t="n">
        <f aca="false">DataEntry!E25</f>
        <v>35</v>
      </c>
      <c r="F25" s="50" t="s">
        <v>4</v>
      </c>
      <c r="G25" s="64"/>
      <c r="H25" s="65"/>
      <c r="I25" s="65"/>
      <c r="J25" s="65"/>
      <c r="K25" s="65"/>
      <c r="L25" s="66"/>
    </row>
    <row r="26" customFormat="false" ht="13.5" hidden="false" customHeight="true" outlineLevel="0" collapsed="false">
      <c r="A26" s="47"/>
      <c r="B26" s="22" t="n">
        <f aca="false">DataEntry!B26</f>
        <v>827</v>
      </c>
      <c r="C26" s="22"/>
      <c r="D26" s="24" t="str">
        <f aca="false">DataEntry!D26</f>
        <v>Doc Prep Ancillary</v>
      </c>
      <c r="E26" s="49" t="n">
        <f aca="false">DataEntry!E26</f>
        <v>0</v>
      </c>
      <c r="F26" s="50"/>
      <c r="G26" s="56"/>
      <c r="H26" s="24" t="str">
        <f aca="false">DataEntry!H26</f>
        <v>Principal &amp; Interest at </v>
      </c>
      <c r="I26" s="22"/>
      <c r="J26" s="67" t="n">
        <f aca="false">D11</f>
        <v>0.0675</v>
      </c>
      <c r="K26" s="22"/>
      <c r="L26" s="53" t="n">
        <f aca="false">PMT(D11/12,D9,-H9)</f>
        <v>1079.91583078608</v>
      </c>
      <c r="M26" s="2" t="s">
        <v>4</v>
      </c>
    </row>
    <row r="27" customFormat="false" ht="13.5" hidden="false" customHeight="true" outlineLevel="0" collapsed="false">
      <c r="A27" s="47"/>
      <c r="B27" s="22" t="n">
        <f aca="false">DataEntry!B27</f>
        <v>1113</v>
      </c>
      <c r="C27" s="22"/>
      <c r="D27" s="24" t="str">
        <f aca="false">DataEntry!D27</f>
        <v>Delivery </v>
      </c>
      <c r="E27" s="49" t="n">
        <f aca="false">DataEntry!E27</f>
        <v>50</v>
      </c>
      <c r="F27" s="50"/>
      <c r="G27" s="56"/>
      <c r="H27" s="24" t="str">
        <f aca="false">DataEntry!H27</f>
        <v>Taxes</v>
      </c>
      <c r="I27" s="22" t="s">
        <v>4</v>
      </c>
      <c r="J27" s="68"/>
      <c r="K27" s="22"/>
      <c r="L27" s="53" t="n">
        <f aca="false">J18</f>
        <v>385.416666666667</v>
      </c>
    </row>
    <row r="28" customFormat="false" ht="13.5" hidden="false" customHeight="true" outlineLevel="0" collapsed="false">
      <c r="A28" s="47"/>
      <c r="B28" s="22" t="n">
        <f aca="false">DataEntry!B28</f>
        <v>816</v>
      </c>
      <c r="C28" s="22" t="s">
        <v>4</v>
      </c>
      <c r="D28" s="24" t="str">
        <f aca="false">DataEntry!D28</f>
        <v>Processing</v>
      </c>
      <c r="E28" s="49" t="n">
        <f aca="false">DataEntry!E28</f>
        <v>175</v>
      </c>
      <c r="F28" s="50"/>
      <c r="G28" s="56"/>
      <c r="H28" s="24" t="str">
        <f aca="false">DataEntry!H28</f>
        <v>Homeowners Insurance</v>
      </c>
      <c r="I28" s="22"/>
      <c r="J28" s="22"/>
      <c r="K28" s="22"/>
      <c r="L28" s="53" t="n">
        <f aca="false">J19</f>
        <v>75</v>
      </c>
    </row>
    <row r="29" customFormat="false" ht="13.5" hidden="false" customHeight="true" outlineLevel="0" collapsed="false">
      <c r="A29" s="47"/>
      <c r="B29" s="22"/>
      <c r="C29" s="22" t="s">
        <v>4</v>
      </c>
      <c r="D29" s="57" t="s">
        <v>18</v>
      </c>
      <c r="E29" s="69" t="n">
        <f aca="false">SUM(E17:E28)</f>
        <v>995</v>
      </c>
      <c r="F29" s="50"/>
      <c r="G29" s="56"/>
      <c r="H29" s="24" t="str">
        <f aca="false">DataEntry!H29</f>
        <v>2nd Lien Principal &amp; Interest</v>
      </c>
      <c r="I29" s="22"/>
      <c r="J29" s="22"/>
      <c r="K29" s="22"/>
      <c r="L29" s="53" t="n">
        <f aca="false">PMT(D12/12,180,-H10)</f>
        <v>-0</v>
      </c>
    </row>
    <row r="30" customFormat="false" ht="15" hidden="false" customHeight="true" outlineLevel="0" collapsed="false">
      <c r="A30" s="70" t="s">
        <v>19</v>
      </c>
      <c r="B30" s="71"/>
      <c r="C30" s="71"/>
      <c r="D30" s="72"/>
      <c r="E30" s="73"/>
      <c r="F30" s="74"/>
      <c r="G30" s="56"/>
      <c r="H30" s="24" t="str">
        <f aca="false">DataEntry!H30</f>
        <v>Mortgage Insurance</v>
      </c>
      <c r="I30" s="22"/>
      <c r="J30" s="22"/>
      <c r="K30" s="22"/>
      <c r="L30" s="53" t="n">
        <f aca="false">J20</f>
        <v>72.15</v>
      </c>
    </row>
    <row r="31" customFormat="false" ht="13.5" hidden="false" customHeight="true" outlineLevel="0" collapsed="false">
      <c r="A31" s="47"/>
      <c r="B31" s="22" t="n">
        <f aca="false">DataEntry!B31</f>
        <v>1109</v>
      </c>
      <c r="C31" s="22"/>
      <c r="D31" s="24" t="str">
        <f aca="false">DataEntry!D31</f>
        <v>Lenders Title Policy</v>
      </c>
      <c r="E31" s="75" t="n">
        <f aca="false">IF($H$9&lt;100000,(($H$9-100000)*0.00805)+992-$O$14,(($H$9-100000)*0.00628)+992-DataEntry!O14)</f>
        <v>859.3368</v>
      </c>
      <c r="F31" s="50" t="s">
        <v>4</v>
      </c>
      <c r="G31" s="56"/>
      <c r="H31" s="24" t="str">
        <f aca="false">DataEntry!H31</f>
        <v>Condo/HOA fee</v>
      </c>
      <c r="I31" s="22"/>
      <c r="J31" s="22"/>
      <c r="K31" s="22"/>
      <c r="L31" s="53" t="n">
        <f aca="false">J21</f>
        <v>0</v>
      </c>
    </row>
    <row r="32" customFormat="false" ht="13.5" hidden="false" customHeight="true" outlineLevel="0" collapsed="false">
      <c r="A32" s="47"/>
      <c r="B32" s="22" t="n">
        <f aca="false">DataEntry!B32</f>
        <v>1110</v>
      </c>
      <c r="C32" s="22"/>
      <c r="D32" s="24" t="str">
        <f aca="false">DataEntry!D32</f>
        <v>Owners Title Policy</v>
      </c>
      <c r="E32" s="76" t="str">
        <f aca="false">DataEntry!E32</f>
        <v>not reqd</v>
      </c>
      <c r="F32" s="50" t="s">
        <v>4</v>
      </c>
      <c r="G32" s="56"/>
      <c r="H32" s="24" t="s">
        <v>4</v>
      </c>
      <c r="I32" s="22"/>
      <c r="J32" s="22"/>
      <c r="K32" s="22"/>
      <c r="L32" s="77"/>
    </row>
    <row r="33" customFormat="false" ht="13.5" hidden="false" customHeight="true" outlineLevel="0" collapsed="false">
      <c r="A33" s="47"/>
      <c r="B33" s="22" t="n">
        <f aca="false">DataEntry!B33</f>
        <v>1112</v>
      </c>
      <c r="C33" s="22"/>
      <c r="D33" s="24" t="str">
        <f aca="false">DataEntry!D33</f>
        <v>Settlement</v>
      </c>
      <c r="E33" s="49" t="n">
        <f aca="false">DataEntry!E33</f>
        <v>125</v>
      </c>
      <c r="F33" s="50"/>
      <c r="G33" s="56"/>
      <c r="H33" s="22" t="s">
        <v>4</v>
      </c>
      <c r="I33" s="22"/>
      <c r="J33" s="22"/>
      <c r="K33" s="22"/>
      <c r="L33" s="78"/>
    </row>
    <row r="34" customFormat="false" ht="13.5" hidden="false" customHeight="true" outlineLevel="0" collapsed="false">
      <c r="A34" s="47"/>
      <c r="B34" s="22" t="n">
        <f aca="false">DataEntry!B34</f>
        <v>1113</v>
      </c>
      <c r="C34" s="22"/>
      <c r="D34" s="24" t="str">
        <f aca="false">DataEntry!D34</f>
        <v>Delivery </v>
      </c>
      <c r="E34" s="49" t="n">
        <f aca="false">DataEntry!E34</f>
        <v>50</v>
      </c>
      <c r="F34" s="50"/>
      <c r="G34" s="56"/>
      <c r="H34" s="24" t="s">
        <v>4</v>
      </c>
      <c r="I34" s="22"/>
      <c r="J34" s="22"/>
      <c r="K34" s="57" t="s">
        <v>20</v>
      </c>
      <c r="L34" s="58" t="n">
        <f aca="false">SUM(L26:L32)</f>
        <v>1612.48249745275</v>
      </c>
    </row>
    <row r="35" customFormat="false" ht="13.5" hidden="false" customHeight="true" outlineLevel="0" collapsed="false">
      <c r="A35" s="47"/>
      <c r="B35" s="22" t="n">
        <f aca="false">DataEntry!B35</f>
        <v>1201</v>
      </c>
      <c r="C35" s="22"/>
      <c r="D35" s="24" t="str">
        <f aca="false">DataEntry!D35</f>
        <v>Recording</v>
      </c>
      <c r="E35" s="49" t="n">
        <f aca="false">DataEntry!E35</f>
        <v>75</v>
      </c>
      <c r="F35" s="50"/>
      <c r="G35" s="79"/>
      <c r="H35" s="25"/>
      <c r="I35" s="25"/>
      <c r="J35" s="25"/>
      <c r="K35" s="25"/>
      <c r="L35" s="80"/>
    </row>
    <row r="36" customFormat="false" ht="15" hidden="false" customHeight="true" outlineLevel="0" collapsed="false">
      <c r="A36" s="47"/>
      <c r="B36" s="22" t="n">
        <f aca="false">DataEntry!B36</f>
        <v>1204</v>
      </c>
      <c r="C36" s="22"/>
      <c r="D36" s="24" t="str">
        <f aca="false">DataEntry!D36</f>
        <v>Tax Certificates</v>
      </c>
      <c r="E36" s="49" t="n">
        <f aca="false">DataEntry!E36</f>
        <v>0</v>
      </c>
      <c r="F36" s="50"/>
      <c r="G36" s="45" t="s">
        <v>21</v>
      </c>
      <c r="H36" s="62"/>
      <c r="I36" s="62"/>
      <c r="J36" s="62"/>
      <c r="K36" s="62"/>
      <c r="L36" s="81"/>
    </row>
    <row r="37" customFormat="false" ht="13.5" hidden="false" customHeight="true" outlineLevel="0" collapsed="false">
      <c r="A37" s="47"/>
      <c r="B37" s="22" t="n">
        <f aca="false">DataEntry!B37</f>
        <v>1301</v>
      </c>
      <c r="C37" s="22"/>
      <c r="D37" s="24" t="str">
        <f aca="false">DataEntry!D37</f>
        <v>Survey</v>
      </c>
      <c r="E37" s="49" t="str">
        <f aca="false">DataEntry!E37</f>
        <v>use current?</v>
      </c>
      <c r="F37" s="50"/>
      <c r="G37" s="56"/>
      <c r="H37" s="24" t="str">
        <f aca="false">DataEntry!H37</f>
        <v>Payoff existing loan(s)</v>
      </c>
      <c r="I37" s="22"/>
      <c r="J37" s="22"/>
      <c r="K37" s="22"/>
      <c r="L37" s="53" t="n">
        <f aca="false">DataEntry!L37</f>
        <v>161100</v>
      </c>
    </row>
    <row r="38" customFormat="false" ht="13.5" hidden="false" customHeight="true" outlineLevel="0" collapsed="false">
      <c r="A38" s="47"/>
      <c r="B38" s="22" t="n">
        <f aca="false">DataEntry!B38</f>
        <v>0</v>
      </c>
      <c r="C38" s="22"/>
      <c r="D38" s="24" t="str">
        <f aca="false">DataEntry!D38</f>
        <v>Attorney</v>
      </c>
      <c r="E38" s="49" t="n">
        <f aca="false">DataEntry!E38</f>
        <v>150</v>
      </c>
      <c r="F38" s="50"/>
      <c r="G38" s="56"/>
      <c r="H38" s="24" t="str">
        <f aca="false">DataEntry!H38</f>
        <v>Closing Costs - Lender</v>
      </c>
      <c r="I38" s="22"/>
      <c r="J38" s="22"/>
      <c r="K38" s="22"/>
      <c r="L38" s="53" t="n">
        <f aca="false">E29</f>
        <v>995</v>
      </c>
    </row>
    <row r="39" customFormat="false" ht="13.5" hidden="false" customHeight="true" outlineLevel="0" collapsed="false">
      <c r="A39" s="47"/>
      <c r="B39" s="22" t="n">
        <f aca="false">DataEntry!B39</f>
        <v>0</v>
      </c>
      <c r="C39" s="22"/>
      <c r="D39" s="24" t="str">
        <f aca="false">DataEntry!D39</f>
        <v>Condo Certification</v>
      </c>
      <c r="E39" s="49" t="n">
        <f aca="false">DataEntry!E39</f>
        <v>0</v>
      </c>
      <c r="F39" s="82"/>
      <c r="G39" s="56"/>
      <c r="H39" s="24" t="str">
        <f aca="false">DataEntry!H39</f>
        <v>Closing Costs - Other</v>
      </c>
      <c r="I39" s="22"/>
      <c r="J39" s="22"/>
      <c r="K39" s="22"/>
      <c r="L39" s="53" t="n">
        <f aca="false">E44</f>
        <v>1259.3368</v>
      </c>
    </row>
    <row r="40" customFormat="false" ht="13.5" hidden="false" customHeight="true" outlineLevel="0" collapsed="false">
      <c r="A40" s="47"/>
      <c r="B40" s="22" t="n">
        <f aca="false">DataEntry!B40</f>
        <v>1302</v>
      </c>
      <c r="C40" s="22"/>
      <c r="D40" s="24" t="str">
        <f aca="false">DataEntry!D40</f>
        <v>2nd lien charges</v>
      </c>
      <c r="E40" s="49" t="n">
        <f aca="false">DataEntry!E40</f>
        <v>0</v>
      </c>
      <c r="F40" s="82"/>
      <c r="G40" s="56"/>
      <c r="H40" s="24" t="str">
        <f aca="false">DataEntry!H40</f>
        <v>Prepaids</v>
      </c>
      <c r="I40" s="22"/>
      <c r="J40" s="22"/>
      <c r="K40" s="22"/>
      <c r="L40" s="53" t="n">
        <f aca="false">L22</f>
        <v>4662.74771689498</v>
      </c>
    </row>
    <row r="41" customFormat="false" ht="13.5" hidden="false" customHeight="true" outlineLevel="0" collapsed="false">
      <c r="A41" s="47"/>
      <c r="B41" s="22" t="n">
        <f aca="false">DataEntry!B41</f>
        <v>0</v>
      </c>
      <c r="C41" s="22"/>
      <c r="D41" s="24" t="str">
        <f aca="false">DataEntry!D41</f>
        <v>HOA Transfer fee</v>
      </c>
      <c r="E41" s="49" t="n">
        <f aca="false">DataEntry!E41</f>
        <v>0</v>
      </c>
      <c r="F41" s="82"/>
      <c r="G41" s="56"/>
      <c r="H41" s="24" t="str">
        <f aca="false">DataEntry!H41</f>
        <v>Subtotal</v>
      </c>
      <c r="I41" s="22"/>
      <c r="J41" s="22"/>
      <c r="K41" s="22"/>
      <c r="L41" s="58" t="n">
        <f aca="false">SUM(L37:L40)</f>
        <v>168017.084516895</v>
      </c>
    </row>
    <row r="42" customFormat="false" ht="13.5" hidden="false" customHeight="true" outlineLevel="0" collapsed="false">
      <c r="A42" s="47"/>
      <c r="B42" s="22" t="n">
        <f aca="false">DataEntry!B42</f>
        <v>0</v>
      </c>
      <c r="C42" s="22"/>
      <c r="D42" s="24" t="str">
        <f aca="false">DataEntry!D42</f>
        <v> </v>
      </c>
      <c r="E42" s="49" t="n">
        <f aca="false">DataEntry!E42</f>
        <v>0</v>
      </c>
      <c r="F42" s="82"/>
      <c r="G42" s="56"/>
      <c r="H42" s="24"/>
      <c r="I42" s="22"/>
      <c r="J42" s="22"/>
      <c r="K42" s="22"/>
      <c r="L42" s="83" t="s">
        <v>4</v>
      </c>
    </row>
    <row r="43" customFormat="false" ht="13.5" hidden="false" customHeight="true" outlineLevel="0" collapsed="false">
      <c r="A43" s="47"/>
      <c r="B43" s="22"/>
      <c r="C43" s="22"/>
      <c r="D43" s="22"/>
      <c r="E43" s="84"/>
      <c r="F43" s="82"/>
      <c r="G43" s="56"/>
      <c r="H43" s="24" t="str">
        <f aca="false">DataEntry!H43</f>
        <v>less new loan amount</v>
      </c>
      <c r="I43" s="22"/>
      <c r="J43" s="22"/>
      <c r="K43" s="22"/>
      <c r="L43" s="85" t="n">
        <f aca="false">-H9</f>
        <v>-166500</v>
      </c>
    </row>
    <row r="44" customFormat="false" ht="13.5" hidden="false" customHeight="true" outlineLevel="0" collapsed="false">
      <c r="A44" s="47"/>
      <c r="B44" s="24"/>
      <c r="C44" s="22"/>
      <c r="D44" s="57" t="s">
        <v>22</v>
      </c>
      <c r="E44" s="86" t="n">
        <f aca="false">SUM(E31:E43)</f>
        <v>1259.3368</v>
      </c>
      <c r="F44" s="82"/>
      <c r="G44" s="56"/>
      <c r="H44" s="24" t="str">
        <f aca="false">DataEntry!H44</f>
        <v>Closing Cost Deposit</v>
      </c>
      <c r="I44" s="22"/>
      <c r="J44" s="22"/>
      <c r="K44" s="22"/>
      <c r="L44" s="53" t="n">
        <f aca="false">DataEntry!L44</f>
        <v>-375</v>
      </c>
    </row>
    <row r="45" customFormat="false" ht="13.5" hidden="false" customHeight="true" outlineLevel="0" collapsed="false">
      <c r="A45" s="47"/>
      <c r="B45" s="65"/>
      <c r="C45" s="65"/>
      <c r="D45" s="65"/>
      <c r="E45" s="65"/>
      <c r="F45" s="87"/>
      <c r="G45" s="56"/>
      <c r="H45" s="24" t="str">
        <f aca="false">DataEntry!H45</f>
        <v>less lender credit </v>
      </c>
      <c r="I45" s="22"/>
      <c r="J45" s="22"/>
      <c r="K45" s="22"/>
      <c r="L45" s="85" t="str">
        <f aca="false">DataEntry!L45</f>
        <v>tbd</v>
      </c>
    </row>
    <row r="46" customFormat="false" ht="17.25" hidden="false" customHeight="true" outlineLevel="0" collapsed="false">
      <c r="A46" s="47"/>
      <c r="B46" s="65"/>
      <c r="C46" s="65"/>
      <c r="D46" s="65" t="s">
        <v>4</v>
      </c>
      <c r="E46" s="88" t="s">
        <v>4</v>
      </c>
      <c r="F46" s="87"/>
      <c r="G46" s="56"/>
      <c r="H46" s="0"/>
      <c r="I46" s="89"/>
      <c r="J46" s="89"/>
      <c r="K46" s="90" t="str">
        <f aca="false">IF(L46&lt;0,"Cash Due to Owner at Closing =","Cash Due to Mortgage Company at Closing =")</f>
        <v>Cash Due to Mortgage Company at Closing =</v>
      </c>
      <c r="L46" s="91" t="n">
        <f aca="false">SUM(L41:L45)</f>
        <v>1142.08451689497</v>
      </c>
    </row>
    <row r="47" customFormat="false" ht="12.95" hidden="false" customHeight="true" outlineLevel="0" collapsed="false">
      <c r="A47" s="92"/>
      <c r="B47" s="93"/>
      <c r="C47" s="93"/>
      <c r="D47" s="93" t="s">
        <v>4</v>
      </c>
      <c r="E47" s="93"/>
      <c r="F47" s="93"/>
      <c r="G47" s="94" t="s">
        <v>23</v>
      </c>
      <c r="H47" s="95"/>
      <c r="I47" s="96"/>
      <c r="J47" s="96"/>
      <c r="K47" s="96"/>
      <c r="L47" s="97"/>
    </row>
    <row r="48" customFormat="false" ht="2.1" hidden="false" customHeight="true" outlineLevel="0" collapsed="false">
      <c r="A48" s="98"/>
      <c r="B48" s="98"/>
      <c r="C48" s="98"/>
      <c r="D48" s="98"/>
      <c r="E48" s="98"/>
      <c r="F48" s="98"/>
      <c r="G48" s="98"/>
      <c r="H48" s="99"/>
      <c r="I48" s="98"/>
      <c r="J48" s="98"/>
      <c r="K48" s="98"/>
      <c r="L48" s="100"/>
    </row>
    <row r="49" customFormat="false" ht="60" hidden="false" customHeight="true" outlineLevel="0" collapsed="false">
      <c r="A49" s="101" t="s">
        <v>4</v>
      </c>
      <c r="B49" s="101"/>
      <c r="C49" s="102" t="s">
        <v>24</v>
      </c>
      <c r="D49" s="102"/>
      <c r="E49" s="102"/>
      <c r="F49" s="102"/>
      <c r="G49" s="102"/>
      <c r="H49" s="102"/>
      <c r="I49" s="102"/>
      <c r="J49" s="102"/>
      <c r="K49" s="102"/>
      <c r="L49" s="101"/>
    </row>
    <row r="50" customFormat="false" ht="45" hidden="false" customHeight="true" outlineLevel="0" collapsed="false">
      <c r="A50" s="101" t="s">
        <v>4</v>
      </c>
      <c r="B50" s="101"/>
      <c r="C50" s="102" t="s">
        <v>25</v>
      </c>
      <c r="D50" s="102"/>
      <c r="E50" s="102"/>
      <c r="F50" s="102"/>
      <c r="G50" s="102"/>
      <c r="H50" s="102"/>
      <c r="I50" s="102"/>
      <c r="J50" s="102"/>
      <c r="K50" s="102"/>
      <c r="L50" s="101"/>
    </row>
    <row r="51" customFormat="false" ht="12" hidden="false" customHeight="true" outlineLevel="0" collapsed="false"/>
    <row r="52" customFormat="false" ht="15.75" hidden="false" customHeight="false" outlineLevel="0" collapsed="false">
      <c r="A52" s="6" t="s">
        <v>26</v>
      </c>
      <c r="D52" s="7"/>
      <c r="E52" s="7"/>
      <c r="F52" s="7"/>
      <c r="G52" s="7"/>
      <c r="H52" s="7"/>
      <c r="I52" s="7"/>
      <c r="J52" s="8" t="s">
        <v>27</v>
      </c>
      <c r="K52" s="7"/>
      <c r="L52" s="7"/>
    </row>
    <row r="53" customFormat="false" ht="14.25" hidden="false" customHeight="true" outlineLevel="0" collapsed="false"/>
    <row r="54" customFormat="false" ht="15.75" hidden="false" customHeight="false" outlineLevel="0" collapsed="false">
      <c r="A54" s="6" t="s">
        <v>28</v>
      </c>
      <c r="D54" s="7"/>
      <c r="E54" s="7"/>
      <c r="F54" s="7"/>
      <c r="G54" s="7"/>
      <c r="H54" s="7"/>
      <c r="I54" s="7"/>
      <c r="J54" s="8" t="s">
        <v>27</v>
      </c>
      <c r="K54" s="7"/>
      <c r="L54" s="7"/>
    </row>
    <row r="55" customFormat="false" ht="9.75" hidden="false" customHeight="true" outlineLevel="0" collapsed="false"/>
    <row r="56" customFormat="false" ht="15.75" hidden="false" customHeight="false" outlineLevel="0" collapsed="false">
      <c r="A56" s="103" t="str">
        <f aca="false">DataEntry!$A$52</f>
        <v>Estimate provided by Linda Rhoden.  Phone# 713-802-6025</v>
      </c>
      <c r="B56" s="103"/>
      <c r="C56" s="103"/>
      <c r="D56" s="103"/>
      <c r="E56" s="103"/>
      <c r="F56" s="103"/>
      <c r="G56" s="103"/>
      <c r="H56" s="103"/>
      <c r="I56" s="103"/>
      <c r="J56" s="103"/>
      <c r="K56" s="103"/>
      <c r="L56" s="103"/>
    </row>
    <row r="57" customFormat="false" ht="15.75" hidden="false" customHeight="false" outlineLevel="0" collapsed="false">
      <c r="A57" s="103" t="str">
        <f aca="false">DataEntry!$A$53</f>
        <v>888-852-7645 ext. 6025 Toll free / 713-802-6035 Fax</v>
      </c>
      <c r="B57" s="103"/>
      <c r="C57" s="103"/>
      <c r="D57" s="103"/>
      <c r="E57" s="103"/>
      <c r="F57" s="103"/>
      <c r="G57" s="103"/>
      <c r="H57" s="103"/>
      <c r="I57" s="103"/>
      <c r="J57" s="103"/>
      <c r="K57" s="103"/>
      <c r="L57" s="103"/>
    </row>
  </sheetData>
  <mergeCells count="6">
    <mergeCell ref="A1:L1"/>
    <mergeCell ref="A2:L2"/>
    <mergeCell ref="C49:K49"/>
    <mergeCell ref="C50:K50"/>
    <mergeCell ref="A56:L56"/>
    <mergeCell ref="A57:L57"/>
  </mergeCells>
  <printOptions headings="false" gridLines="false" gridLinesSet="true" horizontalCentered="true" verticalCentered="false"/>
  <pageMargins left="0.35" right="0.170138888888889" top="0.5" bottom="0.29027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57"/>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H11" activeCellId="0" sqref="H11"/>
    </sheetView>
  </sheetViews>
  <sheetFormatPr defaultColWidth="9.76953125" defaultRowHeight="15.75" customHeight="true" zeroHeight="false" outlineLevelRow="0" outlineLevelCol="0"/>
  <cols>
    <col collapsed="false" customWidth="true" hidden="false" outlineLevel="0" max="1" min="1" style="1" width="1.77"/>
    <col collapsed="false" customWidth="true" hidden="false" outlineLevel="0" max="2" min="2" style="1" width="6.77"/>
    <col collapsed="false" customWidth="true" hidden="false" outlineLevel="0" max="3" min="3" style="1" width="4.65"/>
    <col collapsed="false" customWidth="true" hidden="false" outlineLevel="0" max="4" min="4" style="1" width="12.77"/>
    <col collapsed="false" customWidth="true" hidden="false" outlineLevel="0" max="5" min="5" style="1" width="7.77"/>
    <col collapsed="false" customWidth="true" hidden="false" outlineLevel="0" max="7" min="6" style="1" width="4.77"/>
    <col collapsed="false" customWidth="false" hidden="false" outlineLevel="0" max="8" min="8" style="1" width="9.77"/>
    <col collapsed="false" customWidth="true" hidden="false" outlineLevel="0" max="9" min="9" style="1" width="6.21"/>
    <col collapsed="false" customWidth="true" hidden="false" outlineLevel="0" max="10" min="10" style="1" width="7.88"/>
    <col collapsed="false" customWidth="true" hidden="false" outlineLevel="0" max="11" min="11" style="1" width="9.55"/>
    <col collapsed="false" customWidth="true" hidden="false" outlineLevel="0" max="12" min="12" style="1" width="9.1"/>
    <col collapsed="false" customWidth="false" hidden="false" outlineLevel="0" max="257" min="13" style="2" width="9.77"/>
  </cols>
  <sheetData>
    <row r="1" customFormat="false" ht="22.5" hidden="false" customHeight="false" outlineLevel="0" collapsed="false">
      <c r="A1" s="3" t="s">
        <v>0</v>
      </c>
      <c r="B1" s="3"/>
      <c r="C1" s="3"/>
      <c r="D1" s="3"/>
      <c r="E1" s="3"/>
      <c r="F1" s="3"/>
      <c r="G1" s="3"/>
      <c r="H1" s="3"/>
      <c r="I1" s="3"/>
      <c r="J1" s="3"/>
      <c r="K1" s="3"/>
      <c r="L1" s="3"/>
    </row>
    <row r="2" customFormat="false" ht="18.75" hidden="false" customHeight="true" outlineLevel="0" collapsed="false">
      <c r="A2" s="3" t="s">
        <v>1</v>
      </c>
      <c r="B2" s="3"/>
      <c r="C2" s="3"/>
      <c r="D2" s="3"/>
      <c r="E2" s="3"/>
      <c r="F2" s="3"/>
      <c r="G2" s="3"/>
      <c r="H2" s="3"/>
      <c r="I2" s="3"/>
      <c r="J2" s="3"/>
      <c r="K2" s="3"/>
      <c r="L2" s="3"/>
    </row>
    <row r="3" customFormat="false" ht="18.75" hidden="false" customHeight="true" outlineLevel="0" collapsed="false">
      <c r="A3" s="4"/>
      <c r="B3" s="5"/>
      <c r="C3" s="5"/>
      <c r="D3" s="5"/>
      <c r="E3" s="5"/>
      <c r="F3" s="5"/>
      <c r="G3" s="5"/>
      <c r="H3" s="5"/>
      <c r="I3" s="5"/>
      <c r="J3" s="5"/>
      <c r="K3" s="5"/>
      <c r="L3" s="5"/>
    </row>
    <row r="4" customFormat="false" ht="15.75" hidden="false" customHeight="false" outlineLevel="0" collapsed="false">
      <c r="A4" s="6" t="s">
        <v>2</v>
      </c>
      <c r="C4" s="7"/>
      <c r="D4" s="7" t="str">
        <f aca="false">DataEntry!$D$4</f>
        <v>Paul Thomas refi</v>
      </c>
      <c r="E4" s="7"/>
      <c r="F4" s="7"/>
      <c r="G4" s="8"/>
      <c r="H4" s="7"/>
      <c r="I4" s="7"/>
      <c r="J4" s="7" t="s">
        <v>3</v>
      </c>
      <c r="K4" s="9" t="n">
        <f aca="false">DataEntry!$K$4</f>
        <v>37133</v>
      </c>
      <c r="L4" s="7" t="s">
        <v>4</v>
      </c>
    </row>
    <row r="5" customFormat="false" ht="15.75" hidden="false" customHeight="false" outlineLevel="0" collapsed="false">
      <c r="A5" s="6" t="s">
        <v>5</v>
      </c>
      <c r="C5" s="7"/>
      <c r="D5" s="7"/>
      <c r="E5" s="10" t="s">
        <v>29</v>
      </c>
      <c r="F5" s="11" t="n">
        <f aca="false">DataEntry!$F$5</f>
        <v>30</v>
      </c>
      <c r="G5" s="12" t="s">
        <v>30</v>
      </c>
      <c r="H5" s="13"/>
      <c r="I5" s="13"/>
      <c r="J5" s="13"/>
      <c r="K5" s="13"/>
      <c r="L5" s="7"/>
    </row>
    <row r="6" customFormat="false" ht="16.5" hidden="false" customHeight="true" outlineLevel="0" collapsed="false">
      <c r="B6" s="14"/>
      <c r="C6" s="14"/>
      <c r="D6" s="15"/>
      <c r="E6" s="16" t="s">
        <v>8</v>
      </c>
      <c r="F6" s="17" t="n">
        <f aca="false">DataEntry!$O$9</f>
        <v>0</v>
      </c>
      <c r="G6" s="14"/>
      <c r="H6" s="14" t="s">
        <v>31</v>
      </c>
    </row>
    <row r="7" customFormat="false" ht="15.75" hidden="false" customHeight="false" outlineLevel="0" collapsed="false">
      <c r="A7" s="18" t="s">
        <v>10</v>
      </c>
      <c r="B7" s="19"/>
      <c r="C7" s="19"/>
      <c r="D7" s="19"/>
      <c r="E7" s="19"/>
      <c r="F7" s="19"/>
      <c r="G7" s="19"/>
      <c r="H7" s="19"/>
      <c r="I7" s="19"/>
      <c r="J7" s="19"/>
      <c r="K7" s="19"/>
      <c r="L7" s="20"/>
    </row>
    <row r="8" customFormat="false" ht="15.75" hidden="false" customHeight="false" outlineLevel="0" collapsed="false">
      <c r="A8" s="21" t="str">
        <f aca="false">DataEntry!A8</f>
        <v>Type of Loan, 1st:</v>
      </c>
      <c r="B8" s="22"/>
      <c r="C8" s="22"/>
      <c r="D8" s="23" t="n">
        <f aca="false">DataEntry!D8</f>
        <v>30</v>
      </c>
      <c r="E8" s="24" t="str">
        <f aca="false">DataEntry!E8</f>
        <v>year fixed</v>
      </c>
      <c r="F8" s="22"/>
      <c r="G8" s="25"/>
      <c r="H8" s="26" t="n">
        <f aca="false">DataEntry!H8</f>
        <v>185000</v>
      </c>
      <c r="I8" s="24" t="str">
        <f aca="false">DataEntry!I8</f>
        <v>Estimated Value of Home</v>
      </c>
      <c r="J8" s="22"/>
      <c r="K8" s="22"/>
      <c r="L8" s="27"/>
    </row>
    <row r="9" customFormat="false" ht="15.75" hidden="false" customHeight="false" outlineLevel="0" collapsed="false">
      <c r="A9" s="21" t="str">
        <f aca="false">DataEntry!A9</f>
        <v>Loan Term - 1st</v>
      </c>
      <c r="B9" s="22"/>
      <c r="C9" s="22"/>
      <c r="D9" s="25" t="n">
        <f aca="false">DataEntry!D9</f>
        <v>360</v>
      </c>
      <c r="E9" s="22" t="s">
        <v>4</v>
      </c>
      <c r="F9" s="28" t="s">
        <v>4</v>
      </c>
      <c r="G9" s="25"/>
      <c r="H9" s="104" t="n">
        <f aca="false">0.8*H8</f>
        <v>148000</v>
      </c>
      <c r="I9" s="24" t="str">
        <f aca="false">DataEntry!I9</f>
        <v>New first loan amount </v>
      </c>
      <c r="J9" s="22"/>
      <c r="K9" s="22"/>
      <c r="L9" s="27"/>
    </row>
    <row r="10" customFormat="false" ht="15.75" hidden="false" customHeight="false" outlineLevel="0" collapsed="false">
      <c r="A10" s="21" t="str">
        <f aca="false">DataEntry!A10</f>
        <v>Loan Term - 2nd</v>
      </c>
      <c r="B10" s="22"/>
      <c r="C10" s="22"/>
      <c r="D10" s="23" t="n">
        <v>180</v>
      </c>
      <c r="E10" s="22"/>
      <c r="F10" s="28" t="s">
        <v>4</v>
      </c>
      <c r="G10" s="25"/>
      <c r="H10" s="29" t="n">
        <v>15700</v>
      </c>
      <c r="I10" s="24" t="str">
        <f aca="false">DataEntry!I10</f>
        <v>Second Loan Amount</v>
      </c>
      <c r="J10" s="22"/>
      <c r="K10" s="22"/>
      <c r="L10" s="27"/>
    </row>
    <row r="11" customFormat="false" ht="15.75" hidden="false" customHeight="false" outlineLevel="0" collapsed="false">
      <c r="A11" s="21" t="str">
        <f aca="false">DataEntry!A11</f>
        <v>Note Rate:</v>
      </c>
      <c r="B11" s="22"/>
      <c r="C11" s="22"/>
      <c r="D11" s="32" t="n">
        <f aca="false">DataEntry!$P$9</f>
        <v>0.0675</v>
      </c>
      <c r="E11" s="22" t="str">
        <f aca="false">DataEntry!E11</f>
        <v>current 30 day lock</v>
      </c>
      <c r="F11" s="22"/>
      <c r="G11" s="25"/>
      <c r="H11" s="33" t="n">
        <f aca="false">(H9+H10)/H8</f>
        <v>0.884864864864865</v>
      </c>
      <c r="I11" s="24" t="str">
        <f aca="false">DataEntry!I11</f>
        <v>Total LTV</v>
      </c>
      <c r="J11" s="22"/>
      <c r="K11" s="34" t="str">
        <f aca="false">IF(H11&gt;0.901,"TO HIGH!"," ")</f>
        <v> </v>
      </c>
      <c r="L11" s="35" t="str">
        <f aca="false">IF(H11&lt;0.801,"TOO LOW!"," ")</f>
        <v> </v>
      </c>
    </row>
    <row r="12" customFormat="false" ht="15.75" hidden="false" customHeight="false" outlineLevel="0" collapsed="false">
      <c r="A12" s="21" t="str">
        <f aca="false">DataEntry!A12</f>
        <v>2nd Lien Rate</v>
      </c>
      <c r="B12" s="22"/>
      <c r="C12" s="22"/>
      <c r="D12" s="36" t="n">
        <v>0.0899</v>
      </c>
      <c r="E12" s="22"/>
      <c r="F12" s="22"/>
      <c r="G12" s="25"/>
      <c r="H12" s="37" t="n">
        <f aca="false">DataEntry!H12</f>
        <v>37165</v>
      </c>
      <c r="I12" s="24" t="str">
        <f aca="false">DataEntry!I12</f>
        <v>Closing Date</v>
      </c>
      <c r="J12" s="22"/>
      <c r="K12" s="22"/>
      <c r="L12" s="27"/>
    </row>
    <row r="13" customFormat="false" ht="15.75" hidden="false" customHeight="false" outlineLevel="0" collapsed="false">
      <c r="A13" s="21" t="str">
        <f aca="false">DataEntry!A13</f>
        <v>Hazard Ins yr:</v>
      </c>
      <c r="B13" s="22"/>
      <c r="C13" s="22"/>
      <c r="D13" s="38" t="n">
        <f aca="false">DataEntry!D13</f>
        <v>900</v>
      </c>
      <c r="E13" s="22" t="str">
        <f aca="false">DataEntry!E13</f>
        <v>Estimate </v>
      </c>
      <c r="F13" s="22"/>
      <c r="G13" s="25"/>
      <c r="H13" s="37" t="n">
        <f aca="false">DataEntry!H13</f>
        <v>37168</v>
      </c>
      <c r="I13" s="24" t="str">
        <f aca="false">DataEntry!I13</f>
        <v>Funding Date (3 days after closing)</v>
      </c>
      <c r="J13" s="22"/>
      <c r="K13" s="22"/>
      <c r="L13" s="27"/>
      <c r="M13" s="0"/>
      <c r="N13" s="0"/>
    </row>
    <row r="14" customFormat="false" ht="15.75" hidden="false" customHeight="false" outlineLevel="0" collapsed="false">
      <c r="A14" s="21" t="str">
        <f aca="false">DataEntry!A14</f>
        <v>Taxes yr:</v>
      </c>
      <c r="B14" s="22"/>
      <c r="C14" s="22"/>
      <c r="D14" s="38" t="n">
        <f aca="false">DataEntry!D14</f>
        <v>4625</v>
      </c>
      <c r="E14" s="22" t="str">
        <f aca="false">DataEntry!E14</f>
        <v>Estimate @ 2.5%</v>
      </c>
      <c r="F14" s="22"/>
      <c r="G14" s="25"/>
      <c r="H14" s="36" t="str">
        <f aca="false">DataEntry!H14</f>
        <v>rate/term refi</v>
      </c>
      <c r="I14" s="24" t="str">
        <f aca="false">DataEntry!I14</f>
        <v>Transaction Type</v>
      </c>
      <c r="J14" s="22"/>
      <c r="K14" s="22"/>
      <c r="L14" s="27"/>
      <c r="M14" s="0"/>
      <c r="N14" s="0"/>
    </row>
    <row r="15" customFormat="false" ht="9" hidden="false" customHeight="true" outlineLevel="0" collapsed="false">
      <c r="A15" s="39" t="s">
        <v>4</v>
      </c>
      <c r="B15" s="7"/>
      <c r="C15" s="7"/>
      <c r="D15" s="7"/>
      <c r="E15" s="7"/>
      <c r="F15" s="7"/>
      <c r="G15" s="7"/>
      <c r="H15" s="7"/>
      <c r="I15" s="7"/>
      <c r="J15" s="7"/>
      <c r="K15" s="7"/>
      <c r="L15" s="40"/>
      <c r="M15" s="0"/>
      <c r="N15" s="0"/>
    </row>
    <row r="16" customFormat="false" ht="15" hidden="false" customHeight="true" outlineLevel="0" collapsed="false">
      <c r="A16" s="41" t="s">
        <v>11</v>
      </c>
      <c r="B16" s="42"/>
      <c r="C16" s="42"/>
      <c r="D16" s="42"/>
      <c r="E16" s="43"/>
      <c r="F16" s="44"/>
      <c r="G16" s="45" t="s">
        <v>12</v>
      </c>
      <c r="H16" s="42"/>
      <c r="I16" s="42"/>
      <c r="J16" s="42"/>
      <c r="K16" s="42"/>
      <c r="L16" s="46"/>
      <c r="M16" s="0"/>
      <c r="N16" s="0"/>
    </row>
    <row r="17" customFormat="false" ht="13.5" hidden="false" customHeight="true" outlineLevel="0" collapsed="false">
      <c r="A17" s="47"/>
      <c r="B17" s="22" t="n">
        <f aca="false">DataEntry!B17</f>
        <v>801</v>
      </c>
      <c r="C17" s="48" t="n">
        <f aca="false">F6</f>
        <v>0</v>
      </c>
      <c r="D17" s="24" t="str">
        <f aca="false">DataEntry!D17</f>
        <v>total loan points</v>
      </c>
      <c r="E17" s="49" t="n">
        <f aca="false">C17*H9/100</f>
        <v>0</v>
      </c>
      <c r="F17" s="50"/>
      <c r="G17" s="51" t="n">
        <f aca="false">DataEntry!G17</f>
        <v>4</v>
      </c>
      <c r="H17" s="24" t="str">
        <f aca="false">DataEntry!H17</f>
        <v>Days of Interim Interest</v>
      </c>
      <c r="I17" s="22"/>
      <c r="J17" s="52" t="n">
        <f aca="false">$H$9*$D$11/365</f>
        <v>27.3698630136986</v>
      </c>
      <c r="K17" s="24" t="s">
        <v>13</v>
      </c>
      <c r="L17" s="53" t="n">
        <f aca="false">J17*G17</f>
        <v>109.479452054795</v>
      </c>
      <c r="M17" s="0"/>
      <c r="N17" s="0"/>
    </row>
    <row r="18" customFormat="false" ht="13.5" hidden="false" customHeight="true" outlineLevel="0" collapsed="false">
      <c r="A18" s="47"/>
      <c r="B18" s="22" t="n">
        <f aca="false">DataEntry!B18</f>
        <v>802</v>
      </c>
      <c r="C18" s="54" t="n">
        <v>0.25</v>
      </c>
      <c r="D18" s="24" t="str">
        <f aca="false">DataEntry!D18</f>
        <v>escrow waiver fee</v>
      </c>
      <c r="E18" s="49" t="n">
        <f aca="false">C18*H9/100</f>
        <v>370</v>
      </c>
      <c r="F18" s="50"/>
      <c r="G18" s="51" t="n">
        <v>0</v>
      </c>
      <c r="H18" s="24" t="str">
        <f aca="false">DataEntry!H18</f>
        <v>Est Mo Taxes*</v>
      </c>
      <c r="I18" s="22"/>
      <c r="J18" s="52" t="n">
        <f aca="false">D14/12</f>
        <v>385.416666666667</v>
      </c>
      <c r="K18" s="24" t="s">
        <v>14</v>
      </c>
      <c r="L18" s="53" t="n">
        <f aca="false">G18*J18</f>
        <v>0</v>
      </c>
      <c r="M18" s="0"/>
      <c r="N18" s="0"/>
      <c r="O18" s="55"/>
    </row>
    <row r="19" customFormat="false" ht="13.5" hidden="false" customHeight="true" outlineLevel="0" collapsed="false">
      <c r="A19" s="47"/>
      <c r="B19" s="22" t="n">
        <f aca="false">DataEntry!B19</f>
        <v>803</v>
      </c>
      <c r="C19" s="22"/>
      <c r="D19" s="24" t="str">
        <f aca="false">DataEntry!D19</f>
        <v>Appraisal </v>
      </c>
      <c r="E19" s="49" t="n">
        <f aca="false">DataEntry!E19</f>
        <v>325</v>
      </c>
      <c r="F19" s="50"/>
      <c r="G19" s="51" t="n">
        <v>0</v>
      </c>
      <c r="H19" s="24" t="str">
        <f aca="false">DataEntry!H19</f>
        <v>Est Mo Hazard Ins*</v>
      </c>
      <c r="I19" s="22"/>
      <c r="J19" s="52" t="n">
        <f aca="false">D13/12</f>
        <v>75</v>
      </c>
      <c r="K19" s="24" t="s">
        <v>14</v>
      </c>
      <c r="L19" s="53" t="n">
        <f aca="false">G19*J19</f>
        <v>0</v>
      </c>
      <c r="M19" s="0" t="s">
        <v>4</v>
      </c>
      <c r="N19" s="0"/>
    </row>
    <row r="20" customFormat="false" ht="13.5" hidden="false" customHeight="true" outlineLevel="0" collapsed="false">
      <c r="A20" s="47"/>
      <c r="B20" s="22" t="n">
        <f aca="false">DataEntry!B20</f>
        <v>804</v>
      </c>
      <c r="C20" s="22"/>
      <c r="D20" s="24" t="str">
        <f aca="false">DataEntry!D20</f>
        <v>Credit Report</v>
      </c>
      <c r="E20" s="49" t="n">
        <f aca="false">DataEntry!E20</f>
        <v>50</v>
      </c>
      <c r="F20" s="50"/>
      <c r="G20" s="51" t="n">
        <v>0</v>
      </c>
      <c r="H20" s="24" t="str">
        <f aca="false">DataEntry!H20</f>
        <v>Mo Mortgage Insurance</v>
      </c>
      <c r="I20" s="22"/>
      <c r="J20" s="52" t="n">
        <v>0</v>
      </c>
      <c r="K20" s="24" t="s">
        <v>14</v>
      </c>
      <c r="L20" s="53" t="n">
        <f aca="false">G20*J20</f>
        <v>0</v>
      </c>
    </row>
    <row r="21" customFormat="false" ht="13.5" hidden="false" customHeight="true" outlineLevel="0" collapsed="false">
      <c r="A21" s="47"/>
      <c r="B21" s="22" t="n">
        <f aca="false">DataEntry!B21</f>
        <v>805</v>
      </c>
      <c r="C21" s="22"/>
      <c r="D21" s="24" t="str">
        <f aca="false">DataEntry!D21</f>
        <v>Application Fee</v>
      </c>
      <c r="E21" s="49" t="n">
        <f aca="false">DataEntry!E21</f>
        <v>0</v>
      </c>
      <c r="F21" s="50"/>
      <c r="G21" s="51" t="n">
        <v>0</v>
      </c>
      <c r="H21" s="24" t="str">
        <f aca="false">DataEntry!H21</f>
        <v>HOA fee</v>
      </c>
      <c r="I21" s="22"/>
      <c r="J21" s="52" t="n">
        <v>0</v>
      </c>
      <c r="K21" s="24" t="s">
        <v>14</v>
      </c>
      <c r="L21" s="53" t="n">
        <f aca="false">G21*J21</f>
        <v>0</v>
      </c>
    </row>
    <row r="22" customFormat="false" ht="13.5" hidden="false" customHeight="true" outlineLevel="0" collapsed="false">
      <c r="A22" s="47"/>
      <c r="B22" s="22" t="n">
        <f aca="false">DataEntry!B22</f>
        <v>828</v>
      </c>
      <c r="C22" s="22"/>
      <c r="D22" s="24" t="str">
        <f aca="false">DataEntry!D22</f>
        <v>Underwriting</v>
      </c>
      <c r="E22" s="49" t="n">
        <f aca="false">DataEntry!E22</f>
        <v>250</v>
      </c>
      <c r="F22" s="50"/>
      <c r="G22" s="56"/>
      <c r="H22" s="24" t="s">
        <v>4</v>
      </c>
      <c r="I22" s="22"/>
      <c r="J22" s="22"/>
      <c r="K22" s="57" t="s">
        <v>15</v>
      </c>
      <c r="L22" s="58" t="n">
        <f aca="false">SUM(L17:L21)</f>
        <v>109.479452054795</v>
      </c>
    </row>
    <row r="23" customFormat="false" ht="13.5" hidden="false" customHeight="true" outlineLevel="0" collapsed="false">
      <c r="A23" s="47"/>
      <c r="B23" s="22" t="n">
        <f aca="false">DataEntry!B23</f>
        <v>809</v>
      </c>
      <c r="C23" s="22"/>
      <c r="D23" s="24" t="str">
        <f aca="false">DataEntry!D23</f>
        <v>Wire/Funding</v>
      </c>
      <c r="E23" s="49" t="n">
        <f aca="false">DataEntry!E23</f>
        <v>0</v>
      </c>
      <c r="F23" s="50"/>
      <c r="G23" s="59" t="s">
        <v>16</v>
      </c>
      <c r="H23" s="60"/>
      <c r="I23" s="60"/>
      <c r="J23" s="60"/>
      <c r="K23" s="60"/>
      <c r="L23" s="105"/>
    </row>
    <row r="24" customFormat="false" ht="15" hidden="false" customHeight="true" outlineLevel="0" collapsed="false">
      <c r="A24" s="47"/>
      <c r="B24" s="22" t="n">
        <f aca="false">DataEntry!B24</f>
        <v>810</v>
      </c>
      <c r="C24" s="22"/>
      <c r="D24" s="24" t="str">
        <f aca="false">DataEntry!D24</f>
        <v>Tax Service</v>
      </c>
      <c r="E24" s="49" t="n">
        <f aca="false">DataEntry!E24</f>
        <v>110</v>
      </c>
      <c r="F24" s="50" t="s">
        <v>4</v>
      </c>
      <c r="G24" s="45" t="s">
        <v>17</v>
      </c>
      <c r="H24" s="62"/>
      <c r="I24" s="62"/>
      <c r="J24" s="62"/>
      <c r="K24" s="62"/>
      <c r="L24" s="106"/>
    </row>
    <row r="25" customFormat="false" ht="13.5" hidden="false" customHeight="true" outlineLevel="0" collapsed="false">
      <c r="A25" s="47"/>
      <c r="B25" s="22" t="n">
        <f aca="false">DataEntry!B25</f>
        <v>823</v>
      </c>
      <c r="C25" s="22"/>
      <c r="D25" s="24" t="str">
        <f aca="false">DataEntry!D25</f>
        <v>Flood Cert</v>
      </c>
      <c r="E25" s="49" t="n">
        <f aca="false">DataEntry!E25</f>
        <v>35</v>
      </c>
      <c r="F25" s="50" t="s">
        <v>4</v>
      </c>
      <c r="G25" s="64"/>
      <c r="H25" s="65"/>
      <c r="I25" s="65"/>
      <c r="J25" s="65"/>
      <c r="K25" s="65"/>
      <c r="L25" s="107"/>
    </row>
    <row r="26" customFormat="false" ht="13.5" hidden="false" customHeight="true" outlineLevel="0" collapsed="false">
      <c r="A26" s="47"/>
      <c r="B26" s="22" t="n">
        <f aca="false">DataEntry!B26</f>
        <v>827</v>
      </c>
      <c r="C26" s="22"/>
      <c r="D26" s="24" t="str">
        <f aca="false">DataEntry!D26</f>
        <v>Doc Prep Ancillary</v>
      </c>
      <c r="E26" s="49" t="n">
        <f aca="false">DataEntry!E26</f>
        <v>0</v>
      </c>
      <c r="F26" s="50"/>
      <c r="G26" s="56"/>
      <c r="H26" s="24" t="str">
        <f aca="false">DataEntry!H26</f>
        <v>Principal &amp; Interest at </v>
      </c>
      <c r="I26" s="22"/>
      <c r="J26" s="67" t="n">
        <f aca="false">D11</f>
        <v>0.0675</v>
      </c>
      <c r="K26" s="22"/>
      <c r="L26" s="53" t="n">
        <f aca="false">PMT(D11/12,D9,-H9)</f>
        <v>959.925182920959</v>
      </c>
      <c r="M26" s="2" t="s">
        <v>4</v>
      </c>
    </row>
    <row r="27" customFormat="false" ht="13.5" hidden="false" customHeight="true" outlineLevel="0" collapsed="false">
      <c r="A27" s="47"/>
      <c r="B27" s="22" t="n">
        <f aca="false">DataEntry!B27</f>
        <v>1113</v>
      </c>
      <c r="C27" s="22"/>
      <c r="D27" s="24" t="str">
        <f aca="false">DataEntry!D27</f>
        <v>Delivery </v>
      </c>
      <c r="E27" s="49" t="n">
        <f aca="false">DataEntry!E27</f>
        <v>50</v>
      </c>
      <c r="F27" s="50"/>
      <c r="G27" s="56"/>
      <c r="H27" s="24" t="str">
        <f aca="false">DataEntry!H27</f>
        <v>Taxes</v>
      </c>
      <c r="I27" s="22" t="s">
        <v>4</v>
      </c>
      <c r="J27" s="68"/>
      <c r="K27" s="22"/>
      <c r="L27" s="53" t="n">
        <v>0</v>
      </c>
    </row>
    <row r="28" customFormat="false" ht="13.5" hidden="false" customHeight="true" outlineLevel="0" collapsed="false">
      <c r="A28" s="47"/>
      <c r="B28" s="22" t="n">
        <f aca="false">DataEntry!B28</f>
        <v>816</v>
      </c>
      <c r="C28" s="22" t="s">
        <v>4</v>
      </c>
      <c r="D28" s="24" t="str">
        <f aca="false">DataEntry!D28</f>
        <v>Processing</v>
      </c>
      <c r="E28" s="49" t="n">
        <f aca="false">DataEntry!E28</f>
        <v>175</v>
      </c>
      <c r="F28" s="50"/>
      <c r="G28" s="56"/>
      <c r="H28" s="24" t="str">
        <f aca="false">DataEntry!H28</f>
        <v>Homeowners Insurance</v>
      </c>
      <c r="I28" s="22"/>
      <c r="J28" s="22"/>
      <c r="K28" s="22"/>
      <c r="L28" s="53" t="n">
        <v>0</v>
      </c>
    </row>
    <row r="29" customFormat="false" ht="13.5" hidden="false" customHeight="true" outlineLevel="0" collapsed="false">
      <c r="A29" s="47"/>
      <c r="B29" s="22"/>
      <c r="C29" s="22" t="s">
        <v>4</v>
      </c>
      <c r="D29" s="57" t="s">
        <v>18</v>
      </c>
      <c r="E29" s="69" t="n">
        <f aca="false">SUM(E17:E28)</f>
        <v>1365</v>
      </c>
      <c r="F29" s="50"/>
      <c r="G29" s="56"/>
      <c r="H29" s="24" t="str">
        <f aca="false">DataEntry!H29</f>
        <v>2nd Lien Principal &amp; Interest</v>
      </c>
      <c r="I29" s="22"/>
      <c r="J29" s="22"/>
      <c r="K29" s="22"/>
      <c r="L29" s="53" t="n">
        <f aca="false">PMT(D12/12,180,-H10)</f>
        <v>159.146471097537</v>
      </c>
    </row>
    <row r="30" customFormat="false" ht="15" hidden="false" customHeight="true" outlineLevel="0" collapsed="false">
      <c r="A30" s="70" t="s">
        <v>19</v>
      </c>
      <c r="B30" s="71"/>
      <c r="C30" s="71"/>
      <c r="D30" s="72"/>
      <c r="E30" s="73"/>
      <c r="F30" s="74"/>
      <c r="G30" s="56"/>
      <c r="H30" s="24" t="str">
        <f aca="false">DataEntry!H30</f>
        <v>Mortgage Insurance</v>
      </c>
      <c r="I30" s="22"/>
      <c r="J30" s="22"/>
      <c r="K30" s="22"/>
      <c r="L30" s="53" t="n">
        <f aca="false">J20</f>
        <v>0</v>
      </c>
    </row>
    <row r="31" customFormat="false" ht="13.5" hidden="false" customHeight="true" outlineLevel="0" collapsed="false">
      <c r="A31" s="47"/>
      <c r="B31" s="22" t="n">
        <f aca="false">DataEntry!B31</f>
        <v>1109</v>
      </c>
      <c r="C31" s="22"/>
      <c r="D31" s="24" t="str">
        <f aca="false">DataEntry!D31</f>
        <v>Lenders Title Policy</v>
      </c>
      <c r="E31" s="75" t="n">
        <f aca="false">IF($H$9&lt;100000,(($H$9-100000)*0.00805)+992-$O$14,(($H$9-100000)*0.00628)+992-DataEntry!O14)</f>
        <v>743.1568</v>
      </c>
      <c r="F31" s="50" t="s">
        <v>4</v>
      </c>
      <c r="G31" s="56"/>
      <c r="H31" s="24" t="str">
        <f aca="false">DataEntry!H31</f>
        <v>Condo/HOA fee</v>
      </c>
      <c r="I31" s="22"/>
      <c r="J31" s="22"/>
      <c r="K31" s="22"/>
      <c r="L31" s="53" t="n">
        <f aca="false">J21</f>
        <v>0</v>
      </c>
    </row>
    <row r="32" customFormat="false" ht="13.5" hidden="false" customHeight="true" outlineLevel="0" collapsed="false">
      <c r="A32" s="47"/>
      <c r="B32" s="22" t="n">
        <f aca="false">DataEntry!B32</f>
        <v>1110</v>
      </c>
      <c r="C32" s="22"/>
      <c r="D32" s="24" t="s">
        <v>32</v>
      </c>
      <c r="E32" s="75" t="n">
        <f aca="false">IF($H$10&lt;100000,(($H$10-100000)*0.00805)+992,(($H$10-100000)*0.00628)+992)</f>
        <v>313.385</v>
      </c>
      <c r="F32" s="50" t="s">
        <v>4</v>
      </c>
      <c r="G32" s="56"/>
      <c r="H32" s="24" t="s">
        <v>4</v>
      </c>
      <c r="I32" s="22"/>
      <c r="J32" s="22"/>
      <c r="K32" s="22"/>
      <c r="L32" s="108"/>
    </row>
    <row r="33" customFormat="false" ht="13.5" hidden="false" customHeight="true" outlineLevel="0" collapsed="false">
      <c r="A33" s="47"/>
      <c r="B33" s="22" t="n">
        <f aca="false">DataEntry!B33</f>
        <v>1112</v>
      </c>
      <c r="C33" s="22"/>
      <c r="D33" s="24" t="str">
        <f aca="false">DataEntry!D33</f>
        <v>Settlement</v>
      </c>
      <c r="E33" s="49" t="n">
        <f aca="false">DataEntry!E33</f>
        <v>125</v>
      </c>
      <c r="F33" s="50"/>
      <c r="G33" s="56"/>
      <c r="H33" s="22" t="s">
        <v>4</v>
      </c>
      <c r="I33" s="22"/>
      <c r="J33" s="22"/>
      <c r="K33" s="22"/>
      <c r="L33" s="109"/>
    </row>
    <row r="34" customFormat="false" ht="13.5" hidden="false" customHeight="true" outlineLevel="0" collapsed="false">
      <c r="A34" s="47"/>
      <c r="B34" s="22" t="n">
        <f aca="false">DataEntry!B34</f>
        <v>1113</v>
      </c>
      <c r="C34" s="22"/>
      <c r="D34" s="24" t="str">
        <f aca="false">DataEntry!D34</f>
        <v>Delivery </v>
      </c>
      <c r="E34" s="49" t="n">
        <f aca="false">DataEntry!E34</f>
        <v>50</v>
      </c>
      <c r="F34" s="50"/>
      <c r="G34" s="56"/>
      <c r="H34" s="24" t="s">
        <v>4</v>
      </c>
      <c r="I34" s="22"/>
      <c r="J34" s="22"/>
      <c r="K34" s="57" t="s">
        <v>20</v>
      </c>
      <c r="L34" s="58" t="n">
        <f aca="false">SUM(L26:L32)</f>
        <v>1119.0716540185</v>
      </c>
    </row>
    <row r="35" customFormat="false" ht="13.5" hidden="false" customHeight="true" outlineLevel="0" collapsed="false">
      <c r="A35" s="47"/>
      <c r="B35" s="22" t="n">
        <f aca="false">DataEntry!B35</f>
        <v>1201</v>
      </c>
      <c r="C35" s="22"/>
      <c r="D35" s="24" t="str">
        <f aca="false">DataEntry!D35</f>
        <v>Recording</v>
      </c>
      <c r="E35" s="49" t="n">
        <f aca="false">DataEntry!E35</f>
        <v>75</v>
      </c>
      <c r="F35" s="50"/>
      <c r="G35" s="79"/>
      <c r="H35" s="25"/>
      <c r="I35" s="25"/>
      <c r="J35" s="25"/>
      <c r="K35" s="25"/>
      <c r="L35" s="110"/>
    </row>
    <row r="36" customFormat="false" ht="15" hidden="false" customHeight="true" outlineLevel="0" collapsed="false">
      <c r="A36" s="47"/>
      <c r="B36" s="22" t="n">
        <f aca="false">DataEntry!B36</f>
        <v>1204</v>
      </c>
      <c r="C36" s="22"/>
      <c r="D36" s="24" t="str">
        <f aca="false">DataEntry!D36</f>
        <v>Tax Certificates</v>
      </c>
      <c r="E36" s="49" t="n">
        <f aca="false">DataEntry!E36</f>
        <v>0</v>
      </c>
      <c r="F36" s="50"/>
      <c r="G36" s="45" t="s">
        <v>21</v>
      </c>
      <c r="H36" s="62"/>
      <c r="I36" s="62"/>
      <c r="J36" s="62"/>
      <c r="K36" s="62"/>
      <c r="L36" s="111"/>
    </row>
    <row r="37" customFormat="false" ht="13.5" hidden="false" customHeight="true" outlineLevel="0" collapsed="false">
      <c r="A37" s="47"/>
      <c r="B37" s="22" t="n">
        <f aca="false">DataEntry!B37</f>
        <v>1301</v>
      </c>
      <c r="C37" s="22"/>
      <c r="D37" s="24" t="str">
        <f aca="false">DataEntry!D37</f>
        <v>Survey</v>
      </c>
      <c r="E37" s="49" t="str">
        <f aca="false">DataEntry!E37</f>
        <v>use current?</v>
      </c>
      <c r="F37" s="50"/>
      <c r="G37" s="56"/>
      <c r="H37" s="24" t="str">
        <f aca="false">DataEntry!H37</f>
        <v>Payoff existing loan(s)</v>
      </c>
      <c r="I37" s="22"/>
      <c r="J37" s="22"/>
      <c r="K37" s="22"/>
      <c r="L37" s="53" t="n">
        <f aca="false">DataEntry!L37</f>
        <v>161100</v>
      </c>
    </row>
    <row r="38" customFormat="false" ht="13.5" hidden="false" customHeight="true" outlineLevel="0" collapsed="false">
      <c r="A38" s="47"/>
      <c r="B38" s="22" t="n">
        <f aca="false">DataEntry!B38</f>
        <v>0</v>
      </c>
      <c r="C38" s="22"/>
      <c r="D38" s="24" t="str">
        <f aca="false">DataEntry!D38</f>
        <v>Attorney</v>
      </c>
      <c r="E38" s="49" t="n">
        <f aca="false">DataEntry!E38</f>
        <v>150</v>
      </c>
      <c r="F38" s="50"/>
      <c r="G38" s="56"/>
      <c r="H38" s="24" t="str">
        <f aca="false">DataEntry!H38</f>
        <v>Closing Costs - Lender</v>
      </c>
      <c r="I38" s="22"/>
      <c r="J38" s="22"/>
      <c r="K38" s="22"/>
      <c r="L38" s="53" t="n">
        <f aca="false">E29</f>
        <v>1365</v>
      </c>
    </row>
    <row r="39" customFormat="false" ht="13.5" hidden="false" customHeight="true" outlineLevel="0" collapsed="false">
      <c r="A39" s="47"/>
      <c r="B39" s="22" t="n">
        <f aca="false">DataEntry!B39</f>
        <v>0</v>
      </c>
      <c r="C39" s="22"/>
      <c r="D39" s="24" t="str">
        <f aca="false">DataEntry!D39</f>
        <v>Condo Certification</v>
      </c>
      <c r="E39" s="49" t="n">
        <f aca="false">DataEntry!E39</f>
        <v>0</v>
      </c>
      <c r="F39" s="82"/>
      <c r="G39" s="56"/>
      <c r="H39" s="24" t="str">
        <f aca="false">DataEntry!H39</f>
        <v>Closing Costs - Other</v>
      </c>
      <c r="I39" s="22"/>
      <c r="J39" s="22"/>
      <c r="K39" s="22"/>
      <c r="L39" s="53" t="n">
        <f aca="false">E44</f>
        <v>1456.5418</v>
      </c>
    </row>
    <row r="40" customFormat="false" ht="13.5" hidden="false" customHeight="true" outlineLevel="0" collapsed="false">
      <c r="A40" s="47"/>
      <c r="B40" s="22" t="n">
        <f aca="false">DataEntry!B40</f>
        <v>1302</v>
      </c>
      <c r="C40" s="22"/>
      <c r="D40" s="24" t="str">
        <f aca="false">DataEntry!D40</f>
        <v>2nd lien charges</v>
      </c>
      <c r="E40" s="49" t="n">
        <f aca="false">DataEntry!E40</f>
        <v>0</v>
      </c>
      <c r="F40" s="82"/>
      <c r="G40" s="56"/>
      <c r="H40" s="24" t="str">
        <f aca="false">DataEntry!H40</f>
        <v>Prepaids</v>
      </c>
      <c r="I40" s="22"/>
      <c r="J40" s="22"/>
      <c r="K40" s="22"/>
      <c r="L40" s="53" t="n">
        <f aca="false">L22</f>
        <v>109.479452054795</v>
      </c>
    </row>
    <row r="41" customFormat="false" ht="13.5" hidden="false" customHeight="true" outlineLevel="0" collapsed="false">
      <c r="A41" s="47"/>
      <c r="B41" s="22" t="n">
        <f aca="false">DataEntry!B41</f>
        <v>0</v>
      </c>
      <c r="C41" s="22"/>
      <c r="D41" s="24" t="str">
        <f aca="false">DataEntry!D41</f>
        <v>HOA Transfer fee</v>
      </c>
      <c r="E41" s="49" t="n">
        <f aca="false">DataEntry!E41</f>
        <v>0</v>
      </c>
      <c r="F41" s="82"/>
      <c r="G41" s="56"/>
      <c r="H41" s="24" t="str">
        <f aca="false">DataEntry!H41</f>
        <v>Subtotal</v>
      </c>
      <c r="I41" s="22"/>
      <c r="J41" s="22"/>
      <c r="K41" s="22"/>
      <c r="L41" s="58" t="n">
        <f aca="false">SUM(L37:L40)</f>
        <v>164031.021252055</v>
      </c>
    </row>
    <row r="42" customFormat="false" ht="13.5" hidden="false" customHeight="true" outlineLevel="0" collapsed="false">
      <c r="A42" s="47"/>
      <c r="B42" s="22" t="n">
        <f aca="false">DataEntry!B42</f>
        <v>0</v>
      </c>
      <c r="C42" s="22"/>
      <c r="D42" s="24" t="str">
        <f aca="false">DataEntry!D42</f>
        <v> </v>
      </c>
      <c r="E42" s="49" t="n">
        <f aca="false">DataEntry!E42</f>
        <v>0</v>
      </c>
      <c r="F42" s="82"/>
      <c r="G42" s="56"/>
      <c r="H42" s="24"/>
      <c r="I42" s="22"/>
      <c r="J42" s="22"/>
      <c r="K42" s="22"/>
      <c r="L42" s="83" t="s">
        <v>4</v>
      </c>
    </row>
    <row r="43" customFormat="false" ht="13.5" hidden="false" customHeight="true" outlineLevel="0" collapsed="false">
      <c r="A43" s="47"/>
      <c r="B43" s="22"/>
      <c r="C43" s="22"/>
      <c r="D43" s="22"/>
      <c r="E43" s="84"/>
      <c r="F43" s="82"/>
      <c r="G43" s="56"/>
      <c r="H43" s="24" t="str">
        <f aca="false">DataEntry!H43</f>
        <v>less new loan amount</v>
      </c>
      <c r="I43" s="22"/>
      <c r="J43" s="22"/>
      <c r="K43" s="22"/>
      <c r="L43" s="85" t="n">
        <f aca="false">-H9-H10</f>
        <v>-163700</v>
      </c>
    </row>
    <row r="44" customFormat="false" ht="13.5" hidden="false" customHeight="true" outlineLevel="0" collapsed="false">
      <c r="A44" s="47"/>
      <c r="B44" s="24"/>
      <c r="C44" s="22"/>
      <c r="D44" s="57" t="s">
        <v>22</v>
      </c>
      <c r="E44" s="86" t="n">
        <f aca="false">SUM(E31:E43)</f>
        <v>1456.5418</v>
      </c>
      <c r="F44" s="82"/>
      <c r="G44" s="56"/>
      <c r="H44" s="24" t="str">
        <f aca="false">DataEntry!H44</f>
        <v>Closing Cost Deposit</v>
      </c>
      <c r="I44" s="22"/>
      <c r="J44" s="22"/>
      <c r="K44" s="22"/>
      <c r="L44" s="53" t="n">
        <f aca="false">DataEntry!L44</f>
        <v>-375</v>
      </c>
    </row>
    <row r="45" customFormat="false" ht="13.5" hidden="false" customHeight="true" outlineLevel="0" collapsed="false">
      <c r="A45" s="47"/>
      <c r="B45" s="65"/>
      <c r="C45" s="65"/>
      <c r="D45" s="65"/>
      <c r="E45" s="65"/>
      <c r="F45" s="87"/>
      <c r="G45" s="56"/>
      <c r="H45" s="24" t="str">
        <f aca="false">DataEntry!H45</f>
        <v>less lender credit </v>
      </c>
      <c r="I45" s="22"/>
      <c r="J45" s="22"/>
      <c r="K45" s="22"/>
      <c r="L45" s="85" t="str">
        <f aca="false">DataEntry!L45</f>
        <v>tbd</v>
      </c>
    </row>
    <row r="46" customFormat="false" ht="17.25" hidden="false" customHeight="true" outlineLevel="0" collapsed="false">
      <c r="A46" s="47"/>
      <c r="B46" s="65"/>
      <c r="C46" s="65"/>
      <c r="D46" s="65" t="s">
        <v>4</v>
      </c>
      <c r="E46" s="88" t="s">
        <v>4</v>
      </c>
      <c r="F46" s="87"/>
      <c r="G46" s="56"/>
      <c r="H46" s="0"/>
      <c r="I46" s="89"/>
      <c r="J46" s="89"/>
      <c r="K46" s="90" t="str">
        <f aca="false">IF(L46&lt;0,"Cash Due to Owner at Closing =","Cash Due to Mortgage Company at Closing =")</f>
        <v>Cash Due to Owner at Closing =</v>
      </c>
      <c r="L46" s="91" t="n">
        <f aca="false">SUM(L41:L45)</f>
        <v>-43.9787479451916</v>
      </c>
    </row>
    <row r="47" customFormat="false" ht="12.95" hidden="false" customHeight="true" outlineLevel="0" collapsed="false">
      <c r="A47" s="92"/>
      <c r="B47" s="93"/>
      <c r="C47" s="93"/>
      <c r="D47" s="93" t="s">
        <v>4</v>
      </c>
      <c r="E47" s="93"/>
      <c r="F47" s="93"/>
      <c r="G47" s="94" t="s">
        <v>23</v>
      </c>
      <c r="H47" s="95"/>
      <c r="I47" s="96"/>
      <c r="J47" s="96"/>
      <c r="K47" s="96"/>
      <c r="L47" s="97"/>
    </row>
    <row r="48" customFormat="false" ht="2.1" hidden="false" customHeight="true" outlineLevel="0" collapsed="false">
      <c r="A48" s="98"/>
      <c r="B48" s="98"/>
      <c r="C48" s="98"/>
      <c r="D48" s="98"/>
      <c r="E48" s="98"/>
      <c r="F48" s="98"/>
      <c r="G48" s="98"/>
      <c r="H48" s="99"/>
      <c r="I48" s="98"/>
      <c r="J48" s="98"/>
      <c r="K48" s="98"/>
      <c r="L48" s="100"/>
    </row>
    <row r="49" customFormat="false" ht="60" hidden="false" customHeight="true" outlineLevel="0" collapsed="false">
      <c r="A49" s="101" t="s">
        <v>4</v>
      </c>
      <c r="B49" s="101"/>
      <c r="C49" s="102" t="s">
        <v>24</v>
      </c>
      <c r="D49" s="102"/>
      <c r="E49" s="102"/>
      <c r="F49" s="102"/>
      <c r="G49" s="102"/>
      <c r="H49" s="102"/>
      <c r="I49" s="102"/>
      <c r="J49" s="102"/>
      <c r="K49" s="102"/>
      <c r="L49" s="101"/>
    </row>
    <row r="50" customFormat="false" ht="45" hidden="false" customHeight="true" outlineLevel="0" collapsed="false">
      <c r="A50" s="101" t="s">
        <v>4</v>
      </c>
      <c r="B50" s="101"/>
      <c r="C50" s="102" t="s">
        <v>25</v>
      </c>
      <c r="D50" s="102"/>
      <c r="E50" s="102"/>
      <c r="F50" s="102"/>
      <c r="G50" s="102"/>
      <c r="H50" s="102"/>
      <c r="I50" s="102"/>
      <c r="J50" s="102"/>
      <c r="K50" s="102"/>
      <c r="L50" s="101"/>
    </row>
    <row r="51" customFormat="false" ht="12" hidden="false" customHeight="true" outlineLevel="0" collapsed="false"/>
    <row r="52" customFormat="false" ht="15.75" hidden="false" customHeight="false" outlineLevel="0" collapsed="false">
      <c r="A52" s="6" t="s">
        <v>26</v>
      </c>
      <c r="D52" s="7"/>
      <c r="E52" s="7"/>
      <c r="F52" s="7"/>
      <c r="G52" s="7"/>
      <c r="H52" s="7"/>
      <c r="I52" s="7"/>
      <c r="J52" s="8" t="s">
        <v>27</v>
      </c>
      <c r="K52" s="7"/>
      <c r="L52" s="7"/>
    </row>
    <row r="53" customFormat="false" ht="14.25" hidden="false" customHeight="true" outlineLevel="0" collapsed="false"/>
    <row r="54" customFormat="false" ht="15.75" hidden="false" customHeight="false" outlineLevel="0" collapsed="false">
      <c r="A54" s="6" t="s">
        <v>28</v>
      </c>
      <c r="D54" s="7"/>
      <c r="E54" s="7"/>
      <c r="F54" s="7"/>
      <c r="G54" s="7"/>
      <c r="H54" s="7"/>
      <c r="I54" s="7"/>
      <c r="J54" s="8" t="s">
        <v>27</v>
      </c>
      <c r="K54" s="7"/>
      <c r="L54" s="7"/>
    </row>
    <row r="55" customFormat="false" ht="9.75" hidden="false" customHeight="true" outlineLevel="0" collapsed="false"/>
    <row r="56" customFormat="false" ht="15.75" hidden="false" customHeight="false" outlineLevel="0" collapsed="false">
      <c r="A56" s="103" t="str">
        <f aca="false">DataEntry!$A$52</f>
        <v>Estimate provided by Linda Rhoden.  Phone# 713-802-6025</v>
      </c>
      <c r="B56" s="103"/>
      <c r="C56" s="103"/>
      <c r="D56" s="103"/>
      <c r="E56" s="103"/>
      <c r="F56" s="103"/>
      <c r="G56" s="103"/>
      <c r="H56" s="103"/>
      <c r="I56" s="103"/>
      <c r="J56" s="103"/>
      <c r="K56" s="103"/>
      <c r="L56" s="103"/>
    </row>
    <row r="57" customFormat="false" ht="15.75" hidden="false" customHeight="false" outlineLevel="0" collapsed="false">
      <c r="A57" s="103" t="str">
        <f aca="false">DataEntry!$A$53</f>
        <v>888-852-7645 ext. 6025 Toll free / 713-802-6035 Fax</v>
      </c>
      <c r="B57" s="103"/>
      <c r="C57" s="103"/>
      <c r="D57" s="103"/>
      <c r="E57" s="103"/>
      <c r="F57" s="103"/>
      <c r="G57" s="103"/>
      <c r="H57" s="103"/>
      <c r="I57" s="103"/>
      <c r="J57" s="103"/>
      <c r="K57" s="103"/>
      <c r="L57" s="103"/>
    </row>
  </sheetData>
  <mergeCells count="6">
    <mergeCell ref="A1:L1"/>
    <mergeCell ref="A2:L2"/>
    <mergeCell ref="C49:K49"/>
    <mergeCell ref="C50:K50"/>
    <mergeCell ref="A56:L56"/>
    <mergeCell ref="A57:L57"/>
  </mergeCells>
  <printOptions headings="false" gridLines="false" gridLinesSet="true" horizontalCentered="true" verticalCentered="false"/>
  <pageMargins left="0.35" right="0.170138888888889" top="0.5" bottom="0.29027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57"/>
  <sheetViews>
    <sheetView showFormulas="false" showGridLines="false" showRowColHeaders="true" showZeros="true" rightToLeft="false" tabSelected="false" showOutlineSymbols="true" defaultGridColor="true" view="normal" topLeftCell="C1" colorId="64" zoomScale="75" zoomScaleNormal="75" zoomScalePageLayoutView="100" workbookViewId="0">
      <selection pane="topLeft" activeCell="E31" activeCellId="0" sqref="E31"/>
    </sheetView>
  </sheetViews>
  <sheetFormatPr defaultColWidth="9.76953125" defaultRowHeight="15.75" customHeight="true" zeroHeight="false" outlineLevelRow="0" outlineLevelCol="0"/>
  <cols>
    <col collapsed="false" customWidth="true" hidden="false" outlineLevel="0" max="1" min="1" style="1" width="1.77"/>
    <col collapsed="false" customWidth="true" hidden="false" outlineLevel="0" max="2" min="2" style="1" width="6.77"/>
    <col collapsed="false" customWidth="true" hidden="false" outlineLevel="0" max="3" min="3" style="1" width="4.65"/>
    <col collapsed="false" customWidth="true" hidden="false" outlineLevel="0" max="4" min="4" style="1" width="12.77"/>
    <col collapsed="false" customWidth="true" hidden="false" outlineLevel="0" max="5" min="5" style="1" width="7.77"/>
    <col collapsed="false" customWidth="true" hidden="false" outlineLevel="0" max="7" min="6" style="1" width="4.77"/>
    <col collapsed="false" customWidth="false" hidden="false" outlineLevel="0" max="8" min="8" style="1" width="9.77"/>
    <col collapsed="false" customWidth="true" hidden="false" outlineLevel="0" max="9" min="9" style="1" width="6.21"/>
    <col collapsed="false" customWidth="true" hidden="false" outlineLevel="0" max="10" min="10" style="1" width="7.88"/>
    <col collapsed="false" customWidth="true" hidden="false" outlineLevel="0" max="11" min="11" style="1" width="9.55"/>
    <col collapsed="false" customWidth="true" hidden="false" outlineLevel="0" max="12" min="12" style="1" width="9.1"/>
    <col collapsed="false" customWidth="false" hidden="false" outlineLevel="0" max="257" min="13" style="2" width="9.77"/>
  </cols>
  <sheetData>
    <row r="1" customFormat="false" ht="22.5" hidden="false" customHeight="false" outlineLevel="0" collapsed="false">
      <c r="A1" s="3" t="s">
        <v>0</v>
      </c>
      <c r="B1" s="3"/>
      <c r="C1" s="3"/>
      <c r="D1" s="3"/>
      <c r="E1" s="3"/>
      <c r="F1" s="3"/>
      <c r="G1" s="3"/>
      <c r="H1" s="3"/>
      <c r="I1" s="3"/>
      <c r="J1" s="3"/>
      <c r="K1" s="3"/>
      <c r="L1" s="3"/>
    </row>
    <row r="2" customFormat="false" ht="18.75" hidden="false" customHeight="true" outlineLevel="0" collapsed="false">
      <c r="A2" s="3" t="s">
        <v>1</v>
      </c>
      <c r="B2" s="3"/>
      <c r="C2" s="3"/>
      <c r="D2" s="3"/>
      <c r="E2" s="3"/>
      <c r="F2" s="3"/>
      <c r="G2" s="3"/>
      <c r="H2" s="3"/>
      <c r="I2" s="3"/>
      <c r="J2" s="3"/>
      <c r="K2" s="3"/>
      <c r="L2" s="3"/>
    </row>
    <row r="3" customFormat="false" ht="18.75" hidden="false" customHeight="true" outlineLevel="0" collapsed="false">
      <c r="A3" s="4"/>
      <c r="B3" s="5"/>
      <c r="C3" s="5"/>
      <c r="D3" s="5"/>
      <c r="E3" s="5"/>
      <c r="F3" s="5"/>
      <c r="G3" s="5"/>
      <c r="H3" s="5"/>
      <c r="I3" s="5"/>
      <c r="J3" s="5"/>
      <c r="K3" s="5"/>
      <c r="L3" s="5"/>
    </row>
    <row r="4" customFormat="false" ht="15.75" hidden="false" customHeight="false" outlineLevel="0" collapsed="false">
      <c r="A4" s="6" t="s">
        <v>2</v>
      </c>
      <c r="C4" s="7"/>
      <c r="D4" s="7" t="str">
        <f aca="false">DataEntry!$D$4</f>
        <v>Paul Thomas refi</v>
      </c>
      <c r="E4" s="7"/>
      <c r="F4" s="7"/>
      <c r="G4" s="8"/>
      <c r="H4" s="7"/>
      <c r="I4" s="7"/>
      <c r="J4" s="7" t="s">
        <v>3</v>
      </c>
      <c r="K4" s="9" t="n">
        <f aca="false">DataEntry!$K$4</f>
        <v>37133</v>
      </c>
      <c r="L4" s="7" t="s">
        <v>4</v>
      </c>
    </row>
    <row r="5" customFormat="false" ht="15.75" hidden="false" customHeight="false" outlineLevel="0" collapsed="false">
      <c r="A5" s="6" t="s">
        <v>5</v>
      </c>
      <c r="C5" s="7"/>
      <c r="D5" s="7"/>
      <c r="E5" s="10" t="s">
        <v>33</v>
      </c>
      <c r="F5" s="11" t="n">
        <f aca="false">DataEntry!$F$5</f>
        <v>30</v>
      </c>
      <c r="G5" s="12" t="s">
        <v>34</v>
      </c>
      <c r="H5" s="13"/>
      <c r="I5" s="13"/>
      <c r="J5" s="13"/>
      <c r="K5" s="13"/>
      <c r="L5" s="7"/>
    </row>
    <row r="6" customFormat="false" ht="16.5" hidden="false" customHeight="true" outlineLevel="0" collapsed="false">
      <c r="B6" s="14"/>
      <c r="C6" s="14"/>
      <c r="D6" s="15"/>
      <c r="E6" s="16" t="s">
        <v>8</v>
      </c>
      <c r="F6" s="17" t="n">
        <f aca="false">DataEntry!$O$9</f>
        <v>0</v>
      </c>
      <c r="G6" s="14"/>
      <c r="H6" s="14" t="s">
        <v>31</v>
      </c>
    </row>
    <row r="7" customFormat="false" ht="15.75" hidden="false" customHeight="false" outlineLevel="0" collapsed="false">
      <c r="A7" s="18" t="s">
        <v>10</v>
      </c>
      <c r="B7" s="19"/>
      <c r="C7" s="19"/>
      <c r="D7" s="19"/>
      <c r="E7" s="19"/>
      <c r="F7" s="19"/>
      <c r="G7" s="19"/>
      <c r="H7" s="19"/>
      <c r="I7" s="19"/>
      <c r="J7" s="19"/>
      <c r="K7" s="19"/>
      <c r="L7" s="20"/>
    </row>
    <row r="8" customFormat="false" ht="15.75" hidden="false" customHeight="false" outlineLevel="0" collapsed="false">
      <c r="A8" s="21" t="str">
        <f aca="false">DataEntry!A8</f>
        <v>Type of Loan, 1st:</v>
      </c>
      <c r="B8" s="22"/>
      <c r="C8" s="22"/>
      <c r="D8" s="23" t="n">
        <f aca="false">DataEntry!D8</f>
        <v>30</v>
      </c>
      <c r="E8" s="24" t="str">
        <f aca="false">DataEntry!E8</f>
        <v>year fixed</v>
      </c>
      <c r="F8" s="22"/>
      <c r="G8" s="25"/>
      <c r="H8" s="26" t="n">
        <f aca="false">DataEntry!H8</f>
        <v>185000</v>
      </c>
      <c r="I8" s="24" t="str">
        <f aca="false">DataEntry!I8</f>
        <v>Estimated Value of Home</v>
      </c>
      <c r="J8" s="22"/>
      <c r="K8" s="22"/>
      <c r="L8" s="27"/>
    </row>
    <row r="9" customFormat="false" ht="15.75" hidden="false" customHeight="false" outlineLevel="0" collapsed="false">
      <c r="A9" s="21" t="str">
        <f aca="false">DataEntry!A9</f>
        <v>Loan Term - 1st</v>
      </c>
      <c r="B9" s="22"/>
      <c r="C9" s="22"/>
      <c r="D9" s="25" t="n">
        <f aca="false">DataEntry!D9</f>
        <v>360</v>
      </c>
      <c r="E9" s="22" t="s">
        <v>4</v>
      </c>
      <c r="F9" s="28" t="s">
        <v>4</v>
      </c>
      <c r="G9" s="25"/>
      <c r="H9" s="104" t="n">
        <f aca="false">0.8*H8</f>
        <v>148000</v>
      </c>
      <c r="I9" s="24" t="str">
        <f aca="false">DataEntry!I9</f>
        <v>New first loan amount </v>
      </c>
      <c r="J9" s="22"/>
      <c r="K9" s="22"/>
      <c r="L9" s="27"/>
    </row>
    <row r="10" customFormat="false" ht="15.75" hidden="false" customHeight="false" outlineLevel="0" collapsed="false">
      <c r="A10" s="21" t="str">
        <f aca="false">DataEntry!A10</f>
        <v>Loan Term - 2nd</v>
      </c>
      <c r="B10" s="22"/>
      <c r="C10" s="22"/>
      <c r="D10" s="23" t="n">
        <v>180</v>
      </c>
      <c r="E10" s="22"/>
      <c r="F10" s="28" t="s">
        <v>4</v>
      </c>
      <c r="G10" s="25"/>
      <c r="H10" s="104" t="n">
        <f aca="false">L37-H9</f>
        <v>13100</v>
      </c>
      <c r="I10" s="24" t="str">
        <f aca="false">DataEntry!I10</f>
        <v>Second Loan Amount</v>
      </c>
      <c r="J10" s="22"/>
      <c r="K10" s="22"/>
      <c r="L10" s="27"/>
    </row>
    <row r="11" customFormat="false" ht="15.75" hidden="false" customHeight="false" outlineLevel="0" collapsed="false">
      <c r="A11" s="21" t="str">
        <f aca="false">DataEntry!A11</f>
        <v>Note Rate:</v>
      </c>
      <c r="B11" s="22"/>
      <c r="C11" s="22"/>
      <c r="D11" s="32" t="n">
        <f aca="false">DataEntry!$P$9</f>
        <v>0.0675</v>
      </c>
      <c r="E11" s="22" t="str">
        <f aca="false">DataEntry!E11</f>
        <v>current 30 day lock</v>
      </c>
      <c r="F11" s="22"/>
      <c r="G11" s="25"/>
      <c r="H11" s="33" t="n">
        <f aca="false">(H9+H10)/H8</f>
        <v>0.870810810810811</v>
      </c>
      <c r="I11" s="24" t="str">
        <f aca="false">DataEntry!I11</f>
        <v>Total LTV</v>
      </c>
      <c r="J11" s="22"/>
      <c r="K11" s="22"/>
      <c r="L11" s="27"/>
    </row>
    <row r="12" customFormat="false" ht="15.75" hidden="false" customHeight="false" outlineLevel="0" collapsed="false">
      <c r="A12" s="21" t="str">
        <f aca="false">DataEntry!A12</f>
        <v>2nd Lien Rate</v>
      </c>
      <c r="B12" s="22"/>
      <c r="C12" s="22"/>
      <c r="D12" s="36" t="n">
        <v>0.0899</v>
      </c>
      <c r="E12" s="22"/>
      <c r="F12" s="22"/>
      <c r="G12" s="25"/>
      <c r="H12" s="37" t="n">
        <f aca="false">DataEntry!H12</f>
        <v>37165</v>
      </c>
      <c r="I12" s="24" t="str">
        <f aca="false">DataEntry!I12</f>
        <v>Closing Date</v>
      </c>
      <c r="J12" s="22"/>
      <c r="K12" s="22"/>
      <c r="L12" s="27"/>
    </row>
    <row r="13" customFormat="false" ht="15.75" hidden="false" customHeight="false" outlineLevel="0" collapsed="false">
      <c r="A13" s="21" t="str">
        <f aca="false">DataEntry!A13</f>
        <v>Hazard Ins yr:</v>
      </c>
      <c r="B13" s="22"/>
      <c r="C13" s="22"/>
      <c r="D13" s="38" t="n">
        <f aca="false">DataEntry!D13</f>
        <v>900</v>
      </c>
      <c r="E13" s="22" t="str">
        <f aca="false">DataEntry!E13</f>
        <v>Estimate </v>
      </c>
      <c r="F13" s="22"/>
      <c r="G13" s="25"/>
      <c r="H13" s="37" t="n">
        <f aca="false">DataEntry!H13</f>
        <v>37168</v>
      </c>
      <c r="I13" s="24" t="str">
        <f aca="false">DataEntry!I13</f>
        <v>Funding Date (3 days after closing)</v>
      </c>
      <c r="J13" s="22"/>
      <c r="K13" s="22"/>
      <c r="L13" s="27"/>
      <c r="M13" s="0"/>
      <c r="N13" s="0"/>
    </row>
    <row r="14" customFormat="false" ht="15.75" hidden="false" customHeight="false" outlineLevel="0" collapsed="false">
      <c r="A14" s="21" t="str">
        <f aca="false">DataEntry!A14</f>
        <v>Taxes yr:</v>
      </c>
      <c r="B14" s="22"/>
      <c r="C14" s="22"/>
      <c r="D14" s="38" t="n">
        <f aca="false">DataEntry!D14</f>
        <v>4625</v>
      </c>
      <c r="E14" s="22" t="str">
        <f aca="false">DataEntry!E14</f>
        <v>Estimate @ 2.5%</v>
      </c>
      <c r="F14" s="22"/>
      <c r="G14" s="25"/>
      <c r="H14" s="36" t="str">
        <f aca="false">DataEntry!H14</f>
        <v>rate/term refi</v>
      </c>
      <c r="I14" s="24" t="str">
        <f aca="false">DataEntry!I14</f>
        <v>Transaction Type</v>
      </c>
      <c r="J14" s="22"/>
      <c r="K14" s="22"/>
      <c r="L14" s="27"/>
      <c r="M14" s="0"/>
      <c r="N14" s="0"/>
    </row>
    <row r="15" customFormat="false" ht="9" hidden="false" customHeight="true" outlineLevel="0" collapsed="false">
      <c r="A15" s="39" t="s">
        <v>4</v>
      </c>
      <c r="B15" s="7"/>
      <c r="C15" s="7"/>
      <c r="D15" s="7"/>
      <c r="E15" s="7"/>
      <c r="F15" s="7"/>
      <c r="G15" s="7"/>
      <c r="H15" s="7"/>
      <c r="I15" s="7"/>
      <c r="J15" s="7"/>
      <c r="K15" s="7"/>
      <c r="L15" s="40"/>
      <c r="M15" s="0"/>
      <c r="N15" s="0"/>
    </row>
    <row r="16" customFormat="false" ht="15" hidden="false" customHeight="true" outlineLevel="0" collapsed="false">
      <c r="A16" s="41" t="s">
        <v>11</v>
      </c>
      <c r="B16" s="42"/>
      <c r="C16" s="42"/>
      <c r="D16" s="42"/>
      <c r="E16" s="43"/>
      <c r="F16" s="44"/>
      <c r="G16" s="45" t="s">
        <v>12</v>
      </c>
      <c r="H16" s="42"/>
      <c r="I16" s="42"/>
      <c r="J16" s="42"/>
      <c r="K16" s="42"/>
      <c r="L16" s="46"/>
      <c r="M16" s="0"/>
      <c r="N16" s="0"/>
    </row>
    <row r="17" customFormat="false" ht="13.5" hidden="false" customHeight="true" outlineLevel="0" collapsed="false">
      <c r="A17" s="47"/>
      <c r="B17" s="22" t="n">
        <f aca="false">DataEntry!B17</f>
        <v>801</v>
      </c>
      <c r="C17" s="48" t="n">
        <f aca="false">F6</f>
        <v>0</v>
      </c>
      <c r="D17" s="24" t="str">
        <f aca="false">DataEntry!D17</f>
        <v>total loan points</v>
      </c>
      <c r="E17" s="49" t="n">
        <f aca="false">C17*H9/100</f>
        <v>0</v>
      </c>
      <c r="F17" s="50"/>
      <c r="G17" s="51" t="n">
        <f aca="false">DataEntry!G17</f>
        <v>4</v>
      </c>
      <c r="H17" s="24" t="str">
        <f aca="false">DataEntry!H17</f>
        <v>Days of Interim Interest</v>
      </c>
      <c r="I17" s="22"/>
      <c r="J17" s="52" t="n">
        <f aca="false">$H$9*$D$11/365</f>
        <v>27.3698630136986</v>
      </c>
      <c r="K17" s="24" t="s">
        <v>13</v>
      </c>
      <c r="L17" s="53" t="n">
        <f aca="false">J17*G17</f>
        <v>109.479452054795</v>
      </c>
      <c r="M17" s="0"/>
      <c r="N17" s="0"/>
    </row>
    <row r="18" customFormat="false" ht="13.5" hidden="false" customHeight="true" outlineLevel="0" collapsed="false">
      <c r="A18" s="47"/>
      <c r="B18" s="22" t="n">
        <f aca="false">DataEntry!B18</f>
        <v>802</v>
      </c>
      <c r="C18" s="54" t="n">
        <v>0.25</v>
      </c>
      <c r="D18" s="24" t="str">
        <f aca="false">DataEntry!D18</f>
        <v>escrow waiver fee</v>
      </c>
      <c r="E18" s="49" t="n">
        <f aca="false">C18*H9/100</f>
        <v>370</v>
      </c>
      <c r="F18" s="50"/>
      <c r="G18" s="51" t="n">
        <v>0</v>
      </c>
      <c r="H18" s="24" t="str">
        <f aca="false">DataEntry!H18</f>
        <v>Est Mo Taxes*</v>
      </c>
      <c r="I18" s="22"/>
      <c r="J18" s="52" t="n">
        <f aca="false">D14/12</f>
        <v>385.416666666667</v>
      </c>
      <c r="K18" s="24" t="s">
        <v>14</v>
      </c>
      <c r="L18" s="53" t="n">
        <f aca="false">G18*J18</f>
        <v>0</v>
      </c>
      <c r="M18" s="0"/>
      <c r="N18" s="0"/>
      <c r="O18" s="55"/>
    </row>
    <row r="19" customFormat="false" ht="13.5" hidden="false" customHeight="true" outlineLevel="0" collapsed="false">
      <c r="A19" s="47"/>
      <c r="B19" s="22" t="n">
        <f aca="false">DataEntry!B19</f>
        <v>803</v>
      </c>
      <c r="C19" s="22"/>
      <c r="D19" s="24" t="str">
        <f aca="false">DataEntry!D19</f>
        <v>Appraisal </v>
      </c>
      <c r="E19" s="49" t="n">
        <f aca="false">DataEntry!E19</f>
        <v>325</v>
      </c>
      <c r="F19" s="50"/>
      <c r="G19" s="51" t="n">
        <v>0</v>
      </c>
      <c r="H19" s="24" t="str">
        <f aca="false">DataEntry!H19</f>
        <v>Est Mo Hazard Ins*</v>
      </c>
      <c r="I19" s="22"/>
      <c r="J19" s="52" t="n">
        <f aca="false">D13/12</f>
        <v>75</v>
      </c>
      <c r="K19" s="24" t="s">
        <v>14</v>
      </c>
      <c r="L19" s="53" t="n">
        <f aca="false">G19*J19</f>
        <v>0</v>
      </c>
      <c r="M19" s="0" t="s">
        <v>4</v>
      </c>
      <c r="N19" s="0"/>
    </row>
    <row r="20" customFormat="false" ht="13.5" hidden="false" customHeight="true" outlineLevel="0" collapsed="false">
      <c r="A20" s="47"/>
      <c r="B20" s="22" t="n">
        <f aca="false">DataEntry!B20</f>
        <v>804</v>
      </c>
      <c r="C20" s="22"/>
      <c r="D20" s="24" t="str">
        <f aca="false">DataEntry!D20</f>
        <v>Credit Report</v>
      </c>
      <c r="E20" s="49" t="n">
        <f aca="false">DataEntry!E20</f>
        <v>50</v>
      </c>
      <c r="F20" s="50"/>
      <c r="G20" s="51" t="n">
        <v>0</v>
      </c>
      <c r="H20" s="24" t="str">
        <f aca="false">DataEntry!H20</f>
        <v>Mo Mortgage Insurance</v>
      </c>
      <c r="I20" s="22"/>
      <c r="J20" s="52" t="n">
        <v>0</v>
      </c>
      <c r="K20" s="24" t="s">
        <v>14</v>
      </c>
      <c r="L20" s="53" t="n">
        <f aca="false">G20*J20</f>
        <v>0</v>
      </c>
    </row>
    <row r="21" customFormat="false" ht="13.5" hidden="false" customHeight="true" outlineLevel="0" collapsed="false">
      <c r="A21" s="47"/>
      <c r="B21" s="22" t="n">
        <f aca="false">DataEntry!B21</f>
        <v>805</v>
      </c>
      <c r="C21" s="22"/>
      <c r="D21" s="24" t="str">
        <f aca="false">DataEntry!D21</f>
        <v>Application Fee</v>
      </c>
      <c r="E21" s="49" t="n">
        <f aca="false">DataEntry!E21</f>
        <v>0</v>
      </c>
      <c r="F21" s="50"/>
      <c r="G21" s="51" t="n">
        <v>0</v>
      </c>
      <c r="H21" s="24" t="str">
        <f aca="false">DataEntry!H21</f>
        <v>HOA fee</v>
      </c>
      <c r="I21" s="22"/>
      <c r="J21" s="52" t="n">
        <v>0</v>
      </c>
      <c r="K21" s="24" t="s">
        <v>14</v>
      </c>
      <c r="L21" s="53" t="n">
        <f aca="false">G21*J21</f>
        <v>0</v>
      </c>
    </row>
    <row r="22" customFormat="false" ht="13.5" hidden="false" customHeight="true" outlineLevel="0" collapsed="false">
      <c r="A22" s="47"/>
      <c r="B22" s="22" t="n">
        <f aca="false">DataEntry!B22</f>
        <v>828</v>
      </c>
      <c r="C22" s="22"/>
      <c r="D22" s="24" t="str">
        <f aca="false">DataEntry!D22</f>
        <v>Underwriting</v>
      </c>
      <c r="E22" s="49" t="n">
        <f aca="false">DataEntry!E22</f>
        <v>250</v>
      </c>
      <c r="F22" s="50"/>
      <c r="G22" s="56"/>
      <c r="H22" s="24" t="s">
        <v>4</v>
      </c>
      <c r="I22" s="22"/>
      <c r="J22" s="22"/>
      <c r="K22" s="57" t="s">
        <v>15</v>
      </c>
      <c r="L22" s="58" t="n">
        <f aca="false">SUM(L17:L21)</f>
        <v>109.479452054795</v>
      </c>
    </row>
    <row r="23" customFormat="false" ht="13.5" hidden="false" customHeight="true" outlineLevel="0" collapsed="false">
      <c r="A23" s="47"/>
      <c r="B23" s="22" t="n">
        <f aca="false">DataEntry!B23</f>
        <v>809</v>
      </c>
      <c r="C23" s="22"/>
      <c r="D23" s="24" t="str">
        <f aca="false">DataEntry!D23</f>
        <v>Wire/Funding</v>
      </c>
      <c r="E23" s="49" t="n">
        <f aca="false">DataEntry!E23</f>
        <v>0</v>
      </c>
      <c r="F23" s="50"/>
      <c r="G23" s="59" t="s">
        <v>16</v>
      </c>
      <c r="H23" s="60"/>
      <c r="I23" s="60"/>
      <c r="J23" s="60"/>
      <c r="K23" s="60"/>
      <c r="L23" s="105"/>
    </row>
    <row r="24" customFormat="false" ht="15" hidden="false" customHeight="true" outlineLevel="0" collapsed="false">
      <c r="A24" s="47"/>
      <c r="B24" s="22" t="n">
        <f aca="false">DataEntry!B24</f>
        <v>810</v>
      </c>
      <c r="C24" s="22"/>
      <c r="D24" s="24" t="str">
        <f aca="false">DataEntry!D24</f>
        <v>Tax Service</v>
      </c>
      <c r="E24" s="49" t="n">
        <f aca="false">DataEntry!E24</f>
        <v>110</v>
      </c>
      <c r="F24" s="50" t="s">
        <v>4</v>
      </c>
      <c r="G24" s="45" t="s">
        <v>17</v>
      </c>
      <c r="H24" s="62"/>
      <c r="I24" s="62"/>
      <c r="J24" s="62"/>
      <c r="K24" s="62"/>
      <c r="L24" s="106"/>
    </row>
    <row r="25" customFormat="false" ht="13.5" hidden="false" customHeight="true" outlineLevel="0" collapsed="false">
      <c r="A25" s="47"/>
      <c r="B25" s="22" t="n">
        <f aca="false">DataEntry!B25</f>
        <v>823</v>
      </c>
      <c r="C25" s="22"/>
      <c r="D25" s="24" t="str">
        <f aca="false">DataEntry!D25</f>
        <v>Flood Cert</v>
      </c>
      <c r="E25" s="49" t="n">
        <f aca="false">DataEntry!E25</f>
        <v>35</v>
      </c>
      <c r="F25" s="50" t="s">
        <v>4</v>
      </c>
      <c r="G25" s="64"/>
      <c r="H25" s="65"/>
      <c r="I25" s="65"/>
      <c r="J25" s="65"/>
      <c r="K25" s="65"/>
      <c r="L25" s="107"/>
    </row>
    <row r="26" customFormat="false" ht="13.5" hidden="false" customHeight="true" outlineLevel="0" collapsed="false">
      <c r="A26" s="47"/>
      <c r="B26" s="22" t="n">
        <f aca="false">DataEntry!B26</f>
        <v>827</v>
      </c>
      <c r="C26" s="22"/>
      <c r="D26" s="24" t="str">
        <f aca="false">DataEntry!D26</f>
        <v>Doc Prep Ancillary</v>
      </c>
      <c r="E26" s="49" t="n">
        <f aca="false">DataEntry!E26</f>
        <v>0</v>
      </c>
      <c r="F26" s="50"/>
      <c r="G26" s="56"/>
      <c r="H26" s="24" t="str">
        <f aca="false">DataEntry!H26</f>
        <v>Principal &amp; Interest at </v>
      </c>
      <c r="I26" s="22"/>
      <c r="J26" s="67" t="n">
        <f aca="false">D11</f>
        <v>0.0675</v>
      </c>
      <c r="K26" s="22"/>
      <c r="L26" s="53" t="n">
        <f aca="false">PMT(D11/12,D9,-H9)</f>
        <v>959.925182920959</v>
      </c>
      <c r="M26" s="2" t="s">
        <v>4</v>
      </c>
    </row>
    <row r="27" customFormat="false" ht="13.5" hidden="false" customHeight="true" outlineLevel="0" collapsed="false">
      <c r="A27" s="47"/>
      <c r="B27" s="22" t="n">
        <f aca="false">DataEntry!B27</f>
        <v>1113</v>
      </c>
      <c r="C27" s="22"/>
      <c r="D27" s="24" t="str">
        <f aca="false">DataEntry!D27</f>
        <v>Delivery </v>
      </c>
      <c r="E27" s="49" t="n">
        <f aca="false">DataEntry!E27</f>
        <v>50</v>
      </c>
      <c r="F27" s="50"/>
      <c r="G27" s="56"/>
      <c r="H27" s="24" t="str">
        <f aca="false">DataEntry!H27</f>
        <v>Taxes</v>
      </c>
      <c r="I27" s="22" t="s">
        <v>4</v>
      </c>
      <c r="J27" s="68"/>
      <c r="K27" s="22"/>
      <c r="L27" s="53" t="n">
        <v>0</v>
      </c>
    </row>
    <row r="28" customFormat="false" ht="13.5" hidden="false" customHeight="true" outlineLevel="0" collapsed="false">
      <c r="A28" s="47"/>
      <c r="B28" s="22" t="n">
        <f aca="false">DataEntry!B28</f>
        <v>816</v>
      </c>
      <c r="C28" s="22" t="s">
        <v>4</v>
      </c>
      <c r="D28" s="24" t="str">
        <f aca="false">DataEntry!D28</f>
        <v>Processing</v>
      </c>
      <c r="E28" s="49" t="n">
        <f aca="false">DataEntry!E28</f>
        <v>175</v>
      </c>
      <c r="F28" s="50"/>
      <c r="G28" s="56"/>
      <c r="H28" s="24" t="str">
        <f aca="false">DataEntry!H28</f>
        <v>Homeowners Insurance</v>
      </c>
      <c r="I28" s="22"/>
      <c r="J28" s="22"/>
      <c r="K28" s="22"/>
      <c r="L28" s="53" t="n">
        <v>0</v>
      </c>
    </row>
    <row r="29" customFormat="false" ht="13.5" hidden="false" customHeight="true" outlineLevel="0" collapsed="false">
      <c r="A29" s="47"/>
      <c r="B29" s="22"/>
      <c r="C29" s="22" t="s">
        <v>4</v>
      </c>
      <c r="D29" s="57" t="s">
        <v>18</v>
      </c>
      <c r="E29" s="69" t="n">
        <f aca="false">SUM(E17:E28)</f>
        <v>1365</v>
      </c>
      <c r="F29" s="50"/>
      <c r="G29" s="56"/>
      <c r="H29" s="24" t="str">
        <f aca="false">DataEntry!H29</f>
        <v>2nd Lien Principal &amp; Interest</v>
      </c>
      <c r="I29" s="22"/>
      <c r="J29" s="22"/>
      <c r="K29" s="22"/>
      <c r="L29" s="53" t="n">
        <f aca="false">PMT(D12/12,180,-H10)</f>
        <v>132.791004546353</v>
      </c>
    </row>
    <row r="30" customFormat="false" ht="15" hidden="false" customHeight="true" outlineLevel="0" collapsed="false">
      <c r="A30" s="70" t="s">
        <v>19</v>
      </c>
      <c r="B30" s="71"/>
      <c r="C30" s="71"/>
      <c r="D30" s="72"/>
      <c r="E30" s="73"/>
      <c r="F30" s="74"/>
      <c r="G30" s="56"/>
      <c r="H30" s="24" t="str">
        <f aca="false">DataEntry!H30</f>
        <v>Mortgage Insurance</v>
      </c>
      <c r="I30" s="22"/>
      <c r="J30" s="22"/>
      <c r="K30" s="22"/>
      <c r="L30" s="53" t="n">
        <f aca="false">J20</f>
        <v>0</v>
      </c>
    </row>
    <row r="31" customFormat="false" ht="13.5" hidden="false" customHeight="true" outlineLevel="0" collapsed="false">
      <c r="A31" s="47"/>
      <c r="B31" s="22" t="n">
        <f aca="false">DataEntry!B31</f>
        <v>1109</v>
      </c>
      <c r="C31" s="22"/>
      <c r="D31" s="24" t="str">
        <f aca="false">DataEntry!D31</f>
        <v>Lenders Title Policy</v>
      </c>
      <c r="E31" s="75" t="n">
        <f aca="false">IF($H$9&lt;100000,(($H$9-100000)*0.00805)+992-$O$14,(($H$9-100000)*0.00628)+992-DataEntry!O14)</f>
        <v>743.1568</v>
      </c>
      <c r="F31" s="50" t="s">
        <v>4</v>
      </c>
      <c r="G31" s="56"/>
      <c r="H31" s="24" t="str">
        <f aca="false">DataEntry!H31</f>
        <v>Condo/HOA fee</v>
      </c>
      <c r="I31" s="22"/>
      <c r="J31" s="22"/>
      <c r="K31" s="22"/>
      <c r="L31" s="53" t="n">
        <f aca="false">J21</f>
        <v>0</v>
      </c>
    </row>
    <row r="32" customFormat="false" ht="13.5" hidden="false" customHeight="true" outlineLevel="0" collapsed="false">
      <c r="A32" s="47"/>
      <c r="B32" s="22" t="n">
        <f aca="false">DataEntry!B32</f>
        <v>1110</v>
      </c>
      <c r="C32" s="22"/>
      <c r="D32" s="24" t="s">
        <v>32</v>
      </c>
      <c r="E32" s="75" t="n">
        <f aca="false">IF($H$10&lt;100000,(($H$10-100000)*0.00805)+992,(($H$10-100000)*0.00628)+992)</f>
        <v>292.455</v>
      </c>
      <c r="F32" s="50" t="s">
        <v>4</v>
      </c>
      <c r="G32" s="56"/>
      <c r="H32" s="24" t="s">
        <v>4</v>
      </c>
      <c r="I32" s="22"/>
      <c r="J32" s="22"/>
      <c r="K32" s="22"/>
      <c r="L32" s="108"/>
    </row>
    <row r="33" customFormat="false" ht="13.5" hidden="false" customHeight="true" outlineLevel="0" collapsed="false">
      <c r="A33" s="47"/>
      <c r="B33" s="22" t="n">
        <f aca="false">DataEntry!B33</f>
        <v>1112</v>
      </c>
      <c r="C33" s="22"/>
      <c r="D33" s="24" t="str">
        <f aca="false">DataEntry!D33</f>
        <v>Settlement</v>
      </c>
      <c r="E33" s="49" t="n">
        <f aca="false">DataEntry!E33</f>
        <v>125</v>
      </c>
      <c r="F33" s="50"/>
      <c r="G33" s="56"/>
      <c r="H33" s="22" t="s">
        <v>4</v>
      </c>
      <c r="I33" s="22"/>
      <c r="J33" s="22"/>
      <c r="K33" s="22"/>
      <c r="L33" s="109"/>
    </row>
    <row r="34" customFormat="false" ht="13.5" hidden="false" customHeight="true" outlineLevel="0" collapsed="false">
      <c r="A34" s="47"/>
      <c r="B34" s="22" t="n">
        <f aca="false">DataEntry!B34</f>
        <v>1113</v>
      </c>
      <c r="C34" s="22"/>
      <c r="D34" s="24" t="str">
        <f aca="false">DataEntry!D34</f>
        <v>Delivery </v>
      </c>
      <c r="E34" s="49" t="n">
        <f aca="false">DataEntry!E34</f>
        <v>50</v>
      </c>
      <c r="F34" s="50"/>
      <c r="G34" s="56"/>
      <c r="H34" s="24" t="s">
        <v>4</v>
      </c>
      <c r="I34" s="22"/>
      <c r="J34" s="22"/>
      <c r="K34" s="57" t="s">
        <v>20</v>
      </c>
      <c r="L34" s="58" t="n">
        <f aca="false">SUM(L26:L32)</f>
        <v>1092.71618746731</v>
      </c>
    </row>
    <row r="35" customFormat="false" ht="13.5" hidden="false" customHeight="true" outlineLevel="0" collapsed="false">
      <c r="A35" s="47"/>
      <c r="B35" s="22" t="n">
        <f aca="false">DataEntry!B35</f>
        <v>1201</v>
      </c>
      <c r="C35" s="22"/>
      <c r="D35" s="24" t="str">
        <f aca="false">DataEntry!D35</f>
        <v>Recording</v>
      </c>
      <c r="E35" s="49" t="n">
        <f aca="false">DataEntry!E35</f>
        <v>75</v>
      </c>
      <c r="F35" s="50"/>
      <c r="G35" s="79"/>
      <c r="H35" s="25"/>
      <c r="I35" s="25"/>
      <c r="J35" s="25"/>
      <c r="K35" s="25"/>
      <c r="L35" s="110"/>
    </row>
    <row r="36" customFormat="false" ht="15" hidden="false" customHeight="true" outlineLevel="0" collapsed="false">
      <c r="A36" s="47"/>
      <c r="B36" s="22" t="n">
        <f aca="false">DataEntry!B36</f>
        <v>1204</v>
      </c>
      <c r="C36" s="22"/>
      <c r="D36" s="24" t="str">
        <f aca="false">DataEntry!D36</f>
        <v>Tax Certificates</v>
      </c>
      <c r="E36" s="49" t="n">
        <f aca="false">DataEntry!E36</f>
        <v>0</v>
      </c>
      <c r="F36" s="50"/>
      <c r="G36" s="45" t="s">
        <v>21</v>
      </c>
      <c r="H36" s="62"/>
      <c r="I36" s="62"/>
      <c r="J36" s="62"/>
      <c r="K36" s="62"/>
      <c r="L36" s="111"/>
    </row>
    <row r="37" customFormat="false" ht="13.5" hidden="false" customHeight="true" outlineLevel="0" collapsed="false">
      <c r="A37" s="47"/>
      <c r="B37" s="22" t="n">
        <f aca="false">DataEntry!B37</f>
        <v>1301</v>
      </c>
      <c r="C37" s="22"/>
      <c r="D37" s="24" t="str">
        <f aca="false">DataEntry!D37</f>
        <v>Survey</v>
      </c>
      <c r="E37" s="49" t="str">
        <f aca="false">DataEntry!E37</f>
        <v>use current?</v>
      </c>
      <c r="F37" s="50"/>
      <c r="G37" s="56"/>
      <c r="H37" s="24" t="str">
        <f aca="false">DataEntry!H37</f>
        <v>Payoff existing loan(s)</v>
      </c>
      <c r="I37" s="22"/>
      <c r="J37" s="22"/>
      <c r="K37" s="22"/>
      <c r="L37" s="53" t="n">
        <f aca="false">DataEntry!L37</f>
        <v>161100</v>
      </c>
    </row>
    <row r="38" customFormat="false" ht="13.5" hidden="false" customHeight="true" outlineLevel="0" collapsed="false">
      <c r="A38" s="47"/>
      <c r="B38" s="22" t="n">
        <f aca="false">DataEntry!B38</f>
        <v>0</v>
      </c>
      <c r="C38" s="22"/>
      <c r="D38" s="24" t="str">
        <f aca="false">DataEntry!D38</f>
        <v>Attorney</v>
      </c>
      <c r="E38" s="49" t="n">
        <f aca="false">DataEntry!E38</f>
        <v>150</v>
      </c>
      <c r="F38" s="50"/>
      <c r="G38" s="56"/>
      <c r="H38" s="24" t="str">
        <f aca="false">DataEntry!H38</f>
        <v>Closing Costs - Lender</v>
      </c>
      <c r="I38" s="22"/>
      <c r="J38" s="22"/>
      <c r="K38" s="22"/>
      <c r="L38" s="53" t="n">
        <f aca="false">E29</f>
        <v>1365</v>
      </c>
    </row>
    <row r="39" customFormat="false" ht="13.5" hidden="false" customHeight="true" outlineLevel="0" collapsed="false">
      <c r="A39" s="47"/>
      <c r="B39" s="22" t="n">
        <f aca="false">DataEntry!B39</f>
        <v>0</v>
      </c>
      <c r="C39" s="22"/>
      <c r="D39" s="24" t="str">
        <f aca="false">DataEntry!D39</f>
        <v>Condo Certification</v>
      </c>
      <c r="E39" s="49" t="n">
        <f aca="false">DataEntry!E39</f>
        <v>0</v>
      </c>
      <c r="F39" s="82"/>
      <c r="G39" s="56"/>
      <c r="H39" s="24" t="str">
        <f aca="false">DataEntry!H39</f>
        <v>Closing Costs - Other</v>
      </c>
      <c r="I39" s="22"/>
      <c r="J39" s="22"/>
      <c r="K39" s="22"/>
      <c r="L39" s="53" t="n">
        <f aca="false">E44</f>
        <v>1435.6118</v>
      </c>
    </row>
    <row r="40" customFormat="false" ht="13.5" hidden="false" customHeight="true" outlineLevel="0" collapsed="false">
      <c r="A40" s="47"/>
      <c r="B40" s="22" t="n">
        <f aca="false">DataEntry!B40</f>
        <v>1302</v>
      </c>
      <c r="C40" s="22"/>
      <c r="D40" s="24" t="str">
        <f aca="false">DataEntry!D40</f>
        <v>2nd lien charges</v>
      </c>
      <c r="E40" s="49" t="n">
        <f aca="false">DataEntry!E40</f>
        <v>0</v>
      </c>
      <c r="F40" s="82"/>
      <c r="G40" s="56"/>
      <c r="H40" s="24" t="str">
        <f aca="false">DataEntry!H40</f>
        <v>Prepaids</v>
      </c>
      <c r="I40" s="22"/>
      <c r="J40" s="22"/>
      <c r="K40" s="22"/>
      <c r="L40" s="53" t="n">
        <f aca="false">L22</f>
        <v>109.479452054795</v>
      </c>
    </row>
    <row r="41" customFormat="false" ht="13.5" hidden="false" customHeight="true" outlineLevel="0" collapsed="false">
      <c r="A41" s="47"/>
      <c r="B41" s="22" t="n">
        <f aca="false">DataEntry!B41</f>
        <v>0</v>
      </c>
      <c r="C41" s="22"/>
      <c r="D41" s="24" t="str">
        <f aca="false">DataEntry!D41</f>
        <v>HOA Transfer fee</v>
      </c>
      <c r="E41" s="49" t="n">
        <f aca="false">DataEntry!E41</f>
        <v>0</v>
      </c>
      <c r="F41" s="82"/>
      <c r="G41" s="56"/>
      <c r="H41" s="24" t="str">
        <f aca="false">DataEntry!H41</f>
        <v>Subtotal</v>
      </c>
      <c r="I41" s="22"/>
      <c r="J41" s="22"/>
      <c r="K41" s="22"/>
      <c r="L41" s="58" t="n">
        <f aca="false">SUM(L37:L40)</f>
        <v>164010.091252055</v>
      </c>
    </row>
    <row r="42" customFormat="false" ht="13.5" hidden="false" customHeight="true" outlineLevel="0" collapsed="false">
      <c r="A42" s="47"/>
      <c r="B42" s="22" t="n">
        <f aca="false">DataEntry!B42</f>
        <v>0</v>
      </c>
      <c r="C42" s="22"/>
      <c r="D42" s="24" t="str">
        <f aca="false">DataEntry!D42</f>
        <v> </v>
      </c>
      <c r="E42" s="49" t="n">
        <f aca="false">DataEntry!E42</f>
        <v>0</v>
      </c>
      <c r="F42" s="82"/>
      <c r="G42" s="56"/>
      <c r="H42" s="24"/>
      <c r="I42" s="22"/>
      <c r="J42" s="22"/>
      <c r="K42" s="22"/>
      <c r="L42" s="83" t="s">
        <v>4</v>
      </c>
    </row>
    <row r="43" customFormat="false" ht="13.5" hidden="false" customHeight="true" outlineLevel="0" collapsed="false">
      <c r="A43" s="47"/>
      <c r="B43" s="22"/>
      <c r="C43" s="22"/>
      <c r="D43" s="22"/>
      <c r="E43" s="84"/>
      <c r="F43" s="82"/>
      <c r="G43" s="56"/>
      <c r="H43" s="24" t="str">
        <f aca="false">DataEntry!H43</f>
        <v>less new loan amount</v>
      </c>
      <c r="I43" s="22"/>
      <c r="J43" s="22"/>
      <c r="K43" s="22"/>
      <c r="L43" s="85" t="n">
        <f aca="false">-H9-H10</f>
        <v>-161100</v>
      </c>
    </row>
    <row r="44" customFormat="false" ht="13.5" hidden="false" customHeight="true" outlineLevel="0" collapsed="false">
      <c r="A44" s="47"/>
      <c r="B44" s="24"/>
      <c r="C44" s="22"/>
      <c r="D44" s="57" t="s">
        <v>22</v>
      </c>
      <c r="E44" s="86" t="n">
        <f aca="false">SUM(E31:E43)</f>
        <v>1435.6118</v>
      </c>
      <c r="F44" s="82"/>
      <c r="G44" s="56"/>
      <c r="H44" s="24" t="str">
        <f aca="false">DataEntry!H44</f>
        <v>Closing Cost Deposit</v>
      </c>
      <c r="I44" s="22"/>
      <c r="J44" s="22"/>
      <c r="K44" s="22"/>
      <c r="L44" s="53" t="n">
        <f aca="false">DataEntry!L44</f>
        <v>-375</v>
      </c>
    </row>
    <row r="45" customFormat="false" ht="13.5" hidden="false" customHeight="true" outlineLevel="0" collapsed="false">
      <c r="A45" s="47"/>
      <c r="B45" s="65"/>
      <c r="C45" s="65"/>
      <c r="D45" s="65"/>
      <c r="E45" s="65"/>
      <c r="F45" s="87"/>
      <c r="G45" s="56"/>
      <c r="H45" s="24" t="str">
        <f aca="false">DataEntry!H45</f>
        <v>less lender credit </v>
      </c>
      <c r="I45" s="22"/>
      <c r="J45" s="22"/>
      <c r="K45" s="22"/>
      <c r="L45" s="85" t="str">
        <f aca="false">DataEntry!L45</f>
        <v>tbd</v>
      </c>
    </row>
    <row r="46" customFormat="false" ht="17.25" hidden="false" customHeight="true" outlineLevel="0" collapsed="false">
      <c r="A46" s="47"/>
      <c r="B46" s="65"/>
      <c r="C46" s="65"/>
      <c r="D46" s="65" t="s">
        <v>4</v>
      </c>
      <c r="E46" s="88" t="s">
        <v>4</v>
      </c>
      <c r="F46" s="87"/>
      <c r="G46" s="56"/>
      <c r="H46" s="0"/>
      <c r="I46" s="89"/>
      <c r="J46" s="89"/>
      <c r="K46" s="90" t="str">
        <f aca="false">IF(L46&lt;0,"Cash Due to Owner at Closing =","Cash Due to Mortgage Company at Closing =")</f>
        <v>Cash Due to Mortgage Company at Closing =</v>
      </c>
      <c r="L46" s="91" t="n">
        <f aca="false">SUM(L41:L45)</f>
        <v>2535.09125205482</v>
      </c>
    </row>
    <row r="47" customFormat="false" ht="12.95" hidden="false" customHeight="true" outlineLevel="0" collapsed="false">
      <c r="A47" s="92"/>
      <c r="B47" s="93"/>
      <c r="C47" s="93"/>
      <c r="D47" s="93" t="s">
        <v>4</v>
      </c>
      <c r="E47" s="93"/>
      <c r="F47" s="93"/>
      <c r="G47" s="94" t="s">
        <v>23</v>
      </c>
      <c r="H47" s="95"/>
      <c r="I47" s="96"/>
      <c r="J47" s="96"/>
      <c r="K47" s="96"/>
      <c r="L47" s="97"/>
    </row>
    <row r="48" customFormat="false" ht="2.1" hidden="false" customHeight="true" outlineLevel="0" collapsed="false">
      <c r="A48" s="98"/>
      <c r="B48" s="98"/>
      <c r="C48" s="98"/>
      <c r="D48" s="98"/>
      <c r="E48" s="98"/>
      <c r="F48" s="98"/>
      <c r="G48" s="98"/>
      <c r="H48" s="99"/>
      <c r="I48" s="98"/>
      <c r="J48" s="98"/>
      <c r="K48" s="98"/>
      <c r="L48" s="100"/>
    </row>
    <row r="49" customFormat="false" ht="60" hidden="false" customHeight="true" outlineLevel="0" collapsed="false">
      <c r="A49" s="101" t="s">
        <v>4</v>
      </c>
      <c r="B49" s="101"/>
      <c r="C49" s="102" t="s">
        <v>24</v>
      </c>
      <c r="D49" s="102"/>
      <c r="E49" s="102"/>
      <c r="F49" s="102"/>
      <c r="G49" s="102"/>
      <c r="H49" s="102"/>
      <c r="I49" s="102"/>
      <c r="J49" s="102"/>
      <c r="K49" s="102"/>
      <c r="L49" s="101"/>
    </row>
    <row r="50" customFormat="false" ht="45" hidden="false" customHeight="true" outlineLevel="0" collapsed="false">
      <c r="A50" s="101" t="s">
        <v>4</v>
      </c>
      <c r="B50" s="101"/>
      <c r="C50" s="102" t="s">
        <v>25</v>
      </c>
      <c r="D50" s="102"/>
      <c r="E50" s="102"/>
      <c r="F50" s="102"/>
      <c r="G50" s="102"/>
      <c r="H50" s="102"/>
      <c r="I50" s="102"/>
      <c r="J50" s="102"/>
      <c r="K50" s="102"/>
      <c r="L50" s="101"/>
    </row>
    <row r="51" customFormat="false" ht="12" hidden="false" customHeight="true" outlineLevel="0" collapsed="false"/>
    <row r="52" customFormat="false" ht="15.75" hidden="false" customHeight="false" outlineLevel="0" collapsed="false">
      <c r="A52" s="6" t="s">
        <v>26</v>
      </c>
      <c r="D52" s="7"/>
      <c r="E52" s="7"/>
      <c r="F52" s="7"/>
      <c r="G52" s="7"/>
      <c r="H52" s="7"/>
      <c r="I52" s="7"/>
      <c r="J52" s="8" t="s">
        <v>27</v>
      </c>
      <c r="K52" s="7"/>
      <c r="L52" s="7"/>
    </row>
    <row r="53" customFormat="false" ht="14.25" hidden="false" customHeight="true" outlineLevel="0" collapsed="false"/>
    <row r="54" customFormat="false" ht="15.75" hidden="false" customHeight="false" outlineLevel="0" collapsed="false">
      <c r="A54" s="6" t="s">
        <v>28</v>
      </c>
      <c r="D54" s="7"/>
      <c r="E54" s="7"/>
      <c r="F54" s="7"/>
      <c r="G54" s="7"/>
      <c r="H54" s="7"/>
      <c r="I54" s="7"/>
      <c r="J54" s="8" t="s">
        <v>27</v>
      </c>
      <c r="K54" s="7"/>
      <c r="L54" s="7"/>
    </row>
    <row r="55" customFormat="false" ht="9.75" hidden="false" customHeight="true" outlineLevel="0" collapsed="false"/>
    <row r="56" customFormat="false" ht="15.75" hidden="false" customHeight="false" outlineLevel="0" collapsed="false">
      <c r="A56" s="103" t="str">
        <f aca="false">DataEntry!$A$52</f>
        <v>Estimate provided by Linda Rhoden.  Phone# 713-802-6025</v>
      </c>
      <c r="B56" s="103"/>
      <c r="C56" s="103"/>
      <c r="D56" s="103"/>
      <c r="E56" s="103"/>
      <c r="F56" s="103"/>
      <c r="G56" s="103"/>
      <c r="H56" s="103"/>
      <c r="I56" s="103"/>
      <c r="J56" s="103"/>
      <c r="K56" s="103"/>
      <c r="L56" s="103"/>
    </row>
    <row r="57" customFormat="false" ht="15.75" hidden="false" customHeight="false" outlineLevel="0" collapsed="false">
      <c r="A57" s="103" t="str">
        <f aca="false">DataEntry!$A$53</f>
        <v>888-852-7645 ext. 6025 Toll free / 713-802-6035 Fax</v>
      </c>
      <c r="B57" s="103"/>
      <c r="C57" s="103"/>
      <c r="D57" s="103"/>
      <c r="E57" s="103"/>
      <c r="F57" s="103"/>
      <c r="G57" s="103"/>
      <c r="H57" s="103"/>
      <c r="I57" s="103"/>
      <c r="J57" s="103"/>
      <c r="K57" s="103"/>
      <c r="L57" s="103"/>
    </row>
  </sheetData>
  <sheetProtection sheet="true" password="ccca" objects="true" scenarios="true"/>
  <mergeCells count="6">
    <mergeCell ref="A1:L1"/>
    <mergeCell ref="A2:L2"/>
    <mergeCell ref="C49:K49"/>
    <mergeCell ref="C50:K50"/>
    <mergeCell ref="A56:L56"/>
    <mergeCell ref="A57:L57"/>
  </mergeCells>
  <printOptions headings="false" gridLines="false" gridLinesSet="true" horizontalCentered="true" verticalCentered="false"/>
  <pageMargins left="0.35" right="0.170138888888889" top="0.5" bottom="0.29027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57"/>
  <sheetViews>
    <sheetView showFormulas="false" showGridLines="false" showRowColHeaders="true" showZeros="true" rightToLeft="false" tabSelected="false" showOutlineSymbols="true" defaultGridColor="true" view="normal" topLeftCell="A7" colorId="64" zoomScale="75" zoomScaleNormal="75" zoomScalePageLayoutView="100" workbookViewId="0">
      <selection pane="topLeft" activeCell="H10" activeCellId="0" sqref="H10"/>
    </sheetView>
  </sheetViews>
  <sheetFormatPr defaultColWidth="9.76953125" defaultRowHeight="15.75" customHeight="true" zeroHeight="false" outlineLevelRow="0" outlineLevelCol="0"/>
  <cols>
    <col collapsed="false" customWidth="true" hidden="false" outlineLevel="0" max="1" min="1" style="1" width="1.77"/>
    <col collapsed="false" customWidth="true" hidden="false" outlineLevel="0" max="2" min="2" style="1" width="6.77"/>
    <col collapsed="false" customWidth="true" hidden="false" outlineLevel="0" max="3" min="3" style="1" width="4.88"/>
    <col collapsed="false" customWidth="true" hidden="false" outlineLevel="0" max="4" min="4" style="1" width="12.77"/>
    <col collapsed="false" customWidth="true" hidden="false" outlineLevel="0" max="5" min="5" style="1" width="7.77"/>
    <col collapsed="false" customWidth="true" hidden="false" outlineLevel="0" max="7" min="6" style="1" width="4.77"/>
    <col collapsed="false" customWidth="false" hidden="false" outlineLevel="0" max="8" min="8" style="1" width="9.77"/>
    <col collapsed="false" customWidth="true" hidden="false" outlineLevel="0" max="9" min="9" style="1" width="6.21"/>
    <col collapsed="false" customWidth="true" hidden="false" outlineLevel="0" max="10" min="10" style="1" width="7.88"/>
    <col collapsed="false" customWidth="true" hidden="false" outlineLevel="0" max="11" min="11" style="1" width="9.55"/>
    <col collapsed="false" customWidth="true" hidden="false" outlineLevel="0" max="12" min="12" style="1" width="9.44"/>
    <col collapsed="false" customWidth="false" hidden="false" outlineLevel="0" max="257" min="13" style="2" width="9.77"/>
  </cols>
  <sheetData>
    <row r="1" customFormat="false" ht="22.5" hidden="false" customHeight="false" outlineLevel="0" collapsed="false">
      <c r="A1" s="3" t="s">
        <v>0</v>
      </c>
      <c r="B1" s="3"/>
      <c r="C1" s="3"/>
      <c r="D1" s="3"/>
      <c r="E1" s="3"/>
      <c r="F1" s="3"/>
      <c r="G1" s="3"/>
      <c r="H1" s="3"/>
      <c r="I1" s="3"/>
      <c r="J1" s="3"/>
      <c r="K1" s="3"/>
      <c r="L1" s="3"/>
    </row>
    <row r="2" customFormat="false" ht="18.75" hidden="false" customHeight="true" outlineLevel="0" collapsed="false">
      <c r="A2" s="3" t="s">
        <v>1</v>
      </c>
      <c r="B2" s="3"/>
      <c r="C2" s="3"/>
      <c r="D2" s="3"/>
      <c r="E2" s="3"/>
      <c r="F2" s="3"/>
      <c r="G2" s="3"/>
      <c r="H2" s="3"/>
      <c r="I2" s="3"/>
      <c r="J2" s="3"/>
      <c r="K2" s="3"/>
      <c r="L2" s="3"/>
    </row>
    <row r="3" customFormat="false" ht="18.75" hidden="false" customHeight="true" outlineLevel="0" collapsed="false">
      <c r="A3" s="4"/>
      <c r="B3" s="5"/>
      <c r="C3" s="5"/>
      <c r="D3" s="5"/>
      <c r="E3" s="5"/>
      <c r="F3" s="5"/>
      <c r="G3" s="5"/>
      <c r="H3" s="5"/>
      <c r="I3" s="5"/>
      <c r="J3" s="5"/>
      <c r="K3" s="5"/>
      <c r="L3" s="5"/>
    </row>
    <row r="4" customFormat="false" ht="15.75" hidden="false" customHeight="false" outlineLevel="0" collapsed="false">
      <c r="A4" s="6" t="s">
        <v>2</v>
      </c>
      <c r="C4" s="7"/>
      <c r="D4" s="7" t="str">
        <f aca="false">DataEntry!$D$4</f>
        <v>Paul Thomas refi</v>
      </c>
      <c r="E4" s="7"/>
      <c r="F4" s="7"/>
      <c r="G4" s="8"/>
      <c r="H4" s="7"/>
      <c r="I4" s="7"/>
      <c r="J4" s="7" t="s">
        <v>3</v>
      </c>
      <c r="K4" s="9" t="n">
        <f aca="false">DataEntry!$K$4</f>
        <v>37133</v>
      </c>
      <c r="L4" s="7" t="s">
        <v>4</v>
      </c>
    </row>
    <row r="5" customFormat="false" ht="15.75" hidden="false" customHeight="false" outlineLevel="0" collapsed="false">
      <c r="A5" s="6" t="s">
        <v>5</v>
      </c>
      <c r="C5" s="7"/>
      <c r="D5" s="7"/>
      <c r="E5" s="10" t="s">
        <v>35</v>
      </c>
      <c r="F5" s="11" t="n">
        <f aca="false">DataEntry!$F$5</f>
        <v>30</v>
      </c>
      <c r="G5" s="12" t="s">
        <v>7</v>
      </c>
      <c r="H5" s="13"/>
      <c r="I5" s="13"/>
      <c r="J5" s="13"/>
      <c r="K5" s="13"/>
      <c r="L5" s="7"/>
    </row>
    <row r="6" customFormat="false" ht="16.5" hidden="false" customHeight="true" outlineLevel="0" collapsed="false">
      <c r="B6" s="14"/>
      <c r="C6" s="14"/>
      <c r="D6" s="15"/>
      <c r="E6" s="16" t="s">
        <v>8</v>
      </c>
      <c r="F6" s="17" t="n">
        <f aca="false">DataEntry!$O$10</f>
        <v>1</v>
      </c>
      <c r="G6" s="14"/>
      <c r="H6" s="14" t="s">
        <v>9</v>
      </c>
    </row>
    <row r="7" customFormat="false" ht="15.75" hidden="false" customHeight="false" outlineLevel="0" collapsed="false">
      <c r="A7" s="18" t="s">
        <v>10</v>
      </c>
      <c r="B7" s="19"/>
      <c r="C7" s="19"/>
      <c r="D7" s="19"/>
      <c r="E7" s="19"/>
      <c r="F7" s="19"/>
      <c r="G7" s="19"/>
      <c r="H7" s="19"/>
      <c r="I7" s="19"/>
      <c r="J7" s="19"/>
      <c r="K7" s="19"/>
      <c r="L7" s="20"/>
    </row>
    <row r="8" customFormat="false" ht="15.75" hidden="false" customHeight="false" outlineLevel="0" collapsed="false">
      <c r="A8" s="21" t="str">
        <f aca="false">DataEntry!A8</f>
        <v>Type of Loan, 1st:</v>
      </c>
      <c r="B8" s="22"/>
      <c r="C8" s="22"/>
      <c r="D8" s="23" t="n">
        <f aca="false">DataEntry!D8</f>
        <v>30</v>
      </c>
      <c r="E8" s="24" t="str">
        <f aca="false">DataEntry!E8</f>
        <v>year fixed</v>
      </c>
      <c r="F8" s="22"/>
      <c r="G8" s="25"/>
      <c r="H8" s="26" t="n">
        <f aca="false">DataEntry!H8</f>
        <v>185000</v>
      </c>
      <c r="I8" s="24" t="str">
        <f aca="false">DataEntry!I8</f>
        <v>Estimated Value of Home</v>
      </c>
      <c r="J8" s="22"/>
      <c r="K8" s="22"/>
      <c r="L8" s="27"/>
    </row>
    <row r="9" customFormat="false" ht="15.75" hidden="false" customHeight="false" outlineLevel="0" collapsed="false">
      <c r="A9" s="21" t="str">
        <f aca="false">DataEntry!A9</f>
        <v>Loan Term - 1st</v>
      </c>
      <c r="B9" s="22"/>
      <c r="C9" s="22"/>
      <c r="D9" s="25" t="n">
        <f aca="false">DataEntry!D9</f>
        <v>360</v>
      </c>
      <c r="E9" s="22" t="s">
        <v>4</v>
      </c>
      <c r="F9" s="28" t="s">
        <v>4</v>
      </c>
      <c r="G9" s="25"/>
      <c r="H9" s="29" t="n">
        <v>166500</v>
      </c>
      <c r="I9" s="24" t="str">
        <f aca="false">DataEntry!I9</f>
        <v>New first loan amount </v>
      </c>
      <c r="J9" s="22"/>
      <c r="K9" s="22"/>
      <c r="L9" s="27"/>
    </row>
    <row r="10" customFormat="false" ht="15.75" hidden="false" customHeight="false" outlineLevel="0" collapsed="false">
      <c r="A10" s="21" t="str">
        <f aca="false">DataEntry!A10</f>
        <v>Loan Term - 2nd</v>
      </c>
      <c r="B10" s="22"/>
      <c r="C10" s="22"/>
      <c r="D10" s="23" t="n">
        <v>0</v>
      </c>
      <c r="E10" s="22"/>
      <c r="F10" s="28" t="s">
        <v>4</v>
      </c>
      <c r="G10" s="25"/>
      <c r="H10" s="30" t="n">
        <v>0</v>
      </c>
      <c r="I10" s="24" t="str">
        <f aca="false">DataEntry!I10</f>
        <v>Second Loan Amount</v>
      </c>
      <c r="J10" s="22"/>
      <c r="K10" s="22"/>
      <c r="L10" s="27"/>
      <c r="N10" s="31"/>
    </row>
    <row r="11" customFormat="false" ht="15.75" hidden="false" customHeight="false" outlineLevel="0" collapsed="false">
      <c r="A11" s="21" t="str">
        <f aca="false">DataEntry!A11</f>
        <v>Note Rate:</v>
      </c>
      <c r="B11" s="22"/>
      <c r="C11" s="22"/>
      <c r="D11" s="32" t="n">
        <f aca="false">DataEntry!$P$10</f>
        <v>0.06625</v>
      </c>
      <c r="E11" s="22" t="str">
        <f aca="false">DataEntry!E11</f>
        <v>current 30 day lock</v>
      </c>
      <c r="F11" s="22"/>
      <c r="G11" s="25"/>
      <c r="H11" s="33" t="n">
        <f aca="false">H9/H8</f>
        <v>0.9</v>
      </c>
      <c r="I11" s="24" t="str">
        <f aca="false">DataEntry!I11</f>
        <v>Total LTV</v>
      </c>
      <c r="J11" s="22"/>
      <c r="K11" s="34" t="str">
        <f aca="false">IF(H11&gt;0.901,"TO HIGH!"," ")</f>
        <v> </v>
      </c>
      <c r="L11" s="35" t="str">
        <f aca="false">IF(H11&lt;0.801,"TOO LOW!"," ")</f>
        <v> </v>
      </c>
    </row>
    <row r="12" customFormat="false" ht="15.75" hidden="false" customHeight="false" outlineLevel="0" collapsed="false">
      <c r="A12" s="21" t="str">
        <f aca="false">DataEntry!A12</f>
        <v>2nd Lien Rate</v>
      </c>
      <c r="B12" s="22"/>
      <c r="C12" s="22"/>
      <c r="D12" s="36" t="n">
        <v>0</v>
      </c>
      <c r="E12" s="22"/>
      <c r="F12" s="22"/>
      <c r="G12" s="25"/>
      <c r="H12" s="37" t="n">
        <f aca="false">DataEntry!H12</f>
        <v>37165</v>
      </c>
      <c r="I12" s="24" t="str">
        <f aca="false">DataEntry!I12</f>
        <v>Closing Date</v>
      </c>
      <c r="J12" s="22"/>
      <c r="K12" s="22"/>
      <c r="L12" s="27"/>
    </row>
    <row r="13" customFormat="false" ht="15.75" hidden="false" customHeight="false" outlineLevel="0" collapsed="false">
      <c r="A13" s="21" t="str">
        <f aca="false">DataEntry!A13</f>
        <v>Hazard Ins yr:</v>
      </c>
      <c r="B13" s="22"/>
      <c r="C13" s="22"/>
      <c r="D13" s="38" t="n">
        <f aca="false">DataEntry!D13</f>
        <v>900</v>
      </c>
      <c r="E13" s="22" t="str">
        <f aca="false">DataEntry!E13</f>
        <v>Estimate </v>
      </c>
      <c r="F13" s="22"/>
      <c r="G13" s="25"/>
      <c r="H13" s="37" t="n">
        <f aca="false">DataEntry!H13</f>
        <v>37168</v>
      </c>
      <c r="I13" s="24" t="str">
        <f aca="false">DataEntry!I13</f>
        <v>Funding Date (3 days after closing)</v>
      </c>
      <c r="J13" s="22"/>
      <c r="K13" s="22"/>
      <c r="L13" s="27"/>
      <c r="M13" s="0"/>
      <c r="N13" s="0"/>
    </row>
    <row r="14" customFormat="false" ht="15.75" hidden="false" customHeight="false" outlineLevel="0" collapsed="false">
      <c r="A14" s="21" t="str">
        <f aca="false">DataEntry!A14</f>
        <v>Taxes yr:</v>
      </c>
      <c r="B14" s="22"/>
      <c r="C14" s="22"/>
      <c r="D14" s="38" t="n">
        <f aca="false">DataEntry!D14</f>
        <v>4625</v>
      </c>
      <c r="E14" s="22" t="str">
        <f aca="false">DataEntry!E14</f>
        <v>Estimate @ 2.5%</v>
      </c>
      <c r="F14" s="22"/>
      <c r="G14" s="25"/>
      <c r="H14" s="36" t="str">
        <f aca="false">DataEntry!H14</f>
        <v>rate/term refi</v>
      </c>
      <c r="I14" s="24" t="str">
        <f aca="false">DataEntry!I14</f>
        <v>Transaction Type</v>
      </c>
      <c r="J14" s="22"/>
      <c r="K14" s="22"/>
      <c r="L14" s="27"/>
      <c r="M14" s="0"/>
      <c r="N14" s="0"/>
    </row>
    <row r="15" customFormat="false" ht="9" hidden="false" customHeight="true" outlineLevel="0" collapsed="false">
      <c r="A15" s="39" t="s">
        <v>4</v>
      </c>
      <c r="B15" s="7"/>
      <c r="C15" s="7"/>
      <c r="D15" s="7"/>
      <c r="E15" s="7"/>
      <c r="F15" s="7"/>
      <c r="G15" s="7"/>
      <c r="H15" s="7"/>
      <c r="I15" s="7"/>
      <c r="J15" s="7"/>
      <c r="K15" s="7"/>
      <c r="L15" s="40"/>
      <c r="M15" s="0"/>
      <c r="N15" s="0"/>
    </row>
    <row r="16" customFormat="false" ht="15" hidden="false" customHeight="true" outlineLevel="0" collapsed="false">
      <c r="A16" s="41" t="s">
        <v>11</v>
      </c>
      <c r="B16" s="42"/>
      <c r="C16" s="42"/>
      <c r="D16" s="42"/>
      <c r="E16" s="43"/>
      <c r="F16" s="44"/>
      <c r="G16" s="45" t="s">
        <v>12</v>
      </c>
      <c r="H16" s="42"/>
      <c r="I16" s="42"/>
      <c r="J16" s="42"/>
      <c r="K16" s="42"/>
      <c r="L16" s="46"/>
      <c r="M16" s="0"/>
      <c r="N16" s="0"/>
    </row>
    <row r="17" customFormat="false" ht="13.5" hidden="false" customHeight="true" outlineLevel="0" collapsed="false">
      <c r="A17" s="47"/>
      <c r="B17" s="22" t="n">
        <f aca="false">DataEntry!B17</f>
        <v>801</v>
      </c>
      <c r="C17" s="48" t="n">
        <f aca="false">F6</f>
        <v>1</v>
      </c>
      <c r="D17" s="24" t="str">
        <f aca="false">DataEntry!D17</f>
        <v>total loan points</v>
      </c>
      <c r="E17" s="49" t="n">
        <f aca="false">C17*H9/100</f>
        <v>1665</v>
      </c>
      <c r="F17" s="50"/>
      <c r="G17" s="51" t="n">
        <f aca="false">DataEntry!G17</f>
        <v>4</v>
      </c>
      <c r="H17" s="24" t="str">
        <f aca="false">DataEntry!H17</f>
        <v>Days of Interim Interest</v>
      </c>
      <c r="I17" s="22"/>
      <c r="J17" s="52" t="n">
        <f aca="false">$H$9*$D$11/365</f>
        <v>30.2208904109589</v>
      </c>
      <c r="K17" s="24" t="s">
        <v>13</v>
      </c>
      <c r="L17" s="53" t="n">
        <f aca="false">J17*G17</f>
        <v>120.883561643836</v>
      </c>
      <c r="M17" s="0"/>
      <c r="N17" s="0"/>
    </row>
    <row r="18" customFormat="false" ht="13.5" hidden="false" customHeight="true" outlineLevel="0" collapsed="false">
      <c r="A18" s="47"/>
      <c r="B18" s="22" t="n">
        <f aca="false">DataEntry!B18</f>
        <v>802</v>
      </c>
      <c r="C18" s="54" t="n">
        <v>0</v>
      </c>
      <c r="D18" s="24" t="str">
        <f aca="false">DataEntry!D18</f>
        <v>escrow waiver fee</v>
      </c>
      <c r="E18" s="49" t="n">
        <f aca="false">C18*H9/100</f>
        <v>0</v>
      </c>
      <c r="F18" s="50"/>
      <c r="G18" s="51" t="n">
        <f aca="false">DataEntry!G18</f>
        <v>11</v>
      </c>
      <c r="H18" s="24" t="str">
        <f aca="false">DataEntry!H18</f>
        <v>Est Mo Taxes*</v>
      </c>
      <c r="I18" s="22"/>
      <c r="J18" s="52" t="n">
        <f aca="false">D14/12</f>
        <v>385.416666666667</v>
      </c>
      <c r="K18" s="24" t="s">
        <v>14</v>
      </c>
      <c r="L18" s="53" t="n">
        <f aca="false">G18*J18</f>
        <v>4239.58333333333</v>
      </c>
      <c r="M18" s="0"/>
      <c r="N18" s="0"/>
      <c r="O18" s="55"/>
    </row>
    <row r="19" customFormat="false" ht="13.5" hidden="false" customHeight="true" outlineLevel="0" collapsed="false">
      <c r="A19" s="47"/>
      <c r="B19" s="22" t="n">
        <f aca="false">DataEntry!B19</f>
        <v>803</v>
      </c>
      <c r="C19" s="22"/>
      <c r="D19" s="24" t="str">
        <f aca="false">DataEntry!D19</f>
        <v>Appraisal </v>
      </c>
      <c r="E19" s="49" t="n">
        <f aca="false">DataEntry!E19</f>
        <v>325</v>
      </c>
      <c r="F19" s="50"/>
      <c r="G19" s="51" t="n">
        <f aca="false">DataEntry!G19</f>
        <v>4</v>
      </c>
      <c r="H19" s="24" t="str">
        <f aca="false">DataEntry!H19</f>
        <v>Est Mo Hazard Ins*</v>
      </c>
      <c r="I19" s="22"/>
      <c r="J19" s="52" t="n">
        <f aca="false">D13/12</f>
        <v>75</v>
      </c>
      <c r="K19" s="24" t="s">
        <v>14</v>
      </c>
      <c r="L19" s="53" t="n">
        <f aca="false">G19*J19</f>
        <v>300</v>
      </c>
      <c r="M19" s="0" t="s">
        <v>4</v>
      </c>
      <c r="N19" s="0"/>
    </row>
    <row r="20" customFormat="false" ht="13.5" hidden="false" customHeight="true" outlineLevel="0" collapsed="false">
      <c r="A20" s="47"/>
      <c r="B20" s="22" t="n">
        <f aca="false">DataEntry!B20</f>
        <v>804</v>
      </c>
      <c r="C20" s="22"/>
      <c r="D20" s="24" t="str">
        <f aca="false">DataEntry!D20</f>
        <v>Credit Report</v>
      </c>
      <c r="E20" s="49" t="n">
        <f aca="false">DataEntry!E20</f>
        <v>50</v>
      </c>
      <c r="F20" s="50"/>
      <c r="G20" s="51" t="n">
        <f aca="false">DataEntry!G20</f>
        <v>0</v>
      </c>
      <c r="H20" s="24" t="str">
        <f aca="false">DataEntry!H20</f>
        <v>Mo Mortgage Insurance</v>
      </c>
      <c r="I20" s="22"/>
      <c r="J20" s="52" t="n">
        <f aca="false">H9*0.0052/12</f>
        <v>72.15</v>
      </c>
      <c r="K20" s="24" t="s">
        <v>14</v>
      </c>
      <c r="L20" s="53" t="n">
        <f aca="false">G20*J20</f>
        <v>0</v>
      </c>
    </row>
    <row r="21" customFormat="false" ht="13.5" hidden="false" customHeight="true" outlineLevel="0" collapsed="false">
      <c r="A21" s="47"/>
      <c r="B21" s="22" t="n">
        <f aca="false">DataEntry!B21</f>
        <v>805</v>
      </c>
      <c r="C21" s="22"/>
      <c r="D21" s="24" t="str">
        <f aca="false">DataEntry!D21</f>
        <v>Application Fee</v>
      </c>
      <c r="E21" s="49" t="n">
        <f aca="false">DataEntry!E21</f>
        <v>0</v>
      </c>
      <c r="F21" s="50"/>
      <c r="G21" s="51" t="n">
        <f aca="false">DataEntry!G21</f>
        <v>0</v>
      </c>
      <c r="H21" s="24" t="str">
        <f aca="false">DataEntry!H21</f>
        <v>HOA fee</v>
      </c>
      <c r="I21" s="22"/>
      <c r="J21" s="52" t="n">
        <v>0</v>
      </c>
      <c r="K21" s="24" t="s">
        <v>14</v>
      </c>
      <c r="L21" s="53" t="n">
        <f aca="false">G21*J21</f>
        <v>0</v>
      </c>
    </row>
    <row r="22" customFormat="false" ht="13.5" hidden="false" customHeight="true" outlineLevel="0" collapsed="false">
      <c r="A22" s="47"/>
      <c r="B22" s="22" t="n">
        <f aca="false">DataEntry!B22</f>
        <v>828</v>
      </c>
      <c r="C22" s="22"/>
      <c r="D22" s="24" t="str">
        <f aca="false">DataEntry!D22</f>
        <v>Underwriting</v>
      </c>
      <c r="E22" s="49" t="n">
        <f aca="false">DataEntry!E22</f>
        <v>250</v>
      </c>
      <c r="F22" s="50"/>
      <c r="G22" s="56"/>
      <c r="H22" s="24" t="s">
        <v>4</v>
      </c>
      <c r="I22" s="22"/>
      <c r="J22" s="22"/>
      <c r="K22" s="57" t="s">
        <v>15</v>
      </c>
      <c r="L22" s="58" t="n">
        <f aca="false">SUM(L17:L21)</f>
        <v>4660.46689497717</v>
      </c>
    </row>
    <row r="23" customFormat="false" ht="13.5" hidden="false" customHeight="true" outlineLevel="0" collapsed="false">
      <c r="A23" s="47"/>
      <c r="B23" s="22" t="n">
        <f aca="false">DataEntry!B23</f>
        <v>809</v>
      </c>
      <c r="C23" s="22"/>
      <c r="D23" s="24" t="str">
        <f aca="false">DataEntry!D23</f>
        <v>Wire/Funding</v>
      </c>
      <c r="E23" s="49" t="n">
        <f aca="false">DataEntry!E23</f>
        <v>0</v>
      </c>
      <c r="F23" s="50"/>
      <c r="G23" s="59" t="s">
        <v>16</v>
      </c>
      <c r="H23" s="60"/>
      <c r="I23" s="60"/>
      <c r="J23" s="60"/>
      <c r="K23" s="60"/>
      <c r="L23" s="61"/>
    </row>
    <row r="24" customFormat="false" ht="15" hidden="false" customHeight="true" outlineLevel="0" collapsed="false">
      <c r="A24" s="47"/>
      <c r="B24" s="22" t="n">
        <f aca="false">DataEntry!B24</f>
        <v>810</v>
      </c>
      <c r="C24" s="22"/>
      <c r="D24" s="24" t="str">
        <f aca="false">DataEntry!D24</f>
        <v>Tax Service</v>
      </c>
      <c r="E24" s="49" t="n">
        <f aca="false">DataEntry!E24</f>
        <v>110</v>
      </c>
      <c r="F24" s="50" t="s">
        <v>4</v>
      </c>
      <c r="G24" s="45" t="s">
        <v>17</v>
      </c>
      <c r="H24" s="62"/>
      <c r="I24" s="62"/>
      <c r="J24" s="62"/>
      <c r="K24" s="62"/>
      <c r="L24" s="63"/>
    </row>
    <row r="25" customFormat="false" ht="13.5" hidden="false" customHeight="true" outlineLevel="0" collapsed="false">
      <c r="A25" s="47"/>
      <c r="B25" s="22" t="n">
        <f aca="false">DataEntry!B25</f>
        <v>823</v>
      </c>
      <c r="C25" s="22"/>
      <c r="D25" s="24" t="str">
        <f aca="false">DataEntry!D25</f>
        <v>Flood Cert</v>
      </c>
      <c r="E25" s="49" t="n">
        <f aca="false">DataEntry!E25</f>
        <v>35</v>
      </c>
      <c r="F25" s="50" t="s">
        <v>4</v>
      </c>
      <c r="G25" s="64"/>
      <c r="H25" s="65"/>
      <c r="I25" s="65"/>
      <c r="J25" s="65"/>
      <c r="K25" s="65"/>
      <c r="L25" s="66"/>
    </row>
    <row r="26" customFormat="false" ht="13.5" hidden="false" customHeight="true" outlineLevel="0" collapsed="false">
      <c r="A26" s="47"/>
      <c r="B26" s="22" t="n">
        <f aca="false">DataEntry!B26</f>
        <v>827</v>
      </c>
      <c r="C26" s="22"/>
      <c r="D26" s="24" t="str">
        <f aca="false">DataEntry!D26</f>
        <v>Doc Prep Ancillary</v>
      </c>
      <c r="E26" s="49" t="n">
        <f aca="false">DataEntry!E26</f>
        <v>0</v>
      </c>
      <c r="F26" s="50"/>
      <c r="G26" s="56"/>
      <c r="H26" s="24" t="str">
        <f aca="false">DataEntry!H26</f>
        <v>Principal &amp; Interest at </v>
      </c>
      <c r="I26" s="22"/>
      <c r="J26" s="67" t="n">
        <f aca="false">D11</f>
        <v>0.06625</v>
      </c>
      <c r="K26" s="22"/>
      <c r="L26" s="53" t="n">
        <f aca="false">PMT(D11/12,D9,-H9)</f>
        <v>1066.11775019008</v>
      </c>
      <c r="M26" s="2" t="s">
        <v>4</v>
      </c>
    </row>
    <row r="27" customFormat="false" ht="13.5" hidden="false" customHeight="true" outlineLevel="0" collapsed="false">
      <c r="A27" s="47"/>
      <c r="B27" s="22" t="n">
        <f aca="false">DataEntry!B27</f>
        <v>1113</v>
      </c>
      <c r="C27" s="22"/>
      <c r="D27" s="24" t="str">
        <f aca="false">DataEntry!D27</f>
        <v>Delivery </v>
      </c>
      <c r="E27" s="49" t="n">
        <f aca="false">DataEntry!E27</f>
        <v>50</v>
      </c>
      <c r="F27" s="50"/>
      <c r="G27" s="56"/>
      <c r="H27" s="24" t="str">
        <f aca="false">DataEntry!H27</f>
        <v>Taxes</v>
      </c>
      <c r="I27" s="22" t="s">
        <v>4</v>
      </c>
      <c r="J27" s="68"/>
      <c r="K27" s="22"/>
      <c r="L27" s="53" t="n">
        <f aca="false">J18</f>
        <v>385.416666666667</v>
      </c>
    </row>
    <row r="28" customFormat="false" ht="13.5" hidden="false" customHeight="true" outlineLevel="0" collapsed="false">
      <c r="A28" s="47"/>
      <c r="B28" s="22" t="n">
        <f aca="false">DataEntry!B28</f>
        <v>816</v>
      </c>
      <c r="C28" s="22" t="s">
        <v>4</v>
      </c>
      <c r="D28" s="24" t="str">
        <f aca="false">DataEntry!D28</f>
        <v>Processing</v>
      </c>
      <c r="E28" s="49" t="n">
        <f aca="false">DataEntry!E28</f>
        <v>175</v>
      </c>
      <c r="F28" s="50"/>
      <c r="G28" s="56"/>
      <c r="H28" s="24" t="str">
        <f aca="false">DataEntry!H28</f>
        <v>Homeowners Insurance</v>
      </c>
      <c r="I28" s="22"/>
      <c r="J28" s="22"/>
      <c r="K28" s="22"/>
      <c r="L28" s="53" t="n">
        <f aca="false">J19</f>
        <v>75</v>
      </c>
    </row>
    <row r="29" customFormat="false" ht="13.5" hidden="false" customHeight="true" outlineLevel="0" collapsed="false">
      <c r="A29" s="47"/>
      <c r="B29" s="22"/>
      <c r="C29" s="22" t="s">
        <v>4</v>
      </c>
      <c r="D29" s="57" t="s">
        <v>18</v>
      </c>
      <c r="E29" s="69" t="n">
        <f aca="false">SUM(E17:E28)</f>
        <v>2660</v>
      </c>
      <c r="F29" s="50"/>
      <c r="G29" s="56"/>
      <c r="H29" s="24" t="str">
        <f aca="false">DataEntry!H29</f>
        <v>2nd Lien Principal &amp; Interest</v>
      </c>
      <c r="I29" s="22"/>
      <c r="J29" s="22"/>
      <c r="K29" s="22"/>
      <c r="L29" s="53" t="n">
        <f aca="false">PMT(D12/12,180,-H10)</f>
        <v>-0</v>
      </c>
    </row>
    <row r="30" customFormat="false" ht="15" hidden="false" customHeight="true" outlineLevel="0" collapsed="false">
      <c r="A30" s="70" t="s">
        <v>19</v>
      </c>
      <c r="B30" s="71"/>
      <c r="C30" s="71"/>
      <c r="D30" s="72"/>
      <c r="E30" s="73"/>
      <c r="F30" s="74"/>
      <c r="G30" s="56"/>
      <c r="H30" s="24" t="str">
        <f aca="false">DataEntry!H30</f>
        <v>Mortgage Insurance</v>
      </c>
      <c r="I30" s="22"/>
      <c r="J30" s="22"/>
      <c r="K30" s="22"/>
      <c r="L30" s="53" t="n">
        <f aca="false">J20</f>
        <v>72.15</v>
      </c>
    </row>
    <row r="31" customFormat="false" ht="13.5" hidden="false" customHeight="true" outlineLevel="0" collapsed="false">
      <c r="A31" s="47"/>
      <c r="B31" s="22" t="n">
        <f aca="false">DataEntry!B31</f>
        <v>1109</v>
      </c>
      <c r="C31" s="22"/>
      <c r="D31" s="24" t="str">
        <f aca="false">DataEntry!D31</f>
        <v>Lenders Title Policy</v>
      </c>
      <c r="E31" s="75" t="n">
        <f aca="false">IF($H$9&lt;100000,(($H$9-100000)*0.00805)+992-$O$14,(($H$9-100000)*0.00628)+992-DataEntry!O14)</f>
        <v>859.3368</v>
      </c>
      <c r="F31" s="50" t="s">
        <v>4</v>
      </c>
      <c r="G31" s="56"/>
      <c r="H31" s="24" t="str">
        <f aca="false">DataEntry!H31</f>
        <v>Condo/HOA fee</v>
      </c>
      <c r="I31" s="22"/>
      <c r="J31" s="22"/>
      <c r="K31" s="22"/>
      <c r="L31" s="53" t="n">
        <f aca="false">J21</f>
        <v>0</v>
      </c>
    </row>
    <row r="32" customFormat="false" ht="13.5" hidden="false" customHeight="true" outlineLevel="0" collapsed="false">
      <c r="A32" s="47"/>
      <c r="B32" s="22" t="n">
        <f aca="false">DataEntry!B32</f>
        <v>1110</v>
      </c>
      <c r="C32" s="22"/>
      <c r="D32" s="24" t="str">
        <f aca="false">DataEntry!D32</f>
        <v>Owners Title Policy</v>
      </c>
      <c r="E32" s="76" t="str">
        <f aca="false">DataEntry!E32</f>
        <v>not reqd</v>
      </c>
      <c r="F32" s="50" t="s">
        <v>4</v>
      </c>
      <c r="G32" s="56"/>
      <c r="H32" s="24" t="s">
        <v>4</v>
      </c>
      <c r="I32" s="22"/>
      <c r="J32" s="22"/>
      <c r="K32" s="22"/>
      <c r="L32" s="77"/>
    </row>
    <row r="33" customFormat="false" ht="13.5" hidden="false" customHeight="true" outlineLevel="0" collapsed="false">
      <c r="A33" s="47"/>
      <c r="B33" s="22" t="n">
        <f aca="false">DataEntry!B33</f>
        <v>1112</v>
      </c>
      <c r="C33" s="22"/>
      <c r="D33" s="24" t="str">
        <f aca="false">DataEntry!D33</f>
        <v>Settlement</v>
      </c>
      <c r="E33" s="49" t="n">
        <f aca="false">DataEntry!E33</f>
        <v>125</v>
      </c>
      <c r="F33" s="50"/>
      <c r="G33" s="56"/>
      <c r="H33" s="22" t="s">
        <v>4</v>
      </c>
      <c r="I33" s="22"/>
      <c r="J33" s="22"/>
      <c r="K33" s="22"/>
      <c r="L33" s="78"/>
    </row>
    <row r="34" customFormat="false" ht="13.5" hidden="false" customHeight="true" outlineLevel="0" collapsed="false">
      <c r="A34" s="47"/>
      <c r="B34" s="22" t="n">
        <f aca="false">DataEntry!B34</f>
        <v>1113</v>
      </c>
      <c r="C34" s="22"/>
      <c r="D34" s="24" t="str">
        <f aca="false">DataEntry!D34</f>
        <v>Delivery </v>
      </c>
      <c r="E34" s="49" t="n">
        <f aca="false">DataEntry!E34</f>
        <v>50</v>
      </c>
      <c r="F34" s="50"/>
      <c r="G34" s="56"/>
      <c r="H34" s="24" t="s">
        <v>4</v>
      </c>
      <c r="I34" s="22"/>
      <c r="J34" s="22"/>
      <c r="K34" s="57" t="s">
        <v>20</v>
      </c>
      <c r="L34" s="58" t="n">
        <f aca="false">SUM(L26:L32)</f>
        <v>1598.68441685674</v>
      </c>
    </row>
    <row r="35" customFormat="false" ht="13.5" hidden="false" customHeight="true" outlineLevel="0" collapsed="false">
      <c r="A35" s="47"/>
      <c r="B35" s="22" t="n">
        <f aca="false">DataEntry!B35</f>
        <v>1201</v>
      </c>
      <c r="C35" s="22"/>
      <c r="D35" s="24" t="str">
        <f aca="false">DataEntry!D35</f>
        <v>Recording</v>
      </c>
      <c r="E35" s="49" t="n">
        <f aca="false">DataEntry!E35</f>
        <v>75</v>
      </c>
      <c r="F35" s="50"/>
      <c r="G35" s="79"/>
      <c r="H35" s="25"/>
      <c r="I35" s="25"/>
      <c r="J35" s="25"/>
      <c r="K35" s="25"/>
      <c r="L35" s="80"/>
    </row>
    <row r="36" customFormat="false" ht="15" hidden="false" customHeight="true" outlineLevel="0" collapsed="false">
      <c r="A36" s="47"/>
      <c r="B36" s="22" t="n">
        <f aca="false">DataEntry!B36</f>
        <v>1204</v>
      </c>
      <c r="C36" s="22"/>
      <c r="D36" s="24" t="str">
        <f aca="false">DataEntry!D36</f>
        <v>Tax Certificates</v>
      </c>
      <c r="E36" s="49" t="n">
        <f aca="false">DataEntry!E36</f>
        <v>0</v>
      </c>
      <c r="F36" s="50"/>
      <c r="G36" s="45" t="s">
        <v>21</v>
      </c>
      <c r="H36" s="62"/>
      <c r="I36" s="62"/>
      <c r="J36" s="62"/>
      <c r="K36" s="62"/>
      <c r="L36" s="81"/>
    </row>
    <row r="37" customFormat="false" ht="13.5" hidden="false" customHeight="true" outlineLevel="0" collapsed="false">
      <c r="A37" s="47"/>
      <c r="B37" s="22" t="n">
        <f aca="false">DataEntry!B37</f>
        <v>1301</v>
      </c>
      <c r="C37" s="22"/>
      <c r="D37" s="24" t="str">
        <f aca="false">DataEntry!D37</f>
        <v>Survey</v>
      </c>
      <c r="E37" s="49" t="str">
        <f aca="false">DataEntry!E37</f>
        <v>use current?</v>
      </c>
      <c r="F37" s="50"/>
      <c r="G37" s="56"/>
      <c r="H37" s="24" t="str">
        <f aca="false">DataEntry!H37</f>
        <v>Payoff existing loan(s)</v>
      </c>
      <c r="I37" s="22"/>
      <c r="J37" s="22"/>
      <c r="K37" s="22"/>
      <c r="L37" s="53" t="n">
        <f aca="false">DataEntry!L37</f>
        <v>161100</v>
      </c>
    </row>
    <row r="38" customFormat="false" ht="13.5" hidden="false" customHeight="true" outlineLevel="0" collapsed="false">
      <c r="A38" s="47"/>
      <c r="B38" s="22" t="n">
        <f aca="false">DataEntry!B38</f>
        <v>0</v>
      </c>
      <c r="C38" s="22"/>
      <c r="D38" s="24" t="str">
        <f aca="false">DataEntry!D38</f>
        <v>Attorney</v>
      </c>
      <c r="E38" s="49" t="n">
        <f aca="false">DataEntry!E38</f>
        <v>150</v>
      </c>
      <c r="F38" s="50"/>
      <c r="G38" s="56"/>
      <c r="H38" s="24" t="str">
        <f aca="false">DataEntry!H38</f>
        <v>Closing Costs - Lender</v>
      </c>
      <c r="I38" s="22"/>
      <c r="J38" s="22"/>
      <c r="K38" s="22"/>
      <c r="L38" s="53" t="n">
        <f aca="false">E29</f>
        <v>2660</v>
      </c>
    </row>
    <row r="39" customFormat="false" ht="13.5" hidden="false" customHeight="true" outlineLevel="0" collapsed="false">
      <c r="A39" s="47"/>
      <c r="B39" s="22" t="n">
        <f aca="false">DataEntry!B39</f>
        <v>0</v>
      </c>
      <c r="C39" s="22"/>
      <c r="D39" s="24" t="str">
        <f aca="false">DataEntry!D39</f>
        <v>Condo Certification</v>
      </c>
      <c r="E39" s="49" t="n">
        <f aca="false">DataEntry!E39</f>
        <v>0</v>
      </c>
      <c r="F39" s="82"/>
      <c r="G39" s="56"/>
      <c r="H39" s="24" t="str">
        <f aca="false">DataEntry!H39</f>
        <v>Closing Costs - Other</v>
      </c>
      <c r="I39" s="22"/>
      <c r="J39" s="22"/>
      <c r="K39" s="22"/>
      <c r="L39" s="53" t="n">
        <f aca="false">E44</f>
        <v>1259.3368</v>
      </c>
    </row>
    <row r="40" customFormat="false" ht="13.5" hidden="false" customHeight="true" outlineLevel="0" collapsed="false">
      <c r="A40" s="47"/>
      <c r="B40" s="22" t="n">
        <f aca="false">DataEntry!B40</f>
        <v>1302</v>
      </c>
      <c r="C40" s="22"/>
      <c r="D40" s="24" t="str">
        <f aca="false">DataEntry!D40</f>
        <v>2nd lien charges</v>
      </c>
      <c r="E40" s="49" t="n">
        <f aca="false">DataEntry!E40</f>
        <v>0</v>
      </c>
      <c r="F40" s="82"/>
      <c r="G40" s="56"/>
      <c r="H40" s="24" t="str">
        <f aca="false">DataEntry!H40</f>
        <v>Prepaids</v>
      </c>
      <c r="I40" s="22"/>
      <c r="J40" s="22"/>
      <c r="K40" s="22"/>
      <c r="L40" s="53" t="n">
        <f aca="false">L22</f>
        <v>4660.46689497717</v>
      </c>
    </row>
    <row r="41" customFormat="false" ht="13.5" hidden="false" customHeight="true" outlineLevel="0" collapsed="false">
      <c r="A41" s="47"/>
      <c r="B41" s="22" t="n">
        <f aca="false">DataEntry!B41</f>
        <v>0</v>
      </c>
      <c r="C41" s="22"/>
      <c r="D41" s="24" t="str">
        <f aca="false">DataEntry!D41</f>
        <v>HOA Transfer fee</v>
      </c>
      <c r="E41" s="49" t="n">
        <f aca="false">DataEntry!E41</f>
        <v>0</v>
      </c>
      <c r="F41" s="82"/>
      <c r="G41" s="56"/>
      <c r="H41" s="24" t="str">
        <f aca="false">DataEntry!H41</f>
        <v>Subtotal</v>
      </c>
      <c r="I41" s="22"/>
      <c r="J41" s="22"/>
      <c r="K41" s="22"/>
      <c r="L41" s="58" t="n">
        <f aca="false">SUM(L37:L40)</f>
        <v>169679.803694977</v>
      </c>
    </row>
    <row r="42" customFormat="false" ht="13.5" hidden="false" customHeight="true" outlineLevel="0" collapsed="false">
      <c r="A42" s="47"/>
      <c r="B42" s="22" t="n">
        <f aca="false">DataEntry!B42</f>
        <v>0</v>
      </c>
      <c r="C42" s="22"/>
      <c r="D42" s="24" t="str">
        <f aca="false">DataEntry!D42</f>
        <v> </v>
      </c>
      <c r="E42" s="49" t="n">
        <f aca="false">DataEntry!E42</f>
        <v>0</v>
      </c>
      <c r="F42" s="82"/>
      <c r="G42" s="56"/>
      <c r="H42" s="24"/>
      <c r="I42" s="22"/>
      <c r="J42" s="22"/>
      <c r="K42" s="22"/>
      <c r="L42" s="83" t="s">
        <v>4</v>
      </c>
    </row>
    <row r="43" customFormat="false" ht="13.5" hidden="false" customHeight="true" outlineLevel="0" collapsed="false">
      <c r="A43" s="47"/>
      <c r="B43" s="22"/>
      <c r="C43" s="22"/>
      <c r="D43" s="22"/>
      <c r="E43" s="84"/>
      <c r="F43" s="82"/>
      <c r="G43" s="56"/>
      <c r="H43" s="24" t="str">
        <f aca="false">DataEntry!H43</f>
        <v>less new loan amount</v>
      </c>
      <c r="I43" s="22"/>
      <c r="J43" s="22"/>
      <c r="K43" s="22"/>
      <c r="L43" s="85" t="n">
        <f aca="false">-H9</f>
        <v>-166500</v>
      </c>
    </row>
    <row r="44" customFormat="false" ht="13.5" hidden="false" customHeight="true" outlineLevel="0" collapsed="false">
      <c r="A44" s="47"/>
      <c r="B44" s="24"/>
      <c r="C44" s="22"/>
      <c r="D44" s="57" t="s">
        <v>22</v>
      </c>
      <c r="E44" s="86" t="n">
        <f aca="false">SUM(E31:E43)</f>
        <v>1259.3368</v>
      </c>
      <c r="F44" s="82"/>
      <c r="G44" s="56"/>
      <c r="H44" s="24" t="str">
        <f aca="false">DataEntry!H44</f>
        <v>Closing Cost Deposit</v>
      </c>
      <c r="I44" s="22"/>
      <c r="J44" s="22"/>
      <c r="K44" s="22"/>
      <c r="L44" s="53" t="n">
        <f aca="false">DataEntry!L44</f>
        <v>-375</v>
      </c>
    </row>
    <row r="45" customFormat="false" ht="13.5" hidden="false" customHeight="true" outlineLevel="0" collapsed="false">
      <c r="A45" s="47"/>
      <c r="B45" s="65"/>
      <c r="C45" s="65"/>
      <c r="D45" s="65"/>
      <c r="E45" s="65"/>
      <c r="F45" s="87"/>
      <c r="G45" s="56"/>
      <c r="H45" s="24" t="str">
        <f aca="false">DataEntry!H45</f>
        <v>less lender credit </v>
      </c>
      <c r="I45" s="22"/>
      <c r="J45" s="22"/>
      <c r="K45" s="22"/>
      <c r="L45" s="85" t="str">
        <f aca="false">DataEntry!L45</f>
        <v>tbd</v>
      </c>
    </row>
    <row r="46" customFormat="false" ht="17.25" hidden="false" customHeight="true" outlineLevel="0" collapsed="false">
      <c r="A46" s="47"/>
      <c r="B46" s="65"/>
      <c r="C46" s="65"/>
      <c r="D46" s="65" t="s">
        <v>4</v>
      </c>
      <c r="E46" s="88" t="s">
        <v>4</v>
      </c>
      <c r="F46" s="87"/>
      <c r="G46" s="56"/>
      <c r="H46" s="0"/>
      <c r="I46" s="89"/>
      <c r="J46" s="89"/>
      <c r="K46" s="90" t="str">
        <f aca="false">IF(L46&lt;0,"Cash Due to Owner at Closing =","Cash Due to Mortgage Company at Closing =")</f>
        <v>Cash Due to Mortgage Company at Closing =</v>
      </c>
      <c r="L46" s="91" t="n">
        <f aca="false">SUM(L41:L45)</f>
        <v>2804.80369497716</v>
      </c>
    </row>
    <row r="47" customFormat="false" ht="12.95" hidden="false" customHeight="true" outlineLevel="0" collapsed="false">
      <c r="A47" s="92"/>
      <c r="B47" s="93"/>
      <c r="C47" s="93"/>
      <c r="D47" s="93" t="s">
        <v>4</v>
      </c>
      <c r="E47" s="93"/>
      <c r="F47" s="93"/>
      <c r="G47" s="94" t="s">
        <v>23</v>
      </c>
      <c r="H47" s="95"/>
      <c r="I47" s="96"/>
      <c r="J47" s="96"/>
      <c r="K47" s="96"/>
      <c r="L47" s="97"/>
    </row>
    <row r="48" customFormat="false" ht="2.1" hidden="false" customHeight="true" outlineLevel="0" collapsed="false">
      <c r="A48" s="98"/>
      <c r="B48" s="98"/>
      <c r="C48" s="98"/>
      <c r="D48" s="98"/>
      <c r="E48" s="98"/>
      <c r="F48" s="98"/>
      <c r="G48" s="98"/>
      <c r="H48" s="99"/>
      <c r="I48" s="98"/>
      <c r="J48" s="98"/>
      <c r="K48" s="98"/>
      <c r="L48" s="100"/>
    </row>
    <row r="49" customFormat="false" ht="60" hidden="false" customHeight="true" outlineLevel="0" collapsed="false">
      <c r="A49" s="101" t="s">
        <v>4</v>
      </c>
      <c r="B49" s="101"/>
      <c r="C49" s="102" t="s">
        <v>24</v>
      </c>
      <c r="D49" s="102"/>
      <c r="E49" s="102"/>
      <c r="F49" s="102"/>
      <c r="G49" s="102"/>
      <c r="H49" s="102"/>
      <c r="I49" s="102"/>
      <c r="J49" s="102"/>
      <c r="K49" s="102"/>
      <c r="L49" s="101"/>
    </row>
    <row r="50" customFormat="false" ht="45" hidden="false" customHeight="true" outlineLevel="0" collapsed="false">
      <c r="A50" s="101" t="s">
        <v>4</v>
      </c>
      <c r="B50" s="101"/>
      <c r="C50" s="102" t="s">
        <v>25</v>
      </c>
      <c r="D50" s="102"/>
      <c r="E50" s="102"/>
      <c r="F50" s="102"/>
      <c r="G50" s="102"/>
      <c r="H50" s="102"/>
      <c r="I50" s="102"/>
      <c r="J50" s="102"/>
      <c r="K50" s="102"/>
      <c r="L50" s="101"/>
    </row>
    <row r="51" customFormat="false" ht="12" hidden="false" customHeight="true" outlineLevel="0" collapsed="false"/>
    <row r="52" customFormat="false" ht="15.75" hidden="false" customHeight="false" outlineLevel="0" collapsed="false">
      <c r="A52" s="6" t="s">
        <v>26</v>
      </c>
      <c r="D52" s="7"/>
      <c r="E52" s="7"/>
      <c r="F52" s="7"/>
      <c r="G52" s="7"/>
      <c r="H52" s="7"/>
      <c r="I52" s="7"/>
      <c r="J52" s="8" t="s">
        <v>27</v>
      </c>
      <c r="K52" s="7"/>
      <c r="L52" s="7"/>
    </row>
    <row r="53" customFormat="false" ht="14.25" hidden="false" customHeight="true" outlineLevel="0" collapsed="false"/>
    <row r="54" customFormat="false" ht="15.75" hidden="false" customHeight="false" outlineLevel="0" collapsed="false">
      <c r="A54" s="6" t="s">
        <v>28</v>
      </c>
      <c r="D54" s="7"/>
      <c r="E54" s="7"/>
      <c r="F54" s="7"/>
      <c r="G54" s="7"/>
      <c r="H54" s="7"/>
      <c r="I54" s="7"/>
      <c r="J54" s="8" t="s">
        <v>27</v>
      </c>
      <c r="K54" s="7"/>
      <c r="L54" s="7"/>
    </row>
    <row r="55" customFormat="false" ht="9.75" hidden="false" customHeight="true" outlineLevel="0" collapsed="false"/>
    <row r="56" customFormat="false" ht="15.75" hidden="false" customHeight="false" outlineLevel="0" collapsed="false">
      <c r="A56" s="103" t="str">
        <f aca="false">DataEntry!$A$52</f>
        <v>Estimate provided by Linda Rhoden.  Phone# 713-802-6025</v>
      </c>
      <c r="B56" s="103"/>
      <c r="C56" s="103"/>
      <c r="D56" s="103"/>
      <c r="E56" s="103"/>
      <c r="F56" s="103"/>
      <c r="G56" s="103"/>
      <c r="H56" s="103"/>
      <c r="I56" s="103"/>
      <c r="J56" s="103"/>
      <c r="K56" s="103"/>
      <c r="L56" s="103"/>
    </row>
    <row r="57" customFormat="false" ht="15.75" hidden="false" customHeight="false" outlineLevel="0" collapsed="false">
      <c r="A57" s="103" t="str">
        <f aca="false">DataEntry!$A$53</f>
        <v>888-852-7645 ext. 6025 Toll free / 713-802-6035 Fax</v>
      </c>
      <c r="B57" s="103"/>
      <c r="C57" s="103"/>
      <c r="D57" s="103"/>
      <c r="E57" s="103"/>
      <c r="F57" s="103"/>
      <c r="G57" s="103"/>
      <c r="H57" s="103"/>
      <c r="I57" s="103"/>
      <c r="J57" s="103"/>
      <c r="K57" s="103"/>
      <c r="L57" s="103"/>
    </row>
  </sheetData>
  <mergeCells count="6">
    <mergeCell ref="A1:L1"/>
    <mergeCell ref="A2:L2"/>
    <mergeCell ref="C49:K49"/>
    <mergeCell ref="C50:K50"/>
    <mergeCell ref="A56:L56"/>
    <mergeCell ref="A57:L57"/>
  </mergeCells>
  <printOptions headings="false" gridLines="false" gridLinesSet="true" horizontalCentered="true" verticalCentered="false"/>
  <pageMargins left="0.35" right="0.170138888888889" top="0.5" bottom="0.29027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57"/>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H11" activeCellId="0" sqref="H11"/>
    </sheetView>
  </sheetViews>
  <sheetFormatPr defaultColWidth="9.76953125" defaultRowHeight="15.75" customHeight="true" zeroHeight="false" outlineLevelRow="0" outlineLevelCol="0"/>
  <cols>
    <col collapsed="false" customWidth="true" hidden="false" outlineLevel="0" max="1" min="1" style="1" width="1.77"/>
    <col collapsed="false" customWidth="true" hidden="false" outlineLevel="0" max="2" min="2" style="1" width="6.77"/>
    <col collapsed="false" customWidth="true" hidden="false" outlineLevel="0" max="3" min="3" style="1" width="4.65"/>
    <col collapsed="false" customWidth="true" hidden="false" outlineLevel="0" max="4" min="4" style="1" width="12.77"/>
    <col collapsed="false" customWidth="true" hidden="false" outlineLevel="0" max="5" min="5" style="1" width="7.77"/>
    <col collapsed="false" customWidth="true" hidden="false" outlineLevel="0" max="7" min="6" style="1" width="4.77"/>
    <col collapsed="false" customWidth="false" hidden="false" outlineLevel="0" max="8" min="8" style="1" width="9.77"/>
    <col collapsed="false" customWidth="true" hidden="false" outlineLevel="0" max="9" min="9" style="1" width="6.21"/>
    <col collapsed="false" customWidth="true" hidden="false" outlineLevel="0" max="10" min="10" style="1" width="7.88"/>
    <col collapsed="false" customWidth="true" hidden="false" outlineLevel="0" max="11" min="11" style="1" width="9.55"/>
    <col collapsed="false" customWidth="true" hidden="false" outlineLevel="0" max="12" min="12" style="1" width="9.1"/>
    <col collapsed="false" customWidth="false" hidden="false" outlineLevel="0" max="257" min="13" style="2" width="9.77"/>
  </cols>
  <sheetData>
    <row r="1" customFormat="false" ht="22.5" hidden="false" customHeight="false" outlineLevel="0" collapsed="false">
      <c r="A1" s="3" t="s">
        <v>0</v>
      </c>
      <c r="B1" s="3"/>
      <c r="C1" s="3"/>
      <c r="D1" s="3"/>
      <c r="E1" s="3"/>
      <c r="F1" s="3"/>
      <c r="G1" s="3"/>
      <c r="H1" s="3"/>
      <c r="I1" s="3"/>
      <c r="J1" s="3"/>
      <c r="K1" s="3"/>
      <c r="L1" s="3"/>
    </row>
    <row r="2" customFormat="false" ht="18.75" hidden="false" customHeight="true" outlineLevel="0" collapsed="false">
      <c r="A2" s="3" t="s">
        <v>1</v>
      </c>
      <c r="B2" s="3"/>
      <c r="C2" s="3"/>
      <c r="D2" s="3"/>
      <c r="E2" s="3"/>
      <c r="F2" s="3"/>
      <c r="G2" s="3"/>
      <c r="H2" s="3"/>
      <c r="I2" s="3"/>
      <c r="J2" s="3"/>
      <c r="K2" s="3"/>
      <c r="L2" s="3"/>
    </row>
    <row r="3" customFormat="false" ht="18.75" hidden="false" customHeight="true" outlineLevel="0" collapsed="false">
      <c r="A3" s="4"/>
      <c r="B3" s="5"/>
      <c r="C3" s="5"/>
      <c r="D3" s="5"/>
      <c r="E3" s="5"/>
      <c r="F3" s="5"/>
      <c r="G3" s="5"/>
      <c r="H3" s="5"/>
      <c r="I3" s="5"/>
      <c r="J3" s="5"/>
      <c r="K3" s="5"/>
      <c r="L3" s="5"/>
    </row>
    <row r="4" customFormat="false" ht="15.75" hidden="false" customHeight="false" outlineLevel="0" collapsed="false">
      <c r="A4" s="6" t="s">
        <v>2</v>
      </c>
      <c r="C4" s="7"/>
      <c r="D4" s="7" t="str">
        <f aca="false">DataEntry!$D$4</f>
        <v>Paul Thomas refi</v>
      </c>
      <c r="E4" s="7"/>
      <c r="F4" s="7"/>
      <c r="G4" s="8"/>
      <c r="H4" s="7"/>
      <c r="I4" s="7"/>
      <c r="J4" s="7" t="s">
        <v>3</v>
      </c>
      <c r="K4" s="9" t="n">
        <f aca="false">DataEntry!$K$4</f>
        <v>37133</v>
      </c>
      <c r="L4" s="7" t="s">
        <v>4</v>
      </c>
    </row>
    <row r="5" customFormat="false" ht="15.75" hidden="false" customHeight="false" outlineLevel="0" collapsed="false">
      <c r="A5" s="6" t="s">
        <v>5</v>
      </c>
      <c r="C5" s="7"/>
      <c r="D5" s="7"/>
      <c r="E5" s="10" t="s">
        <v>36</v>
      </c>
      <c r="F5" s="11" t="n">
        <f aca="false">DataEntry!$F$5</f>
        <v>30</v>
      </c>
      <c r="G5" s="12" t="s">
        <v>30</v>
      </c>
      <c r="H5" s="13"/>
      <c r="I5" s="13"/>
      <c r="J5" s="13"/>
      <c r="K5" s="13"/>
      <c r="L5" s="7"/>
    </row>
    <row r="6" customFormat="false" ht="16.5" hidden="false" customHeight="true" outlineLevel="0" collapsed="false">
      <c r="B6" s="14"/>
      <c r="C6" s="14"/>
      <c r="D6" s="15"/>
      <c r="E6" s="16" t="s">
        <v>8</v>
      </c>
      <c r="F6" s="17" t="n">
        <f aca="false">DataEntry!$O$11</f>
        <v>1</v>
      </c>
      <c r="G6" s="14"/>
      <c r="H6" s="14" t="s">
        <v>31</v>
      </c>
    </row>
    <row r="7" customFormat="false" ht="15.75" hidden="false" customHeight="false" outlineLevel="0" collapsed="false">
      <c r="A7" s="18" t="s">
        <v>10</v>
      </c>
      <c r="B7" s="19"/>
      <c r="C7" s="19"/>
      <c r="D7" s="19"/>
      <c r="E7" s="19"/>
      <c r="F7" s="19"/>
      <c r="G7" s="19"/>
      <c r="H7" s="19"/>
      <c r="I7" s="19"/>
      <c r="J7" s="19"/>
      <c r="K7" s="19"/>
      <c r="L7" s="20"/>
    </row>
    <row r="8" customFormat="false" ht="15.75" hidden="false" customHeight="false" outlineLevel="0" collapsed="false">
      <c r="A8" s="21" t="str">
        <f aca="false">DataEntry!A8</f>
        <v>Type of Loan, 1st:</v>
      </c>
      <c r="B8" s="22"/>
      <c r="C8" s="22"/>
      <c r="D8" s="23" t="n">
        <f aca="false">DataEntry!D8</f>
        <v>30</v>
      </c>
      <c r="E8" s="24" t="str">
        <f aca="false">DataEntry!E8</f>
        <v>year fixed</v>
      </c>
      <c r="F8" s="22"/>
      <c r="G8" s="25"/>
      <c r="H8" s="26" t="n">
        <f aca="false">DataEntry!H8</f>
        <v>185000</v>
      </c>
      <c r="I8" s="24" t="str">
        <f aca="false">DataEntry!I8</f>
        <v>Estimated Value of Home</v>
      </c>
      <c r="J8" s="22"/>
      <c r="K8" s="22"/>
      <c r="L8" s="27"/>
    </row>
    <row r="9" customFormat="false" ht="15.75" hidden="false" customHeight="false" outlineLevel="0" collapsed="false">
      <c r="A9" s="21" t="str">
        <f aca="false">DataEntry!A9</f>
        <v>Loan Term - 1st</v>
      </c>
      <c r="B9" s="22"/>
      <c r="C9" s="22"/>
      <c r="D9" s="25" t="n">
        <f aca="false">DataEntry!D9</f>
        <v>360</v>
      </c>
      <c r="E9" s="22" t="s">
        <v>4</v>
      </c>
      <c r="F9" s="28" t="s">
        <v>4</v>
      </c>
      <c r="G9" s="25"/>
      <c r="H9" s="104" t="n">
        <f aca="false">0.8*H8</f>
        <v>148000</v>
      </c>
      <c r="I9" s="24" t="str">
        <f aca="false">DataEntry!I9</f>
        <v>New first loan amount </v>
      </c>
      <c r="J9" s="22"/>
      <c r="K9" s="22"/>
      <c r="L9" s="27"/>
    </row>
    <row r="10" customFormat="false" ht="15.75" hidden="false" customHeight="false" outlineLevel="0" collapsed="false">
      <c r="A10" s="21" t="str">
        <f aca="false">DataEntry!A10</f>
        <v>Loan Term - 2nd</v>
      </c>
      <c r="B10" s="22"/>
      <c r="C10" s="22"/>
      <c r="D10" s="23" t="n">
        <v>180</v>
      </c>
      <c r="E10" s="22"/>
      <c r="F10" s="28" t="s">
        <v>4</v>
      </c>
      <c r="G10" s="25"/>
      <c r="H10" s="29" t="n">
        <v>17200</v>
      </c>
      <c r="I10" s="24" t="str">
        <f aca="false">DataEntry!I10</f>
        <v>Second Loan Amount</v>
      </c>
      <c r="J10" s="22"/>
      <c r="K10" s="22"/>
      <c r="L10" s="27"/>
    </row>
    <row r="11" customFormat="false" ht="15.75" hidden="false" customHeight="false" outlineLevel="0" collapsed="false">
      <c r="A11" s="21" t="str">
        <f aca="false">DataEntry!A11</f>
        <v>Note Rate:</v>
      </c>
      <c r="B11" s="22"/>
      <c r="C11" s="22"/>
      <c r="D11" s="32" t="n">
        <f aca="false">DataEntry!$P$11</f>
        <v>0.06625</v>
      </c>
      <c r="E11" s="22" t="str">
        <f aca="false">DataEntry!E11</f>
        <v>current 30 day lock</v>
      </c>
      <c r="F11" s="22"/>
      <c r="G11" s="25"/>
      <c r="H11" s="33" t="n">
        <f aca="false">(H9+H10)/H8</f>
        <v>0.892972972972973</v>
      </c>
      <c r="I11" s="24" t="str">
        <f aca="false">DataEntry!I11</f>
        <v>Total LTV</v>
      </c>
      <c r="J11" s="22"/>
      <c r="K11" s="34" t="str">
        <f aca="false">IF(H11&gt;0.901,"TO HIGH!"," ")</f>
        <v> </v>
      </c>
      <c r="L11" s="35" t="str">
        <f aca="false">IF(H11&lt;0.801,"TOO LOW!"," ")</f>
        <v> </v>
      </c>
    </row>
    <row r="12" customFormat="false" ht="15.75" hidden="false" customHeight="false" outlineLevel="0" collapsed="false">
      <c r="A12" s="21" t="str">
        <f aca="false">DataEntry!A12</f>
        <v>2nd Lien Rate</v>
      </c>
      <c r="B12" s="22"/>
      <c r="C12" s="22"/>
      <c r="D12" s="36" t="n">
        <v>0.0899</v>
      </c>
      <c r="E12" s="22"/>
      <c r="F12" s="22"/>
      <c r="G12" s="25"/>
      <c r="H12" s="37" t="n">
        <f aca="false">DataEntry!H12</f>
        <v>37165</v>
      </c>
      <c r="I12" s="24" t="str">
        <f aca="false">DataEntry!I12</f>
        <v>Closing Date</v>
      </c>
      <c r="J12" s="22"/>
      <c r="K12" s="22"/>
      <c r="L12" s="27"/>
    </row>
    <row r="13" customFormat="false" ht="15.75" hidden="false" customHeight="false" outlineLevel="0" collapsed="false">
      <c r="A13" s="21" t="str">
        <f aca="false">DataEntry!A13</f>
        <v>Hazard Ins yr:</v>
      </c>
      <c r="B13" s="22"/>
      <c r="C13" s="22"/>
      <c r="D13" s="38" t="n">
        <f aca="false">DataEntry!D13</f>
        <v>900</v>
      </c>
      <c r="E13" s="22" t="str">
        <f aca="false">DataEntry!E13</f>
        <v>Estimate </v>
      </c>
      <c r="F13" s="22"/>
      <c r="G13" s="25"/>
      <c r="H13" s="37" t="n">
        <f aca="false">DataEntry!H13</f>
        <v>37168</v>
      </c>
      <c r="I13" s="24" t="str">
        <f aca="false">DataEntry!I13</f>
        <v>Funding Date (3 days after closing)</v>
      </c>
      <c r="J13" s="22"/>
      <c r="K13" s="22"/>
      <c r="L13" s="27"/>
      <c r="M13" s="0"/>
      <c r="N13" s="0"/>
    </row>
    <row r="14" customFormat="false" ht="15.75" hidden="false" customHeight="false" outlineLevel="0" collapsed="false">
      <c r="A14" s="21" t="str">
        <f aca="false">DataEntry!A14</f>
        <v>Taxes yr:</v>
      </c>
      <c r="B14" s="22"/>
      <c r="C14" s="22"/>
      <c r="D14" s="38" t="n">
        <f aca="false">DataEntry!D14</f>
        <v>4625</v>
      </c>
      <c r="E14" s="22" t="str">
        <f aca="false">DataEntry!E14</f>
        <v>Estimate @ 2.5%</v>
      </c>
      <c r="F14" s="22"/>
      <c r="G14" s="25"/>
      <c r="H14" s="36" t="str">
        <f aca="false">DataEntry!H14</f>
        <v>rate/term refi</v>
      </c>
      <c r="I14" s="24" t="str">
        <f aca="false">DataEntry!I14</f>
        <v>Transaction Type</v>
      </c>
      <c r="J14" s="22"/>
      <c r="K14" s="22"/>
      <c r="L14" s="27"/>
      <c r="M14" s="0"/>
      <c r="N14" s="0"/>
    </row>
    <row r="15" customFormat="false" ht="9" hidden="false" customHeight="true" outlineLevel="0" collapsed="false">
      <c r="A15" s="39" t="s">
        <v>4</v>
      </c>
      <c r="B15" s="7"/>
      <c r="C15" s="7"/>
      <c r="D15" s="7"/>
      <c r="E15" s="7"/>
      <c r="F15" s="7"/>
      <c r="G15" s="7"/>
      <c r="H15" s="7"/>
      <c r="I15" s="7"/>
      <c r="J15" s="7"/>
      <c r="K15" s="7"/>
      <c r="L15" s="40"/>
      <c r="M15" s="0"/>
      <c r="N15" s="0"/>
    </row>
    <row r="16" customFormat="false" ht="15" hidden="false" customHeight="true" outlineLevel="0" collapsed="false">
      <c r="A16" s="41" t="s">
        <v>11</v>
      </c>
      <c r="B16" s="42"/>
      <c r="C16" s="42"/>
      <c r="D16" s="42"/>
      <c r="E16" s="43"/>
      <c r="F16" s="44"/>
      <c r="G16" s="45" t="s">
        <v>12</v>
      </c>
      <c r="H16" s="42"/>
      <c r="I16" s="42"/>
      <c r="J16" s="42"/>
      <c r="K16" s="42"/>
      <c r="L16" s="46"/>
      <c r="M16" s="0"/>
      <c r="N16" s="0"/>
    </row>
    <row r="17" customFormat="false" ht="13.5" hidden="false" customHeight="true" outlineLevel="0" collapsed="false">
      <c r="A17" s="47"/>
      <c r="B17" s="22" t="n">
        <f aca="false">DataEntry!B17</f>
        <v>801</v>
      </c>
      <c r="C17" s="48" t="n">
        <f aca="false">F6</f>
        <v>1</v>
      </c>
      <c r="D17" s="24" t="str">
        <f aca="false">DataEntry!D17</f>
        <v>total loan points</v>
      </c>
      <c r="E17" s="49" t="n">
        <f aca="false">C17*H9/100</f>
        <v>1480</v>
      </c>
      <c r="F17" s="50"/>
      <c r="G17" s="51" t="n">
        <f aca="false">DataEntry!G17</f>
        <v>4</v>
      </c>
      <c r="H17" s="24" t="str">
        <f aca="false">DataEntry!H17</f>
        <v>Days of Interim Interest</v>
      </c>
      <c r="I17" s="22"/>
      <c r="J17" s="52" t="n">
        <f aca="false">$H$9*$D$11/365</f>
        <v>26.8630136986301</v>
      </c>
      <c r="K17" s="24" t="s">
        <v>13</v>
      </c>
      <c r="L17" s="53" t="n">
        <f aca="false">J17*G17</f>
        <v>107.452054794521</v>
      </c>
      <c r="M17" s="0"/>
      <c r="N17" s="0"/>
    </row>
    <row r="18" customFormat="false" ht="13.5" hidden="false" customHeight="true" outlineLevel="0" collapsed="false">
      <c r="A18" s="47"/>
      <c r="B18" s="22" t="n">
        <f aca="false">DataEntry!B18</f>
        <v>802</v>
      </c>
      <c r="C18" s="54" t="n">
        <v>0.25</v>
      </c>
      <c r="D18" s="24" t="str">
        <f aca="false">DataEntry!D18</f>
        <v>escrow waiver fee</v>
      </c>
      <c r="E18" s="49" t="n">
        <f aca="false">C18*H9/100</f>
        <v>370</v>
      </c>
      <c r="F18" s="50"/>
      <c r="G18" s="51" t="n">
        <v>0</v>
      </c>
      <c r="H18" s="24" t="str">
        <f aca="false">DataEntry!H18</f>
        <v>Est Mo Taxes*</v>
      </c>
      <c r="I18" s="22"/>
      <c r="J18" s="52" t="n">
        <f aca="false">D14/12</f>
        <v>385.416666666667</v>
      </c>
      <c r="K18" s="24" t="s">
        <v>14</v>
      </c>
      <c r="L18" s="53" t="n">
        <f aca="false">G18*J18</f>
        <v>0</v>
      </c>
      <c r="M18" s="0"/>
      <c r="N18" s="0"/>
      <c r="O18" s="55"/>
    </row>
    <row r="19" customFormat="false" ht="13.5" hidden="false" customHeight="true" outlineLevel="0" collapsed="false">
      <c r="A19" s="47"/>
      <c r="B19" s="22" t="n">
        <f aca="false">DataEntry!B19</f>
        <v>803</v>
      </c>
      <c r="C19" s="22"/>
      <c r="D19" s="24" t="str">
        <f aca="false">DataEntry!D19</f>
        <v>Appraisal </v>
      </c>
      <c r="E19" s="49" t="n">
        <f aca="false">DataEntry!E19</f>
        <v>325</v>
      </c>
      <c r="F19" s="50"/>
      <c r="G19" s="51" t="n">
        <v>0</v>
      </c>
      <c r="H19" s="24" t="str">
        <f aca="false">DataEntry!H19</f>
        <v>Est Mo Hazard Ins*</v>
      </c>
      <c r="I19" s="22"/>
      <c r="J19" s="52" t="n">
        <f aca="false">D13/12</f>
        <v>75</v>
      </c>
      <c r="K19" s="24" t="s">
        <v>14</v>
      </c>
      <c r="L19" s="53" t="n">
        <f aca="false">G19*J19</f>
        <v>0</v>
      </c>
      <c r="M19" s="0" t="s">
        <v>4</v>
      </c>
      <c r="N19" s="0"/>
    </row>
    <row r="20" customFormat="false" ht="13.5" hidden="false" customHeight="true" outlineLevel="0" collapsed="false">
      <c r="A20" s="47"/>
      <c r="B20" s="22" t="n">
        <f aca="false">DataEntry!B20</f>
        <v>804</v>
      </c>
      <c r="C20" s="22"/>
      <c r="D20" s="24" t="str">
        <f aca="false">DataEntry!D20</f>
        <v>Credit Report</v>
      </c>
      <c r="E20" s="49" t="n">
        <f aca="false">DataEntry!E20</f>
        <v>50</v>
      </c>
      <c r="F20" s="50"/>
      <c r="G20" s="51" t="n">
        <v>0</v>
      </c>
      <c r="H20" s="24" t="str">
        <f aca="false">DataEntry!H20</f>
        <v>Mo Mortgage Insurance</v>
      </c>
      <c r="I20" s="22"/>
      <c r="J20" s="52" t="n">
        <v>0</v>
      </c>
      <c r="K20" s="24" t="s">
        <v>14</v>
      </c>
      <c r="L20" s="53" t="n">
        <f aca="false">G20*J20</f>
        <v>0</v>
      </c>
    </row>
    <row r="21" customFormat="false" ht="13.5" hidden="false" customHeight="true" outlineLevel="0" collapsed="false">
      <c r="A21" s="47"/>
      <c r="B21" s="22" t="n">
        <f aca="false">DataEntry!B21</f>
        <v>805</v>
      </c>
      <c r="C21" s="22"/>
      <c r="D21" s="24" t="str">
        <f aca="false">DataEntry!D21</f>
        <v>Application Fee</v>
      </c>
      <c r="E21" s="49" t="n">
        <f aca="false">DataEntry!E21</f>
        <v>0</v>
      </c>
      <c r="F21" s="50"/>
      <c r="G21" s="51" t="n">
        <v>0</v>
      </c>
      <c r="H21" s="24" t="str">
        <f aca="false">DataEntry!H21</f>
        <v>HOA fee</v>
      </c>
      <c r="I21" s="22"/>
      <c r="J21" s="52" t="n">
        <v>0</v>
      </c>
      <c r="K21" s="24" t="s">
        <v>14</v>
      </c>
      <c r="L21" s="53" t="n">
        <f aca="false">G21*J21</f>
        <v>0</v>
      </c>
    </row>
    <row r="22" customFormat="false" ht="13.5" hidden="false" customHeight="true" outlineLevel="0" collapsed="false">
      <c r="A22" s="47"/>
      <c r="B22" s="22" t="n">
        <f aca="false">DataEntry!B22</f>
        <v>828</v>
      </c>
      <c r="C22" s="22"/>
      <c r="D22" s="24" t="str">
        <f aca="false">DataEntry!D22</f>
        <v>Underwriting</v>
      </c>
      <c r="E22" s="49" t="n">
        <f aca="false">DataEntry!E22</f>
        <v>250</v>
      </c>
      <c r="F22" s="50"/>
      <c r="G22" s="56"/>
      <c r="H22" s="24" t="s">
        <v>4</v>
      </c>
      <c r="I22" s="22"/>
      <c r="J22" s="22"/>
      <c r="K22" s="57" t="s">
        <v>15</v>
      </c>
      <c r="L22" s="58" t="n">
        <f aca="false">SUM(L17:L21)</f>
        <v>107.452054794521</v>
      </c>
    </row>
    <row r="23" customFormat="false" ht="13.5" hidden="false" customHeight="true" outlineLevel="0" collapsed="false">
      <c r="A23" s="47"/>
      <c r="B23" s="22" t="n">
        <f aca="false">DataEntry!B23</f>
        <v>809</v>
      </c>
      <c r="C23" s="22"/>
      <c r="D23" s="24" t="str">
        <f aca="false">DataEntry!D23</f>
        <v>Wire/Funding</v>
      </c>
      <c r="E23" s="49" t="n">
        <f aca="false">DataEntry!E23</f>
        <v>0</v>
      </c>
      <c r="F23" s="50"/>
      <c r="G23" s="59" t="s">
        <v>16</v>
      </c>
      <c r="H23" s="60"/>
      <c r="I23" s="60"/>
      <c r="J23" s="60"/>
      <c r="K23" s="60"/>
      <c r="L23" s="105"/>
    </row>
    <row r="24" customFormat="false" ht="15" hidden="false" customHeight="true" outlineLevel="0" collapsed="false">
      <c r="A24" s="47"/>
      <c r="B24" s="22" t="n">
        <f aca="false">DataEntry!B24</f>
        <v>810</v>
      </c>
      <c r="C24" s="22"/>
      <c r="D24" s="24" t="str">
        <f aca="false">DataEntry!D24</f>
        <v>Tax Service</v>
      </c>
      <c r="E24" s="49" t="n">
        <f aca="false">DataEntry!E24</f>
        <v>110</v>
      </c>
      <c r="F24" s="50" t="s">
        <v>4</v>
      </c>
      <c r="G24" s="45" t="s">
        <v>17</v>
      </c>
      <c r="H24" s="62"/>
      <c r="I24" s="62"/>
      <c r="J24" s="62"/>
      <c r="K24" s="62"/>
      <c r="L24" s="106"/>
    </row>
    <row r="25" customFormat="false" ht="13.5" hidden="false" customHeight="true" outlineLevel="0" collapsed="false">
      <c r="A25" s="47"/>
      <c r="B25" s="22" t="n">
        <f aca="false">DataEntry!B25</f>
        <v>823</v>
      </c>
      <c r="C25" s="22"/>
      <c r="D25" s="24" t="str">
        <f aca="false">DataEntry!D25</f>
        <v>Flood Cert</v>
      </c>
      <c r="E25" s="49" t="n">
        <f aca="false">DataEntry!E25</f>
        <v>35</v>
      </c>
      <c r="F25" s="50" t="s">
        <v>4</v>
      </c>
      <c r="G25" s="64"/>
      <c r="H25" s="65"/>
      <c r="I25" s="65"/>
      <c r="J25" s="65"/>
      <c r="K25" s="65"/>
      <c r="L25" s="107"/>
    </row>
    <row r="26" customFormat="false" ht="13.5" hidden="false" customHeight="true" outlineLevel="0" collapsed="false">
      <c r="A26" s="47"/>
      <c r="B26" s="22" t="n">
        <f aca="false">DataEntry!B26</f>
        <v>827</v>
      </c>
      <c r="C26" s="22"/>
      <c r="D26" s="24" t="str">
        <f aca="false">DataEntry!D26</f>
        <v>Doc Prep Ancillary</v>
      </c>
      <c r="E26" s="49" t="n">
        <f aca="false">DataEntry!E26</f>
        <v>0</v>
      </c>
      <c r="F26" s="50"/>
      <c r="G26" s="56"/>
      <c r="H26" s="24" t="str">
        <f aca="false">DataEntry!H26</f>
        <v>Principal &amp; Interest at </v>
      </c>
      <c r="I26" s="22"/>
      <c r="J26" s="67" t="n">
        <f aca="false">D11</f>
        <v>0.06625</v>
      </c>
      <c r="K26" s="22"/>
      <c r="L26" s="53" t="n">
        <f aca="false">PMT(D11/12,D9,-H9)</f>
        <v>947.660222391178</v>
      </c>
      <c r="M26" s="2" t="s">
        <v>4</v>
      </c>
    </row>
    <row r="27" customFormat="false" ht="13.5" hidden="false" customHeight="true" outlineLevel="0" collapsed="false">
      <c r="A27" s="47"/>
      <c r="B27" s="22" t="n">
        <f aca="false">DataEntry!B27</f>
        <v>1113</v>
      </c>
      <c r="C27" s="22"/>
      <c r="D27" s="24" t="str">
        <f aca="false">DataEntry!D27</f>
        <v>Delivery </v>
      </c>
      <c r="E27" s="49" t="n">
        <f aca="false">DataEntry!E27</f>
        <v>50</v>
      </c>
      <c r="F27" s="50"/>
      <c r="G27" s="56"/>
      <c r="H27" s="24" t="str">
        <f aca="false">DataEntry!H27</f>
        <v>Taxes</v>
      </c>
      <c r="I27" s="22" t="s">
        <v>4</v>
      </c>
      <c r="J27" s="68"/>
      <c r="K27" s="22"/>
      <c r="L27" s="53" t="n">
        <v>0</v>
      </c>
    </row>
    <row r="28" customFormat="false" ht="13.5" hidden="false" customHeight="true" outlineLevel="0" collapsed="false">
      <c r="A28" s="47"/>
      <c r="B28" s="22" t="n">
        <f aca="false">DataEntry!B28</f>
        <v>816</v>
      </c>
      <c r="C28" s="22" t="s">
        <v>4</v>
      </c>
      <c r="D28" s="24" t="str">
        <f aca="false">DataEntry!D28</f>
        <v>Processing</v>
      </c>
      <c r="E28" s="49" t="n">
        <f aca="false">DataEntry!E28</f>
        <v>175</v>
      </c>
      <c r="F28" s="50"/>
      <c r="G28" s="56"/>
      <c r="H28" s="24" t="str">
        <f aca="false">DataEntry!H28</f>
        <v>Homeowners Insurance</v>
      </c>
      <c r="I28" s="22"/>
      <c r="J28" s="22"/>
      <c r="K28" s="22"/>
      <c r="L28" s="53" t="n">
        <v>0</v>
      </c>
    </row>
    <row r="29" customFormat="false" ht="13.5" hidden="false" customHeight="true" outlineLevel="0" collapsed="false">
      <c r="A29" s="47"/>
      <c r="B29" s="22"/>
      <c r="C29" s="22" t="s">
        <v>4</v>
      </c>
      <c r="D29" s="57" t="s">
        <v>18</v>
      </c>
      <c r="E29" s="69" t="n">
        <f aca="false">SUM(E17:E28)</f>
        <v>2845</v>
      </c>
      <c r="F29" s="50"/>
      <c r="G29" s="56"/>
      <c r="H29" s="24" t="str">
        <f aca="false">DataEntry!H29</f>
        <v>2nd Lien Principal &amp; Interest</v>
      </c>
      <c r="I29" s="22"/>
      <c r="J29" s="22"/>
      <c r="K29" s="22"/>
      <c r="L29" s="53" t="n">
        <f aca="false">PMT(D12/12,180,-H10)</f>
        <v>174.35154795399</v>
      </c>
    </row>
    <row r="30" customFormat="false" ht="15" hidden="false" customHeight="true" outlineLevel="0" collapsed="false">
      <c r="A30" s="70" t="s">
        <v>19</v>
      </c>
      <c r="B30" s="71"/>
      <c r="C30" s="71"/>
      <c r="D30" s="72"/>
      <c r="E30" s="73"/>
      <c r="F30" s="74"/>
      <c r="G30" s="56"/>
      <c r="H30" s="24" t="str">
        <f aca="false">DataEntry!H30</f>
        <v>Mortgage Insurance</v>
      </c>
      <c r="I30" s="22"/>
      <c r="J30" s="22"/>
      <c r="K30" s="22"/>
      <c r="L30" s="53" t="n">
        <f aca="false">J20</f>
        <v>0</v>
      </c>
    </row>
    <row r="31" customFormat="false" ht="13.5" hidden="false" customHeight="true" outlineLevel="0" collapsed="false">
      <c r="A31" s="47"/>
      <c r="B31" s="22" t="n">
        <f aca="false">DataEntry!B31</f>
        <v>1109</v>
      </c>
      <c r="C31" s="22"/>
      <c r="D31" s="24" t="str">
        <f aca="false">DataEntry!D31</f>
        <v>Lenders Title Policy</v>
      </c>
      <c r="E31" s="75" t="n">
        <f aca="false">IF($H$9&lt;100000,(($H$9-100000)*0.00805)+992-$O$14,(($H$9-100000)*0.00628)+992-DataEntry!O14)</f>
        <v>743.1568</v>
      </c>
      <c r="F31" s="50" t="s">
        <v>4</v>
      </c>
      <c r="G31" s="56"/>
      <c r="H31" s="24" t="str">
        <f aca="false">DataEntry!H31</f>
        <v>Condo/HOA fee</v>
      </c>
      <c r="I31" s="22"/>
      <c r="J31" s="22"/>
      <c r="K31" s="22"/>
      <c r="L31" s="53" t="n">
        <f aca="false">J21</f>
        <v>0</v>
      </c>
    </row>
    <row r="32" customFormat="false" ht="13.5" hidden="false" customHeight="true" outlineLevel="0" collapsed="false">
      <c r="A32" s="47"/>
      <c r="B32" s="22" t="n">
        <f aca="false">DataEntry!B32</f>
        <v>1110</v>
      </c>
      <c r="C32" s="22"/>
      <c r="D32" s="24" t="s">
        <v>32</v>
      </c>
      <c r="E32" s="75" t="n">
        <f aca="false">IF($H$10&lt;100000,(($H$10-100000)*0.00805)+992,(($H$10-100000)*0.00628)+992)</f>
        <v>325.46</v>
      </c>
      <c r="F32" s="50" t="s">
        <v>4</v>
      </c>
      <c r="G32" s="56"/>
      <c r="H32" s="24" t="s">
        <v>4</v>
      </c>
      <c r="I32" s="22"/>
      <c r="J32" s="22"/>
      <c r="K32" s="22"/>
      <c r="L32" s="108"/>
    </row>
    <row r="33" customFormat="false" ht="13.5" hidden="false" customHeight="true" outlineLevel="0" collapsed="false">
      <c r="A33" s="47"/>
      <c r="B33" s="22" t="n">
        <f aca="false">DataEntry!B33</f>
        <v>1112</v>
      </c>
      <c r="C33" s="22"/>
      <c r="D33" s="24" t="str">
        <f aca="false">DataEntry!D33</f>
        <v>Settlement</v>
      </c>
      <c r="E33" s="49" t="n">
        <f aca="false">DataEntry!E33</f>
        <v>125</v>
      </c>
      <c r="F33" s="50"/>
      <c r="G33" s="56"/>
      <c r="H33" s="22" t="s">
        <v>4</v>
      </c>
      <c r="I33" s="22"/>
      <c r="J33" s="22"/>
      <c r="K33" s="22"/>
      <c r="L33" s="109"/>
    </row>
    <row r="34" customFormat="false" ht="13.5" hidden="false" customHeight="true" outlineLevel="0" collapsed="false">
      <c r="A34" s="47"/>
      <c r="B34" s="22" t="n">
        <f aca="false">DataEntry!B34</f>
        <v>1113</v>
      </c>
      <c r="C34" s="22"/>
      <c r="D34" s="24" t="str">
        <f aca="false">DataEntry!D34</f>
        <v>Delivery </v>
      </c>
      <c r="E34" s="49" t="n">
        <f aca="false">DataEntry!E34</f>
        <v>50</v>
      </c>
      <c r="F34" s="50"/>
      <c r="G34" s="56"/>
      <c r="H34" s="24" t="s">
        <v>4</v>
      </c>
      <c r="I34" s="22"/>
      <c r="J34" s="22"/>
      <c r="K34" s="57" t="s">
        <v>20</v>
      </c>
      <c r="L34" s="58" t="n">
        <f aca="false">SUM(L26:L32)</f>
        <v>1122.01177034517</v>
      </c>
    </row>
    <row r="35" customFormat="false" ht="13.5" hidden="false" customHeight="true" outlineLevel="0" collapsed="false">
      <c r="A35" s="47"/>
      <c r="B35" s="22" t="n">
        <f aca="false">DataEntry!B35</f>
        <v>1201</v>
      </c>
      <c r="C35" s="22"/>
      <c r="D35" s="24" t="str">
        <f aca="false">DataEntry!D35</f>
        <v>Recording</v>
      </c>
      <c r="E35" s="49" t="n">
        <f aca="false">DataEntry!E35</f>
        <v>75</v>
      </c>
      <c r="F35" s="50"/>
      <c r="G35" s="79"/>
      <c r="H35" s="25"/>
      <c r="I35" s="25"/>
      <c r="J35" s="25"/>
      <c r="K35" s="25"/>
      <c r="L35" s="110"/>
    </row>
    <row r="36" customFormat="false" ht="15" hidden="false" customHeight="true" outlineLevel="0" collapsed="false">
      <c r="A36" s="47"/>
      <c r="B36" s="22" t="n">
        <f aca="false">DataEntry!B36</f>
        <v>1204</v>
      </c>
      <c r="C36" s="22"/>
      <c r="D36" s="24" t="str">
        <f aca="false">DataEntry!D36</f>
        <v>Tax Certificates</v>
      </c>
      <c r="E36" s="49" t="n">
        <f aca="false">DataEntry!E36</f>
        <v>0</v>
      </c>
      <c r="F36" s="50"/>
      <c r="G36" s="45" t="s">
        <v>21</v>
      </c>
      <c r="H36" s="62"/>
      <c r="I36" s="62"/>
      <c r="J36" s="62"/>
      <c r="K36" s="62"/>
      <c r="L36" s="111"/>
    </row>
    <row r="37" customFormat="false" ht="13.5" hidden="false" customHeight="true" outlineLevel="0" collapsed="false">
      <c r="A37" s="47"/>
      <c r="B37" s="22" t="n">
        <f aca="false">DataEntry!B37</f>
        <v>1301</v>
      </c>
      <c r="C37" s="22"/>
      <c r="D37" s="24" t="str">
        <f aca="false">DataEntry!D37</f>
        <v>Survey</v>
      </c>
      <c r="E37" s="49" t="str">
        <f aca="false">DataEntry!E37</f>
        <v>use current?</v>
      </c>
      <c r="F37" s="50"/>
      <c r="G37" s="56"/>
      <c r="H37" s="24" t="str">
        <f aca="false">DataEntry!H37</f>
        <v>Payoff existing loan(s)</v>
      </c>
      <c r="I37" s="22"/>
      <c r="J37" s="22"/>
      <c r="K37" s="22"/>
      <c r="L37" s="53" t="n">
        <f aca="false">DataEntry!L37</f>
        <v>161100</v>
      </c>
    </row>
    <row r="38" customFormat="false" ht="13.5" hidden="false" customHeight="true" outlineLevel="0" collapsed="false">
      <c r="A38" s="47"/>
      <c r="B38" s="22" t="n">
        <f aca="false">DataEntry!B38</f>
        <v>0</v>
      </c>
      <c r="C38" s="22"/>
      <c r="D38" s="24" t="str">
        <f aca="false">DataEntry!D38</f>
        <v>Attorney</v>
      </c>
      <c r="E38" s="49" t="n">
        <f aca="false">DataEntry!E38</f>
        <v>150</v>
      </c>
      <c r="F38" s="50"/>
      <c r="G38" s="56"/>
      <c r="H38" s="24" t="str">
        <f aca="false">DataEntry!H38</f>
        <v>Closing Costs - Lender</v>
      </c>
      <c r="I38" s="22"/>
      <c r="J38" s="22"/>
      <c r="K38" s="22"/>
      <c r="L38" s="53" t="n">
        <f aca="false">E29</f>
        <v>2845</v>
      </c>
    </row>
    <row r="39" customFormat="false" ht="13.5" hidden="false" customHeight="true" outlineLevel="0" collapsed="false">
      <c r="A39" s="47"/>
      <c r="B39" s="22" t="n">
        <f aca="false">DataEntry!B39</f>
        <v>0</v>
      </c>
      <c r="C39" s="22"/>
      <c r="D39" s="24" t="str">
        <f aca="false">DataEntry!D39</f>
        <v>Condo Certification</v>
      </c>
      <c r="E39" s="49" t="n">
        <f aca="false">DataEntry!E39</f>
        <v>0</v>
      </c>
      <c r="F39" s="82"/>
      <c r="G39" s="56"/>
      <c r="H39" s="24" t="str">
        <f aca="false">DataEntry!H39</f>
        <v>Closing Costs - Other</v>
      </c>
      <c r="I39" s="22"/>
      <c r="J39" s="22"/>
      <c r="K39" s="22"/>
      <c r="L39" s="53" t="n">
        <f aca="false">E44</f>
        <v>1468.6168</v>
      </c>
    </row>
    <row r="40" customFormat="false" ht="13.5" hidden="false" customHeight="true" outlineLevel="0" collapsed="false">
      <c r="A40" s="47"/>
      <c r="B40" s="22" t="n">
        <f aca="false">DataEntry!B40</f>
        <v>1302</v>
      </c>
      <c r="C40" s="22"/>
      <c r="D40" s="24" t="str">
        <f aca="false">DataEntry!D40</f>
        <v>2nd lien charges</v>
      </c>
      <c r="E40" s="49" t="n">
        <f aca="false">DataEntry!E40</f>
        <v>0</v>
      </c>
      <c r="F40" s="82"/>
      <c r="G40" s="56"/>
      <c r="H40" s="24" t="str">
        <f aca="false">DataEntry!H40</f>
        <v>Prepaids</v>
      </c>
      <c r="I40" s="22"/>
      <c r="J40" s="22"/>
      <c r="K40" s="22"/>
      <c r="L40" s="53" t="n">
        <f aca="false">L22</f>
        <v>107.452054794521</v>
      </c>
    </row>
    <row r="41" customFormat="false" ht="13.5" hidden="false" customHeight="true" outlineLevel="0" collapsed="false">
      <c r="A41" s="47"/>
      <c r="B41" s="22" t="n">
        <f aca="false">DataEntry!B41</f>
        <v>0</v>
      </c>
      <c r="C41" s="22"/>
      <c r="D41" s="24" t="str">
        <f aca="false">DataEntry!D41</f>
        <v>HOA Transfer fee</v>
      </c>
      <c r="E41" s="49" t="n">
        <f aca="false">DataEntry!E41</f>
        <v>0</v>
      </c>
      <c r="F41" s="82"/>
      <c r="G41" s="56"/>
      <c r="H41" s="24" t="str">
        <f aca="false">DataEntry!H41</f>
        <v>Subtotal</v>
      </c>
      <c r="I41" s="22"/>
      <c r="J41" s="22"/>
      <c r="K41" s="22"/>
      <c r="L41" s="58" t="n">
        <f aca="false">SUM(L37:L40)</f>
        <v>165521.068854795</v>
      </c>
    </row>
    <row r="42" customFormat="false" ht="13.5" hidden="false" customHeight="true" outlineLevel="0" collapsed="false">
      <c r="A42" s="47"/>
      <c r="B42" s="22" t="n">
        <f aca="false">DataEntry!B42</f>
        <v>0</v>
      </c>
      <c r="C42" s="22"/>
      <c r="D42" s="24" t="str">
        <f aca="false">DataEntry!D42</f>
        <v> </v>
      </c>
      <c r="E42" s="49" t="n">
        <f aca="false">DataEntry!E42</f>
        <v>0</v>
      </c>
      <c r="F42" s="82"/>
      <c r="G42" s="56"/>
      <c r="H42" s="24"/>
      <c r="I42" s="22"/>
      <c r="J42" s="22"/>
      <c r="K42" s="22"/>
      <c r="L42" s="83" t="s">
        <v>4</v>
      </c>
    </row>
    <row r="43" customFormat="false" ht="13.5" hidden="false" customHeight="true" outlineLevel="0" collapsed="false">
      <c r="A43" s="47"/>
      <c r="B43" s="22"/>
      <c r="C43" s="22"/>
      <c r="D43" s="22"/>
      <c r="E43" s="84"/>
      <c r="F43" s="82"/>
      <c r="G43" s="56"/>
      <c r="H43" s="24" t="str">
        <f aca="false">DataEntry!H43</f>
        <v>less new loan amount</v>
      </c>
      <c r="I43" s="22"/>
      <c r="J43" s="22"/>
      <c r="K43" s="22"/>
      <c r="L43" s="85" t="n">
        <f aca="false">-H9-H10</f>
        <v>-165200</v>
      </c>
    </row>
    <row r="44" customFormat="false" ht="13.5" hidden="false" customHeight="true" outlineLevel="0" collapsed="false">
      <c r="A44" s="47"/>
      <c r="B44" s="24"/>
      <c r="C44" s="22"/>
      <c r="D44" s="57" t="s">
        <v>22</v>
      </c>
      <c r="E44" s="86" t="n">
        <f aca="false">SUM(E31:E43)</f>
        <v>1468.6168</v>
      </c>
      <c r="F44" s="82"/>
      <c r="G44" s="56"/>
      <c r="H44" s="24" t="str">
        <f aca="false">DataEntry!H44</f>
        <v>Closing Cost Deposit</v>
      </c>
      <c r="I44" s="22"/>
      <c r="J44" s="22"/>
      <c r="K44" s="22"/>
      <c r="L44" s="53" t="n">
        <f aca="false">DataEntry!L44</f>
        <v>-375</v>
      </c>
    </row>
    <row r="45" customFormat="false" ht="13.5" hidden="false" customHeight="true" outlineLevel="0" collapsed="false">
      <c r="A45" s="47"/>
      <c r="B45" s="65"/>
      <c r="C45" s="65"/>
      <c r="D45" s="65"/>
      <c r="E45" s="65"/>
      <c r="F45" s="87"/>
      <c r="G45" s="56"/>
      <c r="H45" s="24" t="str">
        <f aca="false">DataEntry!H45</f>
        <v>less lender credit </v>
      </c>
      <c r="I45" s="22"/>
      <c r="J45" s="22"/>
      <c r="K45" s="22"/>
      <c r="L45" s="85" t="str">
        <f aca="false">DataEntry!L45</f>
        <v>tbd</v>
      </c>
    </row>
    <row r="46" customFormat="false" ht="17.25" hidden="false" customHeight="true" outlineLevel="0" collapsed="false">
      <c r="A46" s="47"/>
      <c r="B46" s="65"/>
      <c r="C46" s="65"/>
      <c r="D46" s="65" t="s">
        <v>4</v>
      </c>
      <c r="E46" s="88" t="s">
        <v>4</v>
      </c>
      <c r="F46" s="87"/>
      <c r="G46" s="56"/>
      <c r="H46" s="0"/>
      <c r="I46" s="89"/>
      <c r="J46" s="89"/>
      <c r="K46" s="90" t="str">
        <f aca="false">IF(L46&lt;0,"Cash Due to Owner at Closing =","Cash Due to Mortgage Company at Closing =")</f>
        <v>Cash Due to Owner at Closing =</v>
      </c>
      <c r="L46" s="91" t="n">
        <f aca="false">SUM(L41:L45)</f>
        <v>-53.9311452054826</v>
      </c>
    </row>
    <row r="47" customFormat="false" ht="12.95" hidden="false" customHeight="true" outlineLevel="0" collapsed="false">
      <c r="A47" s="92"/>
      <c r="B47" s="93"/>
      <c r="C47" s="93"/>
      <c r="D47" s="93" t="s">
        <v>4</v>
      </c>
      <c r="E47" s="93"/>
      <c r="F47" s="93"/>
      <c r="G47" s="94" t="s">
        <v>23</v>
      </c>
      <c r="H47" s="95"/>
      <c r="I47" s="96"/>
      <c r="J47" s="96"/>
      <c r="K47" s="96"/>
      <c r="L47" s="97"/>
    </row>
    <row r="48" customFormat="false" ht="2.1" hidden="false" customHeight="true" outlineLevel="0" collapsed="false">
      <c r="A48" s="98"/>
      <c r="B48" s="98"/>
      <c r="C48" s="98"/>
      <c r="D48" s="98"/>
      <c r="E48" s="98"/>
      <c r="F48" s="98"/>
      <c r="G48" s="98"/>
      <c r="H48" s="99"/>
      <c r="I48" s="98"/>
      <c r="J48" s="98"/>
      <c r="K48" s="98"/>
      <c r="L48" s="100"/>
    </row>
    <row r="49" customFormat="false" ht="60" hidden="false" customHeight="true" outlineLevel="0" collapsed="false">
      <c r="A49" s="101" t="s">
        <v>4</v>
      </c>
      <c r="B49" s="101"/>
      <c r="C49" s="102" t="s">
        <v>24</v>
      </c>
      <c r="D49" s="102"/>
      <c r="E49" s="102"/>
      <c r="F49" s="102"/>
      <c r="G49" s="102"/>
      <c r="H49" s="102"/>
      <c r="I49" s="102"/>
      <c r="J49" s="102"/>
      <c r="K49" s="102"/>
      <c r="L49" s="101"/>
    </row>
    <row r="50" customFormat="false" ht="45" hidden="false" customHeight="true" outlineLevel="0" collapsed="false">
      <c r="A50" s="101" t="s">
        <v>4</v>
      </c>
      <c r="B50" s="101"/>
      <c r="C50" s="102" t="s">
        <v>25</v>
      </c>
      <c r="D50" s="102"/>
      <c r="E50" s="102"/>
      <c r="F50" s="102"/>
      <c r="G50" s="102"/>
      <c r="H50" s="102"/>
      <c r="I50" s="102"/>
      <c r="J50" s="102"/>
      <c r="K50" s="102"/>
      <c r="L50" s="101"/>
    </row>
    <row r="51" customFormat="false" ht="12" hidden="false" customHeight="true" outlineLevel="0" collapsed="false"/>
    <row r="52" customFormat="false" ht="15.75" hidden="false" customHeight="false" outlineLevel="0" collapsed="false">
      <c r="A52" s="6" t="s">
        <v>26</v>
      </c>
      <c r="D52" s="7"/>
      <c r="E52" s="7"/>
      <c r="F52" s="7"/>
      <c r="G52" s="7"/>
      <c r="H52" s="7"/>
      <c r="I52" s="7"/>
      <c r="J52" s="8" t="s">
        <v>27</v>
      </c>
      <c r="K52" s="7"/>
      <c r="L52" s="7"/>
    </row>
    <row r="53" customFormat="false" ht="14.25" hidden="false" customHeight="true" outlineLevel="0" collapsed="false"/>
    <row r="54" customFormat="false" ht="15.75" hidden="false" customHeight="false" outlineLevel="0" collapsed="false">
      <c r="A54" s="6" t="s">
        <v>28</v>
      </c>
      <c r="D54" s="7"/>
      <c r="E54" s="7"/>
      <c r="F54" s="7"/>
      <c r="G54" s="7"/>
      <c r="H54" s="7"/>
      <c r="I54" s="7"/>
      <c r="J54" s="8" t="s">
        <v>27</v>
      </c>
      <c r="K54" s="7"/>
      <c r="L54" s="7"/>
    </row>
    <row r="55" customFormat="false" ht="9.75" hidden="false" customHeight="true" outlineLevel="0" collapsed="false"/>
    <row r="56" customFormat="false" ht="15.75" hidden="false" customHeight="false" outlineLevel="0" collapsed="false">
      <c r="A56" s="103" t="str">
        <f aca="false">DataEntry!$A$52</f>
        <v>Estimate provided by Linda Rhoden.  Phone# 713-802-6025</v>
      </c>
      <c r="B56" s="103"/>
      <c r="C56" s="103"/>
      <c r="D56" s="103"/>
      <c r="E56" s="103"/>
      <c r="F56" s="103"/>
      <c r="G56" s="103"/>
      <c r="H56" s="103"/>
      <c r="I56" s="103"/>
      <c r="J56" s="103"/>
      <c r="K56" s="103"/>
      <c r="L56" s="103"/>
    </row>
    <row r="57" customFormat="false" ht="15.75" hidden="false" customHeight="false" outlineLevel="0" collapsed="false">
      <c r="A57" s="103" t="str">
        <f aca="false">DataEntry!$A$53</f>
        <v>888-852-7645 ext. 6025 Toll free / 713-802-6035 Fax</v>
      </c>
      <c r="B57" s="103"/>
      <c r="C57" s="103"/>
      <c r="D57" s="103"/>
      <c r="E57" s="103"/>
      <c r="F57" s="103"/>
      <c r="G57" s="103"/>
      <c r="H57" s="103"/>
      <c r="I57" s="103"/>
      <c r="J57" s="103"/>
      <c r="K57" s="103"/>
      <c r="L57" s="103"/>
    </row>
  </sheetData>
  <mergeCells count="6">
    <mergeCell ref="A1:L1"/>
    <mergeCell ref="A2:L2"/>
    <mergeCell ref="C49:K49"/>
    <mergeCell ref="C50:K50"/>
    <mergeCell ref="A56:L56"/>
    <mergeCell ref="A57:L57"/>
  </mergeCells>
  <printOptions headings="false" gridLines="false" gridLinesSet="true" horizontalCentered="true" verticalCentered="false"/>
  <pageMargins left="0.35" right="0.170138888888889" top="0.5" bottom="0.29027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57"/>
  <sheetViews>
    <sheetView showFormulas="false" showGridLines="false" showRowColHeaders="true" showZeros="true" rightToLeft="false" tabSelected="false" showOutlineSymbols="true" defaultGridColor="true" view="normal" topLeftCell="A19" colorId="64" zoomScale="75" zoomScaleNormal="75" zoomScalePageLayoutView="100" workbookViewId="0">
      <selection pane="topLeft" activeCell="E31" activeCellId="0" sqref="E31"/>
    </sheetView>
  </sheetViews>
  <sheetFormatPr defaultColWidth="9.76953125" defaultRowHeight="15.75" customHeight="true" zeroHeight="false" outlineLevelRow="0" outlineLevelCol="0"/>
  <cols>
    <col collapsed="false" customWidth="true" hidden="false" outlineLevel="0" max="1" min="1" style="1" width="1.77"/>
    <col collapsed="false" customWidth="true" hidden="false" outlineLevel="0" max="2" min="2" style="1" width="6.77"/>
    <col collapsed="false" customWidth="true" hidden="false" outlineLevel="0" max="3" min="3" style="1" width="4.65"/>
    <col collapsed="false" customWidth="true" hidden="false" outlineLevel="0" max="4" min="4" style="1" width="12.77"/>
    <col collapsed="false" customWidth="true" hidden="false" outlineLevel="0" max="5" min="5" style="1" width="7.77"/>
    <col collapsed="false" customWidth="true" hidden="false" outlineLevel="0" max="7" min="6" style="1" width="4.77"/>
    <col collapsed="false" customWidth="false" hidden="false" outlineLevel="0" max="8" min="8" style="1" width="9.77"/>
    <col collapsed="false" customWidth="true" hidden="false" outlineLevel="0" max="9" min="9" style="1" width="6.21"/>
    <col collapsed="false" customWidth="true" hidden="false" outlineLevel="0" max="10" min="10" style="1" width="7.88"/>
    <col collapsed="false" customWidth="true" hidden="false" outlineLevel="0" max="11" min="11" style="1" width="9.55"/>
    <col collapsed="false" customWidth="true" hidden="false" outlineLevel="0" max="12" min="12" style="1" width="9.1"/>
    <col collapsed="false" customWidth="false" hidden="false" outlineLevel="0" max="257" min="13" style="2" width="9.77"/>
  </cols>
  <sheetData>
    <row r="1" customFormat="false" ht="22.5" hidden="false" customHeight="false" outlineLevel="0" collapsed="false">
      <c r="A1" s="3" t="s">
        <v>0</v>
      </c>
      <c r="B1" s="3"/>
      <c r="C1" s="3"/>
      <c r="D1" s="3"/>
      <c r="E1" s="3"/>
      <c r="F1" s="3"/>
      <c r="G1" s="3"/>
      <c r="H1" s="3"/>
      <c r="I1" s="3"/>
      <c r="J1" s="3"/>
      <c r="K1" s="3"/>
      <c r="L1" s="3"/>
    </row>
    <row r="2" customFormat="false" ht="18.75" hidden="false" customHeight="true" outlineLevel="0" collapsed="false">
      <c r="A2" s="3" t="s">
        <v>1</v>
      </c>
      <c r="B2" s="3"/>
      <c r="C2" s="3"/>
      <c r="D2" s="3"/>
      <c r="E2" s="3"/>
      <c r="F2" s="3"/>
      <c r="G2" s="3"/>
      <c r="H2" s="3"/>
      <c r="I2" s="3"/>
      <c r="J2" s="3"/>
      <c r="K2" s="3"/>
      <c r="L2" s="3"/>
    </row>
    <row r="3" customFormat="false" ht="18.75" hidden="false" customHeight="true" outlineLevel="0" collapsed="false">
      <c r="A3" s="4"/>
      <c r="B3" s="5"/>
      <c r="C3" s="5"/>
      <c r="D3" s="5"/>
      <c r="E3" s="5"/>
      <c r="F3" s="5"/>
      <c r="G3" s="5"/>
      <c r="H3" s="5"/>
      <c r="I3" s="5"/>
      <c r="J3" s="5"/>
      <c r="K3" s="5"/>
      <c r="L3" s="5"/>
    </row>
    <row r="4" customFormat="false" ht="15.75" hidden="false" customHeight="false" outlineLevel="0" collapsed="false">
      <c r="A4" s="6" t="s">
        <v>2</v>
      </c>
      <c r="C4" s="7"/>
      <c r="D4" s="7" t="str">
        <f aca="false">DataEntry!$D$4</f>
        <v>Paul Thomas refi</v>
      </c>
      <c r="E4" s="7"/>
      <c r="F4" s="7"/>
      <c r="G4" s="8"/>
      <c r="H4" s="7"/>
      <c r="I4" s="7"/>
      <c r="J4" s="7" t="s">
        <v>3</v>
      </c>
      <c r="K4" s="9" t="n">
        <f aca="false">DataEntry!$K$4</f>
        <v>37133</v>
      </c>
      <c r="L4" s="7" t="s">
        <v>4</v>
      </c>
    </row>
    <row r="5" customFormat="false" ht="15.75" hidden="false" customHeight="false" outlineLevel="0" collapsed="false">
      <c r="A5" s="6" t="s">
        <v>5</v>
      </c>
      <c r="C5" s="7"/>
      <c r="D5" s="7"/>
      <c r="E5" s="10" t="s">
        <v>37</v>
      </c>
      <c r="F5" s="11" t="n">
        <f aca="false">DataEntry!$F$5</f>
        <v>30</v>
      </c>
      <c r="G5" s="12" t="s">
        <v>34</v>
      </c>
      <c r="H5" s="13"/>
      <c r="I5" s="13"/>
      <c r="J5" s="13"/>
      <c r="K5" s="13"/>
      <c r="L5" s="7"/>
    </row>
    <row r="6" customFormat="false" ht="16.5" hidden="false" customHeight="true" outlineLevel="0" collapsed="false">
      <c r="B6" s="14"/>
      <c r="C6" s="14"/>
      <c r="D6" s="15"/>
      <c r="E6" s="16" t="s">
        <v>8</v>
      </c>
      <c r="F6" s="17" t="n">
        <f aca="false">DataEntry!$O$9</f>
        <v>0</v>
      </c>
      <c r="G6" s="14"/>
      <c r="H6" s="14" t="s">
        <v>31</v>
      </c>
    </row>
    <row r="7" customFormat="false" ht="15.75" hidden="false" customHeight="false" outlineLevel="0" collapsed="false">
      <c r="A7" s="18" t="s">
        <v>10</v>
      </c>
      <c r="B7" s="19"/>
      <c r="C7" s="19"/>
      <c r="D7" s="19"/>
      <c r="E7" s="19"/>
      <c r="F7" s="19"/>
      <c r="G7" s="19"/>
      <c r="H7" s="19"/>
      <c r="I7" s="19"/>
      <c r="J7" s="19"/>
      <c r="K7" s="19"/>
      <c r="L7" s="20"/>
    </row>
    <row r="8" customFormat="false" ht="15.75" hidden="false" customHeight="false" outlineLevel="0" collapsed="false">
      <c r="A8" s="21" t="str">
        <f aca="false">DataEntry!A8</f>
        <v>Type of Loan, 1st:</v>
      </c>
      <c r="B8" s="22"/>
      <c r="C8" s="22"/>
      <c r="D8" s="23" t="n">
        <f aca="false">DataEntry!D8</f>
        <v>30</v>
      </c>
      <c r="E8" s="24" t="str">
        <f aca="false">DataEntry!E8</f>
        <v>year fixed</v>
      </c>
      <c r="F8" s="22"/>
      <c r="G8" s="25"/>
      <c r="H8" s="26" t="n">
        <f aca="false">DataEntry!H8</f>
        <v>185000</v>
      </c>
      <c r="I8" s="24" t="str">
        <f aca="false">DataEntry!I8</f>
        <v>Estimated Value of Home</v>
      </c>
      <c r="J8" s="22"/>
      <c r="K8" s="22"/>
      <c r="L8" s="27"/>
    </row>
    <row r="9" customFormat="false" ht="15.75" hidden="false" customHeight="false" outlineLevel="0" collapsed="false">
      <c r="A9" s="21" t="str">
        <f aca="false">DataEntry!A9</f>
        <v>Loan Term - 1st</v>
      </c>
      <c r="B9" s="22"/>
      <c r="C9" s="22"/>
      <c r="D9" s="25" t="n">
        <f aca="false">DataEntry!D9</f>
        <v>360</v>
      </c>
      <c r="E9" s="22" t="s">
        <v>4</v>
      </c>
      <c r="F9" s="28" t="s">
        <v>4</v>
      </c>
      <c r="G9" s="25"/>
      <c r="H9" s="104" t="n">
        <f aca="false">0.8*H8</f>
        <v>148000</v>
      </c>
      <c r="I9" s="24" t="str">
        <f aca="false">DataEntry!I9</f>
        <v>New first loan amount </v>
      </c>
      <c r="J9" s="22"/>
      <c r="K9" s="22"/>
      <c r="L9" s="27"/>
    </row>
    <row r="10" customFormat="false" ht="15.75" hidden="false" customHeight="false" outlineLevel="0" collapsed="false">
      <c r="A10" s="21" t="str">
        <f aca="false">DataEntry!A10</f>
        <v>Loan Term - 2nd</v>
      </c>
      <c r="B10" s="22"/>
      <c r="C10" s="22"/>
      <c r="D10" s="23" t="n">
        <v>180</v>
      </c>
      <c r="E10" s="22"/>
      <c r="F10" s="28" t="s">
        <v>4</v>
      </c>
      <c r="G10" s="25"/>
      <c r="H10" s="104" t="n">
        <f aca="false">L37-H9</f>
        <v>13100</v>
      </c>
      <c r="I10" s="24" t="str">
        <f aca="false">DataEntry!I10</f>
        <v>Second Loan Amount</v>
      </c>
      <c r="J10" s="22"/>
      <c r="K10" s="22"/>
      <c r="L10" s="27"/>
    </row>
    <row r="11" customFormat="false" ht="15.75" hidden="false" customHeight="false" outlineLevel="0" collapsed="false">
      <c r="A11" s="21" t="str">
        <f aca="false">DataEntry!A11</f>
        <v>Note Rate:</v>
      </c>
      <c r="B11" s="22"/>
      <c r="C11" s="22"/>
      <c r="D11" s="32" t="n">
        <f aca="false">DataEntry!$P$9</f>
        <v>0.0675</v>
      </c>
      <c r="E11" s="22" t="str">
        <f aca="false">DataEntry!E11</f>
        <v>current 30 day lock</v>
      </c>
      <c r="F11" s="22"/>
      <c r="G11" s="25"/>
      <c r="H11" s="33" t="n">
        <f aca="false">(H9+H10)/H8</f>
        <v>0.870810810810811</v>
      </c>
      <c r="I11" s="24" t="str">
        <f aca="false">DataEntry!I11</f>
        <v>Total LTV</v>
      </c>
      <c r="J11" s="22"/>
      <c r="K11" s="22"/>
      <c r="L11" s="27"/>
    </row>
    <row r="12" customFormat="false" ht="15.75" hidden="false" customHeight="false" outlineLevel="0" collapsed="false">
      <c r="A12" s="21" t="str">
        <f aca="false">DataEntry!A12</f>
        <v>2nd Lien Rate</v>
      </c>
      <c r="B12" s="22"/>
      <c r="C12" s="22"/>
      <c r="D12" s="36" t="n">
        <v>0.0899</v>
      </c>
      <c r="E12" s="22"/>
      <c r="F12" s="22"/>
      <c r="G12" s="25"/>
      <c r="H12" s="37" t="n">
        <f aca="false">DataEntry!H12</f>
        <v>37165</v>
      </c>
      <c r="I12" s="24" t="str">
        <f aca="false">DataEntry!I12</f>
        <v>Closing Date</v>
      </c>
      <c r="J12" s="22"/>
      <c r="K12" s="22"/>
      <c r="L12" s="27"/>
    </row>
    <row r="13" customFormat="false" ht="15.75" hidden="false" customHeight="false" outlineLevel="0" collapsed="false">
      <c r="A13" s="21" t="str">
        <f aca="false">DataEntry!A13</f>
        <v>Hazard Ins yr:</v>
      </c>
      <c r="B13" s="22"/>
      <c r="C13" s="22"/>
      <c r="D13" s="38" t="n">
        <f aca="false">DataEntry!D13</f>
        <v>900</v>
      </c>
      <c r="E13" s="22" t="str">
        <f aca="false">DataEntry!E13</f>
        <v>Estimate </v>
      </c>
      <c r="F13" s="22"/>
      <c r="G13" s="25"/>
      <c r="H13" s="37" t="n">
        <f aca="false">DataEntry!H13</f>
        <v>37168</v>
      </c>
      <c r="I13" s="24" t="str">
        <f aca="false">DataEntry!I13</f>
        <v>Funding Date (3 days after closing)</v>
      </c>
      <c r="J13" s="22"/>
      <c r="K13" s="22"/>
      <c r="L13" s="27"/>
      <c r="M13" s="0"/>
      <c r="N13" s="0"/>
    </row>
    <row r="14" customFormat="false" ht="15.75" hidden="false" customHeight="false" outlineLevel="0" collapsed="false">
      <c r="A14" s="21" t="str">
        <f aca="false">DataEntry!A14</f>
        <v>Taxes yr:</v>
      </c>
      <c r="B14" s="22"/>
      <c r="C14" s="22"/>
      <c r="D14" s="38" t="n">
        <f aca="false">DataEntry!D14</f>
        <v>4625</v>
      </c>
      <c r="E14" s="22" t="str">
        <f aca="false">DataEntry!E14</f>
        <v>Estimate @ 2.5%</v>
      </c>
      <c r="F14" s="22"/>
      <c r="G14" s="25"/>
      <c r="H14" s="36" t="str">
        <f aca="false">DataEntry!H14</f>
        <v>rate/term refi</v>
      </c>
      <c r="I14" s="24" t="str">
        <f aca="false">DataEntry!I14</f>
        <v>Transaction Type</v>
      </c>
      <c r="J14" s="22"/>
      <c r="K14" s="22"/>
      <c r="L14" s="27"/>
      <c r="M14" s="0"/>
      <c r="N14" s="0"/>
    </row>
    <row r="15" customFormat="false" ht="9" hidden="false" customHeight="true" outlineLevel="0" collapsed="false">
      <c r="A15" s="39" t="s">
        <v>4</v>
      </c>
      <c r="B15" s="7"/>
      <c r="C15" s="7"/>
      <c r="D15" s="7"/>
      <c r="E15" s="7"/>
      <c r="F15" s="7"/>
      <c r="G15" s="7"/>
      <c r="H15" s="7"/>
      <c r="I15" s="7"/>
      <c r="J15" s="7"/>
      <c r="K15" s="7"/>
      <c r="L15" s="40"/>
      <c r="M15" s="0"/>
      <c r="N15" s="0"/>
    </row>
    <row r="16" customFormat="false" ht="15" hidden="false" customHeight="true" outlineLevel="0" collapsed="false">
      <c r="A16" s="41" t="s">
        <v>11</v>
      </c>
      <c r="B16" s="42"/>
      <c r="C16" s="42"/>
      <c r="D16" s="42"/>
      <c r="E16" s="43"/>
      <c r="F16" s="44"/>
      <c r="G16" s="45" t="s">
        <v>12</v>
      </c>
      <c r="H16" s="42"/>
      <c r="I16" s="42"/>
      <c r="J16" s="42"/>
      <c r="K16" s="42"/>
      <c r="L16" s="46"/>
      <c r="M16" s="0"/>
      <c r="N16" s="0" t="s">
        <v>4</v>
      </c>
    </row>
    <row r="17" customFormat="false" ht="13.5" hidden="false" customHeight="true" outlineLevel="0" collapsed="false">
      <c r="A17" s="47"/>
      <c r="B17" s="22" t="n">
        <f aca="false">DataEntry!B17</f>
        <v>801</v>
      </c>
      <c r="C17" s="48" t="n">
        <f aca="false">F6</f>
        <v>0</v>
      </c>
      <c r="D17" s="24" t="str">
        <f aca="false">DataEntry!D17</f>
        <v>total loan points</v>
      </c>
      <c r="E17" s="49" t="n">
        <f aca="false">C17*H9/100</f>
        <v>0</v>
      </c>
      <c r="F17" s="50"/>
      <c r="G17" s="51" t="n">
        <f aca="false">DataEntry!G17</f>
        <v>4</v>
      </c>
      <c r="H17" s="24" t="str">
        <f aca="false">DataEntry!H17</f>
        <v>Days of Interim Interest</v>
      </c>
      <c r="I17" s="22"/>
      <c r="J17" s="52" t="n">
        <f aca="false">$H$9*$D$11/365</f>
        <v>27.3698630136986</v>
      </c>
      <c r="K17" s="24" t="s">
        <v>13</v>
      </c>
      <c r="L17" s="53" t="n">
        <f aca="false">J17*G17</f>
        <v>109.479452054795</v>
      </c>
      <c r="M17" s="0"/>
      <c r="N17" s="0"/>
    </row>
    <row r="18" customFormat="false" ht="13.5" hidden="false" customHeight="true" outlineLevel="0" collapsed="false">
      <c r="A18" s="47"/>
      <c r="B18" s="22" t="n">
        <f aca="false">DataEntry!B18</f>
        <v>802</v>
      </c>
      <c r="C18" s="54" t="n">
        <v>0.25</v>
      </c>
      <c r="D18" s="24" t="str">
        <f aca="false">DataEntry!D18</f>
        <v>escrow waiver fee</v>
      </c>
      <c r="E18" s="49" t="n">
        <f aca="false">C18*H9/100</f>
        <v>370</v>
      </c>
      <c r="F18" s="50"/>
      <c r="G18" s="51" t="n">
        <v>0</v>
      </c>
      <c r="H18" s="24" t="str">
        <f aca="false">DataEntry!H18</f>
        <v>Est Mo Taxes*</v>
      </c>
      <c r="I18" s="22"/>
      <c r="J18" s="52" t="n">
        <f aca="false">D14/12</f>
        <v>385.416666666667</v>
      </c>
      <c r="K18" s="24" t="s">
        <v>14</v>
      </c>
      <c r="L18" s="53" t="n">
        <f aca="false">G18*J18</f>
        <v>0</v>
      </c>
      <c r="M18" s="0"/>
      <c r="N18" s="0"/>
      <c r="O18" s="55"/>
    </row>
    <row r="19" customFormat="false" ht="13.5" hidden="false" customHeight="true" outlineLevel="0" collapsed="false">
      <c r="A19" s="47"/>
      <c r="B19" s="22" t="n">
        <f aca="false">DataEntry!B19</f>
        <v>803</v>
      </c>
      <c r="C19" s="22"/>
      <c r="D19" s="24" t="str">
        <f aca="false">DataEntry!D19</f>
        <v>Appraisal </v>
      </c>
      <c r="E19" s="49" t="n">
        <f aca="false">DataEntry!E19</f>
        <v>325</v>
      </c>
      <c r="F19" s="50"/>
      <c r="G19" s="51" t="n">
        <v>0</v>
      </c>
      <c r="H19" s="24" t="str">
        <f aca="false">DataEntry!H19</f>
        <v>Est Mo Hazard Ins*</v>
      </c>
      <c r="I19" s="22"/>
      <c r="J19" s="52" t="n">
        <f aca="false">D13/12</f>
        <v>75</v>
      </c>
      <c r="K19" s="24" t="s">
        <v>14</v>
      </c>
      <c r="L19" s="53" t="n">
        <f aca="false">G19*J19</f>
        <v>0</v>
      </c>
      <c r="M19" s="0" t="s">
        <v>4</v>
      </c>
      <c r="N19" s="0"/>
    </row>
    <row r="20" customFormat="false" ht="13.5" hidden="false" customHeight="true" outlineLevel="0" collapsed="false">
      <c r="A20" s="47"/>
      <c r="B20" s="22" t="n">
        <f aca="false">DataEntry!B20</f>
        <v>804</v>
      </c>
      <c r="C20" s="22"/>
      <c r="D20" s="24" t="str">
        <f aca="false">DataEntry!D20</f>
        <v>Credit Report</v>
      </c>
      <c r="E20" s="49" t="n">
        <f aca="false">DataEntry!E20</f>
        <v>50</v>
      </c>
      <c r="F20" s="50"/>
      <c r="G20" s="51" t="n">
        <v>0</v>
      </c>
      <c r="H20" s="24" t="str">
        <f aca="false">DataEntry!H20</f>
        <v>Mo Mortgage Insurance</v>
      </c>
      <c r="I20" s="22"/>
      <c r="J20" s="52" t="n">
        <v>0</v>
      </c>
      <c r="K20" s="24" t="s">
        <v>14</v>
      </c>
      <c r="L20" s="53" t="n">
        <f aca="false">G20*J20</f>
        <v>0</v>
      </c>
    </row>
    <row r="21" customFormat="false" ht="13.5" hidden="false" customHeight="true" outlineLevel="0" collapsed="false">
      <c r="A21" s="47"/>
      <c r="B21" s="22" t="n">
        <f aca="false">DataEntry!B21</f>
        <v>805</v>
      </c>
      <c r="C21" s="22"/>
      <c r="D21" s="24" t="str">
        <f aca="false">DataEntry!D21</f>
        <v>Application Fee</v>
      </c>
      <c r="E21" s="49" t="n">
        <f aca="false">DataEntry!E21</f>
        <v>0</v>
      </c>
      <c r="F21" s="50"/>
      <c r="G21" s="51" t="n">
        <v>0</v>
      </c>
      <c r="H21" s="24" t="str">
        <f aca="false">DataEntry!H21</f>
        <v>HOA fee</v>
      </c>
      <c r="I21" s="22"/>
      <c r="J21" s="52" t="n">
        <v>0</v>
      </c>
      <c r="K21" s="24" t="s">
        <v>14</v>
      </c>
      <c r="L21" s="53" t="n">
        <f aca="false">G21*J21</f>
        <v>0</v>
      </c>
    </row>
    <row r="22" customFormat="false" ht="13.5" hidden="false" customHeight="true" outlineLevel="0" collapsed="false">
      <c r="A22" s="47"/>
      <c r="B22" s="22" t="n">
        <f aca="false">DataEntry!B22</f>
        <v>828</v>
      </c>
      <c r="C22" s="22"/>
      <c r="D22" s="24" t="str">
        <f aca="false">DataEntry!D22</f>
        <v>Underwriting</v>
      </c>
      <c r="E22" s="49" t="n">
        <f aca="false">DataEntry!E22</f>
        <v>250</v>
      </c>
      <c r="F22" s="50"/>
      <c r="G22" s="56"/>
      <c r="H22" s="24" t="s">
        <v>4</v>
      </c>
      <c r="I22" s="22"/>
      <c r="J22" s="22"/>
      <c r="K22" s="57" t="s">
        <v>15</v>
      </c>
      <c r="L22" s="58" t="n">
        <f aca="false">SUM(L17:L21)</f>
        <v>109.479452054795</v>
      </c>
    </row>
    <row r="23" customFormat="false" ht="13.5" hidden="false" customHeight="true" outlineLevel="0" collapsed="false">
      <c r="A23" s="47"/>
      <c r="B23" s="22" t="n">
        <f aca="false">DataEntry!B23</f>
        <v>809</v>
      </c>
      <c r="C23" s="22"/>
      <c r="D23" s="24" t="str">
        <f aca="false">DataEntry!D23</f>
        <v>Wire/Funding</v>
      </c>
      <c r="E23" s="49" t="n">
        <f aca="false">DataEntry!E23</f>
        <v>0</v>
      </c>
      <c r="F23" s="50"/>
      <c r="G23" s="59" t="s">
        <v>16</v>
      </c>
      <c r="H23" s="60"/>
      <c r="I23" s="60"/>
      <c r="J23" s="60"/>
      <c r="K23" s="60"/>
      <c r="L23" s="105"/>
    </row>
    <row r="24" customFormat="false" ht="15" hidden="false" customHeight="true" outlineLevel="0" collapsed="false">
      <c r="A24" s="47"/>
      <c r="B24" s="22" t="n">
        <f aca="false">DataEntry!B24</f>
        <v>810</v>
      </c>
      <c r="C24" s="22"/>
      <c r="D24" s="24" t="str">
        <f aca="false">DataEntry!D24</f>
        <v>Tax Service</v>
      </c>
      <c r="E24" s="49" t="n">
        <f aca="false">DataEntry!E24</f>
        <v>110</v>
      </c>
      <c r="F24" s="50" t="s">
        <v>4</v>
      </c>
      <c r="G24" s="45" t="s">
        <v>17</v>
      </c>
      <c r="H24" s="62"/>
      <c r="I24" s="62"/>
      <c r="J24" s="62"/>
      <c r="K24" s="62"/>
      <c r="L24" s="106"/>
    </row>
    <row r="25" customFormat="false" ht="13.5" hidden="false" customHeight="true" outlineLevel="0" collapsed="false">
      <c r="A25" s="47"/>
      <c r="B25" s="22" t="n">
        <f aca="false">DataEntry!B25</f>
        <v>823</v>
      </c>
      <c r="C25" s="22"/>
      <c r="D25" s="24" t="str">
        <f aca="false">DataEntry!D25</f>
        <v>Flood Cert</v>
      </c>
      <c r="E25" s="49" t="n">
        <f aca="false">DataEntry!E25</f>
        <v>35</v>
      </c>
      <c r="F25" s="50" t="s">
        <v>4</v>
      </c>
      <c r="G25" s="64"/>
      <c r="H25" s="65"/>
      <c r="I25" s="65"/>
      <c r="J25" s="65"/>
      <c r="K25" s="65"/>
      <c r="L25" s="107"/>
    </row>
    <row r="26" customFormat="false" ht="13.5" hidden="false" customHeight="true" outlineLevel="0" collapsed="false">
      <c r="A26" s="47"/>
      <c r="B26" s="22" t="n">
        <f aca="false">DataEntry!B26</f>
        <v>827</v>
      </c>
      <c r="C26" s="22"/>
      <c r="D26" s="24" t="str">
        <f aca="false">DataEntry!D26</f>
        <v>Doc Prep Ancillary</v>
      </c>
      <c r="E26" s="49" t="n">
        <f aca="false">DataEntry!E26</f>
        <v>0</v>
      </c>
      <c r="F26" s="50"/>
      <c r="G26" s="56"/>
      <c r="H26" s="24" t="str">
        <f aca="false">DataEntry!H26</f>
        <v>Principal &amp; Interest at </v>
      </c>
      <c r="I26" s="22"/>
      <c r="J26" s="67" t="n">
        <f aca="false">D11</f>
        <v>0.0675</v>
      </c>
      <c r="K26" s="22"/>
      <c r="L26" s="53" t="n">
        <f aca="false">PMT(D11/12,D9,-H9)</f>
        <v>959.925182920959</v>
      </c>
      <c r="M26" s="2" t="s">
        <v>4</v>
      </c>
    </row>
    <row r="27" customFormat="false" ht="13.5" hidden="false" customHeight="true" outlineLevel="0" collapsed="false">
      <c r="A27" s="47"/>
      <c r="B27" s="22" t="n">
        <f aca="false">DataEntry!B27</f>
        <v>1113</v>
      </c>
      <c r="C27" s="22"/>
      <c r="D27" s="24" t="str">
        <f aca="false">DataEntry!D27</f>
        <v>Delivery </v>
      </c>
      <c r="E27" s="49" t="n">
        <f aca="false">DataEntry!E27</f>
        <v>50</v>
      </c>
      <c r="F27" s="50"/>
      <c r="G27" s="56"/>
      <c r="H27" s="24" t="str">
        <f aca="false">DataEntry!H27</f>
        <v>Taxes</v>
      </c>
      <c r="I27" s="22" t="s">
        <v>4</v>
      </c>
      <c r="J27" s="68"/>
      <c r="K27" s="22"/>
      <c r="L27" s="53" t="n">
        <v>0</v>
      </c>
    </row>
    <row r="28" customFormat="false" ht="13.5" hidden="false" customHeight="true" outlineLevel="0" collapsed="false">
      <c r="A28" s="47"/>
      <c r="B28" s="22" t="n">
        <f aca="false">DataEntry!B28</f>
        <v>816</v>
      </c>
      <c r="C28" s="22" t="s">
        <v>4</v>
      </c>
      <c r="D28" s="24" t="str">
        <f aca="false">DataEntry!D28</f>
        <v>Processing</v>
      </c>
      <c r="E28" s="49" t="n">
        <f aca="false">DataEntry!E28</f>
        <v>175</v>
      </c>
      <c r="F28" s="50"/>
      <c r="G28" s="56"/>
      <c r="H28" s="24" t="str">
        <f aca="false">DataEntry!H28</f>
        <v>Homeowners Insurance</v>
      </c>
      <c r="I28" s="22"/>
      <c r="J28" s="22"/>
      <c r="K28" s="22"/>
      <c r="L28" s="53" t="n">
        <v>0</v>
      </c>
    </row>
    <row r="29" customFormat="false" ht="13.5" hidden="false" customHeight="true" outlineLevel="0" collapsed="false">
      <c r="A29" s="47"/>
      <c r="B29" s="22"/>
      <c r="C29" s="22" t="s">
        <v>4</v>
      </c>
      <c r="D29" s="57" t="s">
        <v>18</v>
      </c>
      <c r="E29" s="69" t="n">
        <f aca="false">SUM(E17:E28)</f>
        <v>1365</v>
      </c>
      <c r="F29" s="50"/>
      <c r="G29" s="56"/>
      <c r="H29" s="24" t="str">
        <f aca="false">DataEntry!H29</f>
        <v>2nd Lien Principal &amp; Interest</v>
      </c>
      <c r="I29" s="22"/>
      <c r="J29" s="22"/>
      <c r="K29" s="22"/>
      <c r="L29" s="53" t="n">
        <f aca="false">PMT(D12/12,180,-H10)</f>
        <v>132.791004546353</v>
      </c>
    </row>
    <row r="30" customFormat="false" ht="15" hidden="false" customHeight="true" outlineLevel="0" collapsed="false">
      <c r="A30" s="70" t="s">
        <v>19</v>
      </c>
      <c r="B30" s="71"/>
      <c r="C30" s="71"/>
      <c r="D30" s="72"/>
      <c r="E30" s="73"/>
      <c r="F30" s="74"/>
      <c r="G30" s="56"/>
      <c r="H30" s="24" t="str">
        <f aca="false">DataEntry!H30</f>
        <v>Mortgage Insurance</v>
      </c>
      <c r="I30" s="22"/>
      <c r="J30" s="22"/>
      <c r="K30" s="22"/>
      <c r="L30" s="53" t="n">
        <f aca="false">J20</f>
        <v>0</v>
      </c>
    </row>
    <row r="31" customFormat="false" ht="13.5" hidden="false" customHeight="true" outlineLevel="0" collapsed="false">
      <c r="A31" s="47"/>
      <c r="B31" s="22" t="n">
        <f aca="false">DataEntry!B31</f>
        <v>1109</v>
      </c>
      <c r="C31" s="22"/>
      <c r="D31" s="24" t="str">
        <f aca="false">DataEntry!D31</f>
        <v>Lenders Title Policy</v>
      </c>
      <c r="E31" s="75" t="n">
        <f aca="false">IF($H$9&lt;100000,(($H$9-100000)*0.00805)+992-$O$14,(($H$9-100000)*0.00628)+992-DataEntry!O14)</f>
        <v>743.1568</v>
      </c>
      <c r="F31" s="50" t="s">
        <v>4</v>
      </c>
      <c r="G31" s="56"/>
      <c r="H31" s="24" t="str">
        <f aca="false">DataEntry!H31</f>
        <v>Condo/HOA fee</v>
      </c>
      <c r="I31" s="22"/>
      <c r="J31" s="22"/>
      <c r="K31" s="22"/>
      <c r="L31" s="53" t="n">
        <f aca="false">J21</f>
        <v>0</v>
      </c>
    </row>
    <row r="32" customFormat="false" ht="13.5" hidden="false" customHeight="true" outlineLevel="0" collapsed="false">
      <c r="A32" s="47"/>
      <c r="B32" s="22" t="n">
        <f aca="false">DataEntry!B32</f>
        <v>1110</v>
      </c>
      <c r="C32" s="22"/>
      <c r="D32" s="24" t="s">
        <v>32</v>
      </c>
      <c r="E32" s="75" t="n">
        <f aca="false">IF($H$10&lt;100000,(($H$10-100000)*0.00805)+992,(($H$10-100000)*0.00628)+992)</f>
        <v>292.455</v>
      </c>
      <c r="F32" s="50" t="s">
        <v>4</v>
      </c>
      <c r="G32" s="56"/>
      <c r="H32" s="24" t="s">
        <v>4</v>
      </c>
      <c r="I32" s="22"/>
      <c r="J32" s="22"/>
      <c r="K32" s="22"/>
      <c r="L32" s="108"/>
    </row>
    <row r="33" customFormat="false" ht="13.5" hidden="false" customHeight="true" outlineLevel="0" collapsed="false">
      <c r="A33" s="47"/>
      <c r="B33" s="22" t="n">
        <f aca="false">DataEntry!B33</f>
        <v>1112</v>
      </c>
      <c r="C33" s="22"/>
      <c r="D33" s="24" t="str">
        <f aca="false">DataEntry!D33</f>
        <v>Settlement</v>
      </c>
      <c r="E33" s="49" t="n">
        <f aca="false">DataEntry!E33</f>
        <v>125</v>
      </c>
      <c r="F33" s="50"/>
      <c r="G33" s="56"/>
      <c r="H33" s="22" t="s">
        <v>4</v>
      </c>
      <c r="I33" s="22"/>
      <c r="J33" s="22"/>
      <c r="K33" s="22"/>
      <c r="L33" s="109"/>
    </row>
    <row r="34" customFormat="false" ht="13.5" hidden="false" customHeight="true" outlineLevel="0" collapsed="false">
      <c r="A34" s="47"/>
      <c r="B34" s="22" t="n">
        <f aca="false">DataEntry!B34</f>
        <v>1113</v>
      </c>
      <c r="C34" s="22"/>
      <c r="D34" s="24" t="str">
        <f aca="false">DataEntry!D34</f>
        <v>Delivery </v>
      </c>
      <c r="E34" s="49" t="n">
        <f aca="false">DataEntry!E34</f>
        <v>50</v>
      </c>
      <c r="F34" s="50"/>
      <c r="G34" s="56"/>
      <c r="H34" s="24" t="s">
        <v>4</v>
      </c>
      <c r="I34" s="22"/>
      <c r="J34" s="22"/>
      <c r="K34" s="57" t="s">
        <v>20</v>
      </c>
      <c r="L34" s="58" t="n">
        <f aca="false">SUM(L26:L32)</f>
        <v>1092.71618746731</v>
      </c>
    </row>
    <row r="35" customFormat="false" ht="13.5" hidden="false" customHeight="true" outlineLevel="0" collapsed="false">
      <c r="A35" s="47"/>
      <c r="B35" s="22" t="n">
        <f aca="false">DataEntry!B35</f>
        <v>1201</v>
      </c>
      <c r="C35" s="22"/>
      <c r="D35" s="24" t="str">
        <f aca="false">DataEntry!D35</f>
        <v>Recording</v>
      </c>
      <c r="E35" s="49" t="n">
        <f aca="false">DataEntry!E35</f>
        <v>75</v>
      </c>
      <c r="F35" s="50"/>
      <c r="G35" s="79"/>
      <c r="H35" s="25"/>
      <c r="I35" s="25"/>
      <c r="J35" s="25"/>
      <c r="K35" s="25"/>
      <c r="L35" s="110"/>
    </row>
    <row r="36" customFormat="false" ht="15" hidden="false" customHeight="true" outlineLevel="0" collapsed="false">
      <c r="A36" s="47"/>
      <c r="B36" s="22" t="n">
        <f aca="false">DataEntry!B36</f>
        <v>1204</v>
      </c>
      <c r="C36" s="22"/>
      <c r="D36" s="24" t="str">
        <f aca="false">DataEntry!D36</f>
        <v>Tax Certificates</v>
      </c>
      <c r="E36" s="49" t="n">
        <f aca="false">DataEntry!E36</f>
        <v>0</v>
      </c>
      <c r="F36" s="50"/>
      <c r="G36" s="45" t="s">
        <v>21</v>
      </c>
      <c r="H36" s="62"/>
      <c r="I36" s="62"/>
      <c r="J36" s="62"/>
      <c r="K36" s="62"/>
      <c r="L36" s="111"/>
    </row>
    <row r="37" customFormat="false" ht="13.5" hidden="false" customHeight="true" outlineLevel="0" collapsed="false">
      <c r="A37" s="47"/>
      <c r="B37" s="22" t="n">
        <f aca="false">DataEntry!B37</f>
        <v>1301</v>
      </c>
      <c r="C37" s="22"/>
      <c r="D37" s="24" t="str">
        <f aca="false">DataEntry!D37</f>
        <v>Survey</v>
      </c>
      <c r="E37" s="49" t="str">
        <f aca="false">DataEntry!E37</f>
        <v>use current?</v>
      </c>
      <c r="F37" s="50"/>
      <c r="G37" s="56"/>
      <c r="H37" s="24" t="str">
        <f aca="false">DataEntry!H37</f>
        <v>Payoff existing loan(s)</v>
      </c>
      <c r="I37" s="22"/>
      <c r="J37" s="22"/>
      <c r="K37" s="22"/>
      <c r="L37" s="53" t="n">
        <f aca="false">DataEntry!L37</f>
        <v>161100</v>
      </c>
    </row>
    <row r="38" customFormat="false" ht="13.5" hidden="false" customHeight="true" outlineLevel="0" collapsed="false">
      <c r="A38" s="47"/>
      <c r="B38" s="22" t="n">
        <f aca="false">DataEntry!B38</f>
        <v>0</v>
      </c>
      <c r="C38" s="22"/>
      <c r="D38" s="24" t="str">
        <f aca="false">DataEntry!D38</f>
        <v>Attorney</v>
      </c>
      <c r="E38" s="49" t="n">
        <f aca="false">DataEntry!E38</f>
        <v>150</v>
      </c>
      <c r="F38" s="50"/>
      <c r="G38" s="56"/>
      <c r="H38" s="24" t="str">
        <f aca="false">DataEntry!H38</f>
        <v>Closing Costs - Lender</v>
      </c>
      <c r="I38" s="22"/>
      <c r="J38" s="22"/>
      <c r="K38" s="22"/>
      <c r="L38" s="53" t="n">
        <f aca="false">E29</f>
        <v>1365</v>
      </c>
    </row>
    <row r="39" customFormat="false" ht="13.5" hidden="false" customHeight="true" outlineLevel="0" collapsed="false">
      <c r="A39" s="47"/>
      <c r="B39" s="22" t="n">
        <f aca="false">DataEntry!B39</f>
        <v>0</v>
      </c>
      <c r="C39" s="22"/>
      <c r="D39" s="24" t="str">
        <f aca="false">DataEntry!D39</f>
        <v>Condo Certification</v>
      </c>
      <c r="E39" s="49" t="n">
        <f aca="false">DataEntry!E39</f>
        <v>0</v>
      </c>
      <c r="F39" s="82"/>
      <c r="G39" s="56"/>
      <c r="H39" s="24" t="str">
        <f aca="false">DataEntry!H39</f>
        <v>Closing Costs - Other</v>
      </c>
      <c r="I39" s="22"/>
      <c r="J39" s="22"/>
      <c r="K39" s="22"/>
      <c r="L39" s="53" t="n">
        <f aca="false">E44</f>
        <v>1435.6118</v>
      </c>
    </row>
    <row r="40" customFormat="false" ht="13.5" hidden="false" customHeight="true" outlineLevel="0" collapsed="false">
      <c r="A40" s="47"/>
      <c r="B40" s="22" t="n">
        <f aca="false">DataEntry!B40</f>
        <v>1302</v>
      </c>
      <c r="C40" s="22"/>
      <c r="D40" s="24" t="str">
        <f aca="false">DataEntry!D40</f>
        <v>2nd lien charges</v>
      </c>
      <c r="E40" s="49" t="n">
        <f aca="false">DataEntry!E40</f>
        <v>0</v>
      </c>
      <c r="F40" s="82"/>
      <c r="G40" s="56"/>
      <c r="H40" s="24" t="str">
        <f aca="false">DataEntry!H40</f>
        <v>Prepaids</v>
      </c>
      <c r="I40" s="22"/>
      <c r="J40" s="22"/>
      <c r="K40" s="22"/>
      <c r="L40" s="53" t="n">
        <f aca="false">L22</f>
        <v>109.479452054795</v>
      </c>
    </row>
    <row r="41" customFormat="false" ht="13.5" hidden="false" customHeight="true" outlineLevel="0" collapsed="false">
      <c r="A41" s="47"/>
      <c r="B41" s="22" t="n">
        <f aca="false">DataEntry!B41</f>
        <v>0</v>
      </c>
      <c r="C41" s="22"/>
      <c r="D41" s="24" t="str">
        <f aca="false">DataEntry!D41</f>
        <v>HOA Transfer fee</v>
      </c>
      <c r="E41" s="49" t="n">
        <f aca="false">DataEntry!E41</f>
        <v>0</v>
      </c>
      <c r="F41" s="82"/>
      <c r="G41" s="56"/>
      <c r="H41" s="24" t="str">
        <f aca="false">DataEntry!H41</f>
        <v>Subtotal</v>
      </c>
      <c r="I41" s="22"/>
      <c r="J41" s="22"/>
      <c r="K41" s="22"/>
      <c r="L41" s="58" t="n">
        <f aca="false">SUM(L37:L40)</f>
        <v>164010.091252055</v>
      </c>
    </row>
    <row r="42" customFormat="false" ht="13.5" hidden="false" customHeight="true" outlineLevel="0" collapsed="false">
      <c r="A42" s="47"/>
      <c r="B42" s="22" t="n">
        <f aca="false">DataEntry!B42</f>
        <v>0</v>
      </c>
      <c r="C42" s="22"/>
      <c r="D42" s="24" t="str">
        <f aca="false">DataEntry!D42</f>
        <v> </v>
      </c>
      <c r="E42" s="49" t="n">
        <f aca="false">DataEntry!E42</f>
        <v>0</v>
      </c>
      <c r="F42" s="82"/>
      <c r="G42" s="56"/>
      <c r="H42" s="24"/>
      <c r="I42" s="22"/>
      <c r="J42" s="22"/>
      <c r="K42" s="22"/>
      <c r="L42" s="83" t="s">
        <v>4</v>
      </c>
    </row>
    <row r="43" customFormat="false" ht="13.5" hidden="false" customHeight="true" outlineLevel="0" collapsed="false">
      <c r="A43" s="47"/>
      <c r="B43" s="22"/>
      <c r="C43" s="22"/>
      <c r="D43" s="22"/>
      <c r="E43" s="84"/>
      <c r="F43" s="82"/>
      <c r="G43" s="56"/>
      <c r="H43" s="24" t="str">
        <f aca="false">DataEntry!H43</f>
        <v>less new loan amount</v>
      </c>
      <c r="I43" s="22"/>
      <c r="J43" s="22"/>
      <c r="K43" s="22"/>
      <c r="L43" s="85" t="n">
        <f aca="false">-H9-H10</f>
        <v>-161100</v>
      </c>
    </row>
    <row r="44" customFormat="false" ht="13.5" hidden="false" customHeight="true" outlineLevel="0" collapsed="false">
      <c r="A44" s="47"/>
      <c r="B44" s="24"/>
      <c r="C44" s="22"/>
      <c r="D44" s="57" t="s">
        <v>22</v>
      </c>
      <c r="E44" s="86" t="n">
        <f aca="false">SUM(E31:E43)</f>
        <v>1435.6118</v>
      </c>
      <c r="F44" s="82"/>
      <c r="G44" s="56"/>
      <c r="H44" s="24" t="str">
        <f aca="false">DataEntry!H44</f>
        <v>Closing Cost Deposit</v>
      </c>
      <c r="I44" s="22"/>
      <c r="J44" s="22"/>
      <c r="K44" s="22"/>
      <c r="L44" s="53" t="n">
        <f aca="false">DataEntry!L44</f>
        <v>-375</v>
      </c>
    </row>
    <row r="45" customFormat="false" ht="13.5" hidden="false" customHeight="true" outlineLevel="0" collapsed="false">
      <c r="A45" s="47"/>
      <c r="B45" s="65"/>
      <c r="C45" s="65"/>
      <c r="D45" s="65"/>
      <c r="E45" s="65"/>
      <c r="F45" s="87"/>
      <c r="G45" s="56"/>
      <c r="H45" s="24" t="str">
        <f aca="false">DataEntry!H45</f>
        <v>less lender credit </v>
      </c>
      <c r="I45" s="22"/>
      <c r="J45" s="22"/>
      <c r="K45" s="22"/>
      <c r="L45" s="85" t="str">
        <f aca="false">DataEntry!L45</f>
        <v>tbd</v>
      </c>
    </row>
    <row r="46" customFormat="false" ht="17.25" hidden="false" customHeight="true" outlineLevel="0" collapsed="false">
      <c r="A46" s="47"/>
      <c r="B46" s="65"/>
      <c r="C46" s="65"/>
      <c r="D46" s="65" t="s">
        <v>4</v>
      </c>
      <c r="E46" s="88" t="s">
        <v>4</v>
      </c>
      <c r="F46" s="87"/>
      <c r="G46" s="56"/>
      <c r="H46" s="0"/>
      <c r="I46" s="89"/>
      <c r="J46" s="89"/>
      <c r="K46" s="90" t="str">
        <f aca="false">IF(L46&lt;0,"Cash Due to Owner at Closing =","Cash Due to Mortgage Company at Closing =")</f>
        <v>Cash Due to Mortgage Company at Closing =</v>
      </c>
      <c r="L46" s="91" t="n">
        <f aca="false">SUM(L41:L45)</f>
        <v>2535.09125205482</v>
      </c>
    </row>
    <row r="47" customFormat="false" ht="12.95" hidden="false" customHeight="true" outlineLevel="0" collapsed="false">
      <c r="A47" s="92"/>
      <c r="B47" s="93"/>
      <c r="C47" s="93"/>
      <c r="D47" s="93" t="s">
        <v>4</v>
      </c>
      <c r="E47" s="93"/>
      <c r="F47" s="93"/>
      <c r="G47" s="94" t="s">
        <v>23</v>
      </c>
      <c r="H47" s="95"/>
      <c r="I47" s="96"/>
      <c r="J47" s="96"/>
      <c r="K47" s="96"/>
      <c r="L47" s="97"/>
    </row>
    <row r="48" customFormat="false" ht="2.1" hidden="false" customHeight="true" outlineLevel="0" collapsed="false">
      <c r="A48" s="98"/>
      <c r="B48" s="98"/>
      <c r="C48" s="98"/>
      <c r="D48" s="98"/>
      <c r="E48" s="98"/>
      <c r="F48" s="98"/>
      <c r="G48" s="98"/>
      <c r="H48" s="99"/>
      <c r="I48" s="98"/>
      <c r="J48" s="98"/>
      <c r="K48" s="98"/>
      <c r="L48" s="100"/>
    </row>
    <row r="49" customFormat="false" ht="60" hidden="false" customHeight="true" outlineLevel="0" collapsed="false">
      <c r="A49" s="101" t="s">
        <v>4</v>
      </c>
      <c r="B49" s="101"/>
      <c r="C49" s="102" t="s">
        <v>24</v>
      </c>
      <c r="D49" s="102"/>
      <c r="E49" s="102"/>
      <c r="F49" s="102"/>
      <c r="G49" s="102"/>
      <c r="H49" s="102"/>
      <c r="I49" s="102"/>
      <c r="J49" s="102"/>
      <c r="K49" s="102"/>
      <c r="L49" s="101"/>
    </row>
    <row r="50" customFormat="false" ht="45" hidden="false" customHeight="true" outlineLevel="0" collapsed="false">
      <c r="A50" s="101" t="s">
        <v>4</v>
      </c>
      <c r="B50" s="101"/>
      <c r="C50" s="102" t="s">
        <v>25</v>
      </c>
      <c r="D50" s="102"/>
      <c r="E50" s="102"/>
      <c r="F50" s="102"/>
      <c r="G50" s="102"/>
      <c r="H50" s="102"/>
      <c r="I50" s="102"/>
      <c r="J50" s="102"/>
      <c r="K50" s="102"/>
      <c r="L50" s="101"/>
    </row>
    <row r="51" customFormat="false" ht="12" hidden="false" customHeight="true" outlineLevel="0" collapsed="false"/>
    <row r="52" customFormat="false" ht="15.75" hidden="false" customHeight="false" outlineLevel="0" collapsed="false">
      <c r="A52" s="6" t="s">
        <v>26</v>
      </c>
      <c r="D52" s="7"/>
      <c r="E52" s="7"/>
      <c r="F52" s="7"/>
      <c r="G52" s="7"/>
      <c r="H52" s="7"/>
      <c r="I52" s="7"/>
      <c r="J52" s="8" t="s">
        <v>27</v>
      </c>
      <c r="K52" s="7"/>
      <c r="L52" s="7"/>
    </row>
    <row r="53" customFormat="false" ht="14.25" hidden="false" customHeight="true" outlineLevel="0" collapsed="false"/>
    <row r="54" customFormat="false" ht="15.75" hidden="false" customHeight="false" outlineLevel="0" collapsed="false">
      <c r="A54" s="6" t="s">
        <v>28</v>
      </c>
      <c r="D54" s="7"/>
      <c r="E54" s="7"/>
      <c r="F54" s="7"/>
      <c r="G54" s="7"/>
      <c r="H54" s="7"/>
      <c r="I54" s="7"/>
      <c r="J54" s="8" t="s">
        <v>27</v>
      </c>
      <c r="K54" s="7"/>
      <c r="L54" s="7"/>
    </row>
    <row r="55" customFormat="false" ht="9.75" hidden="false" customHeight="true" outlineLevel="0" collapsed="false"/>
    <row r="56" customFormat="false" ht="15.75" hidden="false" customHeight="false" outlineLevel="0" collapsed="false">
      <c r="A56" s="103" t="str">
        <f aca="false">DataEntry!$A$52</f>
        <v>Estimate provided by Linda Rhoden.  Phone# 713-802-6025</v>
      </c>
      <c r="B56" s="103"/>
      <c r="C56" s="103"/>
      <c r="D56" s="103"/>
      <c r="E56" s="103"/>
      <c r="F56" s="103"/>
      <c r="G56" s="103"/>
      <c r="H56" s="103"/>
      <c r="I56" s="103"/>
      <c r="J56" s="103"/>
      <c r="K56" s="103"/>
      <c r="L56" s="103"/>
    </row>
    <row r="57" customFormat="false" ht="15.75" hidden="false" customHeight="false" outlineLevel="0" collapsed="false">
      <c r="A57" s="103" t="str">
        <f aca="false">DataEntry!$A$53</f>
        <v>888-852-7645 ext. 6025 Toll free / 713-802-6035 Fax</v>
      </c>
      <c r="B57" s="103"/>
      <c r="C57" s="103"/>
      <c r="D57" s="103"/>
      <c r="E57" s="103"/>
      <c r="F57" s="103"/>
      <c r="G57" s="103"/>
      <c r="H57" s="103"/>
      <c r="I57" s="103"/>
      <c r="J57" s="103"/>
      <c r="K57" s="103"/>
      <c r="L57" s="103"/>
    </row>
  </sheetData>
  <sheetProtection sheet="true" password="ccca" objects="true" scenarios="true"/>
  <mergeCells count="6">
    <mergeCell ref="A1:L1"/>
    <mergeCell ref="A2:L2"/>
    <mergeCell ref="C49:K49"/>
    <mergeCell ref="C50:K50"/>
    <mergeCell ref="A56:L56"/>
    <mergeCell ref="A57:L57"/>
  </mergeCells>
  <printOptions headings="false" gridLines="false" gridLinesSet="true" horizontalCentered="true" verticalCentered="false"/>
  <pageMargins left="0.35" right="0.170138888888889" top="0.5" bottom="0.29027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A90"/>
  <sheetViews>
    <sheetView showFormulas="false" showGridLines="false" showRowColHeaders="true" showZeros="true" rightToLeft="false" tabSelected="true" showOutlineSymbols="true" defaultGridColor="true" view="normal" topLeftCell="A1" colorId="64" zoomScale="75" zoomScaleNormal="75" zoomScalePageLayoutView="100" workbookViewId="0">
      <selection pane="topLeft" activeCell="L45" activeCellId="0" sqref="L45"/>
    </sheetView>
  </sheetViews>
  <sheetFormatPr defaultColWidth="9.76953125" defaultRowHeight="15.75" customHeight="true" zeroHeight="false" outlineLevelRow="0" outlineLevelCol="0"/>
  <cols>
    <col collapsed="false" customWidth="true" hidden="false" outlineLevel="0" max="1" min="1" style="2" width="1.77"/>
    <col collapsed="false" customWidth="true" hidden="false" outlineLevel="0" max="2" min="2" style="2" width="5.77"/>
    <col collapsed="false" customWidth="true" hidden="false" outlineLevel="0" max="3" min="3" style="2" width="5.65"/>
    <col collapsed="false" customWidth="true" hidden="false" outlineLevel="0" max="4" min="4" style="2" width="12.77"/>
    <col collapsed="false" customWidth="true" hidden="false" outlineLevel="0" max="5" min="5" style="2" width="7.77"/>
    <col collapsed="false" customWidth="true" hidden="false" outlineLevel="0" max="7" min="6" style="2" width="4.77"/>
    <col collapsed="false" customWidth="true" hidden="false" outlineLevel="0" max="8" min="8" style="2" width="11.65"/>
    <col collapsed="false" customWidth="true" hidden="false" outlineLevel="0" max="9" min="9" style="2" width="6.21"/>
    <col collapsed="false" customWidth="true" hidden="false" outlineLevel="0" max="10" min="10" style="2" width="7.88"/>
    <col collapsed="false" customWidth="true" hidden="false" outlineLevel="0" max="11" min="11" style="2" width="9.55"/>
    <col collapsed="false" customWidth="true" hidden="false" outlineLevel="0" max="12" min="12" style="2" width="9.1"/>
    <col collapsed="false" customWidth="true" hidden="false" outlineLevel="0" max="13" min="13" style="112" width="21.1"/>
    <col collapsed="false" customWidth="true" hidden="false" outlineLevel="0" max="14" min="14" style="112" width="10.77"/>
    <col collapsed="false" customWidth="true" hidden="false" outlineLevel="0" max="16" min="15" style="112" width="8.77"/>
    <col collapsed="false" customWidth="true" hidden="true" outlineLevel="0" max="19" min="17" style="112" width="8.77"/>
    <col collapsed="false" customWidth="true" hidden="true" outlineLevel="0" max="20" min="20" style="113" width="8.77"/>
    <col collapsed="false" customWidth="true" hidden="true" outlineLevel="0" max="21" min="21" style="114" width="8.77"/>
    <col collapsed="false" customWidth="true" hidden="true" outlineLevel="0" max="25" min="22" style="112" width="8.77"/>
    <col collapsed="false" customWidth="true" hidden="true" outlineLevel="0" max="26" min="26" style="2" width="8.77"/>
    <col collapsed="false" customWidth="false" hidden="false" outlineLevel="0" max="257" min="27" style="2" width="9.77"/>
  </cols>
  <sheetData>
    <row r="1" customFormat="false" ht="22.5" hidden="false" customHeight="false" outlineLevel="0" collapsed="false">
      <c r="A1" s="115" t="s">
        <v>38</v>
      </c>
      <c r="B1" s="115"/>
      <c r="C1" s="115"/>
      <c r="D1" s="115"/>
      <c r="E1" s="115"/>
      <c r="F1" s="115"/>
      <c r="G1" s="115"/>
      <c r="H1" s="115"/>
      <c r="I1" s="115"/>
      <c r="J1" s="115"/>
      <c r="K1" s="115"/>
      <c r="L1" s="115"/>
      <c r="M1" s="112" t="s">
        <v>39</v>
      </c>
      <c r="N1" s="112" t="s">
        <v>40</v>
      </c>
      <c r="Z1" s="2" t="s">
        <v>41</v>
      </c>
    </row>
    <row r="2" customFormat="false" ht="18.75" hidden="false" customHeight="true" outlineLevel="0" collapsed="false">
      <c r="A2" s="115" t="s">
        <v>42</v>
      </c>
      <c r="B2" s="115"/>
      <c r="C2" s="115"/>
      <c r="D2" s="115"/>
      <c r="E2" s="115"/>
      <c r="F2" s="115"/>
      <c r="G2" s="115"/>
      <c r="H2" s="115"/>
      <c r="I2" s="115"/>
      <c r="J2" s="115"/>
      <c r="K2" s="115"/>
      <c r="L2" s="115"/>
      <c r="V2" s="116"/>
      <c r="Z2" s="2" t="s">
        <v>43</v>
      </c>
    </row>
    <row r="3" customFormat="false" ht="18.75" hidden="false" customHeight="true" outlineLevel="0" collapsed="false">
      <c r="A3" s="117"/>
      <c r="B3" s="112"/>
      <c r="C3" s="112"/>
      <c r="D3" s="112"/>
      <c r="E3" s="112"/>
      <c r="F3" s="112"/>
      <c r="G3" s="112"/>
      <c r="H3" s="112"/>
      <c r="I3" s="112"/>
      <c r="J3" s="112"/>
      <c r="K3" s="112"/>
      <c r="L3" s="112"/>
      <c r="V3" s="112" t="s">
        <v>4</v>
      </c>
      <c r="Z3" s="2" t="s">
        <v>44</v>
      </c>
    </row>
    <row r="4" customFormat="false" ht="16.5" hidden="false" customHeight="false" outlineLevel="0" collapsed="false">
      <c r="A4" s="118" t="s">
        <v>2</v>
      </c>
      <c r="C4" s="119"/>
      <c r="D4" s="120" t="s">
        <v>45</v>
      </c>
      <c r="E4" s="119"/>
      <c r="F4" s="119"/>
      <c r="G4" s="121"/>
      <c r="H4" s="119"/>
      <c r="I4" s="119"/>
      <c r="J4" s="119" t="s">
        <v>3</v>
      </c>
      <c r="K4" s="122" t="n">
        <v>37133</v>
      </c>
      <c r="L4" s="119" t="s">
        <v>4</v>
      </c>
      <c r="V4" s="112" t="s">
        <v>4</v>
      </c>
      <c r="Z4" s="2" t="s">
        <v>46</v>
      </c>
    </row>
    <row r="5" customFormat="false" ht="15.75" hidden="false" customHeight="true" outlineLevel="0" collapsed="false">
      <c r="A5" s="118" t="s">
        <v>5</v>
      </c>
      <c r="C5" s="119"/>
      <c r="D5" s="119"/>
      <c r="E5" s="123" t="s">
        <v>47</v>
      </c>
      <c r="F5" s="124" t="n">
        <v>30</v>
      </c>
      <c r="G5" s="121" t="s">
        <v>48</v>
      </c>
      <c r="H5" s="119"/>
      <c r="I5" s="119"/>
      <c r="J5" s="119"/>
      <c r="K5" s="119"/>
      <c r="L5" s="119"/>
      <c r="Q5" s="125" t="s">
        <v>49</v>
      </c>
      <c r="R5" s="125"/>
      <c r="S5" s="125"/>
      <c r="T5" s="126" t="s">
        <v>50</v>
      </c>
      <c r="U5" s="126"/>
      <c r="V5" s="127" t="s">
        <v>51</v>
      </c>
      <c r="W5" s="127"/>
      <c r="X5" s="127"/>
      <c r="Y5" s="128" t="s">
        <v>52</v>
      </c>
      <c r="Z5" s="2" t="s">
        <v>53</v>
      </c>
    </row>
    <row r="6" customFormat="false" ht="16.5" hidden="false" customHeight="true" outlineLevel="0" collapsed="false">
      <c r="D6" s="129"/>
      <c r="E6" s="130" t="s">
        <v>8</v>
      </c>
      <c r="F6" s="131" t="n">
        <f aca="false">O8</f>
        <v>0</v>
      </c>
      <c r="G6" s="118"/>
      <c r="H6" s="2" t="s">
        <v>4</v>
      </c>
      <c r="I6" s="2" t="s">
        <v>4</v>
      </c>
      <c r="Q6" s="125"/>
      <c r="R6" s="125"/>
      <c r="S6" s="125"/>
      <c r="T6" s="126"/>
      <c r="U6" s="126"/>
      <c r="V6" s="127"/>
      <c r="W6" s="127"/>
      <c r="X6" s="127"/>
      <c r="Y6" s="128"/>
      <c r="Z6" s="2" t="s">
        <v>40</v>
      </c>
    </row>
    <row r="7" customFormat="false" ht="16.5" hidden="false" customHeight="false" outlineLevel="0" collapsed="false">
      <c r="A7" s="132" t="s">
        <v>10</v>
      </c>
      <c r="B7" s="133"/>
      <c r="C7" s="133"/>
      <c r="D7" s="133"/>
      <c r="E7" s="133"/>
      <c r="F7" s="133"/>
      <c r="G7" s="133"/>
      <c r="H7" s="133"/>
      <c r="I7" s="133"/>
      <c r="J7" s="133"/>
      <c r="K7" s="133"/>
      <c r="L7" s="134"/>
      <c r="M7" s="112" t="s">
        <v>54</v>
      </c>
      <c r="O7" s="112" t="s">
        <v>55</v>
      </c>
      <c r="P7" s="112" t="s">
        <v>56</v>
      </c>
      <c r="Q7" s="125"/>
      <c r="R7" s="125"/>
      <c r="S7" s="125"/>
      <c r="T7" s="126"/>
      <c r="U7" s="126"/>
      <c r="V7" s="127"/>
      <c r="W7" s="127"/>
      <c r="X7" s="127"/>
      <c r="Y7" s="128"/>
      <c r="Z7" s="2" t="s">
        <v>57</v>
      </c>
    </row>
    <row r="8" customFormat="false" ht="16.5" hidden="false" customHeight="false" outlineLevel="0" collapsed="false">
      <c r="A8" s="135" t="s">
        <v>58</v>
      </c>
      <c r="B8" s="136"/>
      <c r="C8" s="136"/>
      <c r="D8" s="137" t="n">
        <f aca="false">F5</f>
        <v>30</v>
      </c>
      <c r="E8" s="138" t="s">
        <v>59</v>
      </c>
      <c r="F8" s="136"/>
      <c r="G8" s="139"/>
      <c r="H8" s="140" t="n">
        <v>185000</v>
      </c>
      <c r="I8" s="138" t="s">
        <v>60</v>
      </c>
      <c r="J8" s="136"/>
      <c r="K8" s="136"/>
      <c r="L8" s="141"/>
      <c r="M8" s="112" t="n">
        <v>1</v>
      </c>
      <c r="O8" s="142" t="n">
        <v>0</v>
      </c>
      <c r="P8" s="143" t="n">
        <v>0.0675</v>
      </c>
      <c r="Q8" s="144" t="n">
        <v>1</v>
      </c>
      <c r="R8" s="145" t="n">
        <v>0.4</v>
      </c>
      <c r="S8" s="146" t="n">
        <f aca="false">IF($L$37&lt;100000,R8*((($L$37-100000)*0.00805)+992),R8*((($L$37-100000)*0.00628)+992))</f>
        <v>550.2832</v>
      </c>
      <c r="T8" s="147" t="n">
        <v>0</v>
      </c>
      <c r="U8" s="148" t="n">
        <v>650</v>
      </c>
      <c r="V8" s="149" t="n">
        <f aca="false">H13</f>
        <v>37168</v>
      </c>
      <c r="W8" s="150" t="n">
        <f aca="false">V8</f>
        <v>37168</v>
      </c>
      <c r="X8" s="151" t="s">
        <v>61</v>
      </c>
      <c r="Y8" s="152"/>
      <c r="Z8" s="2" t="s">
        <v>62</v>
      </c>
    </row>
    <row r="9" customFormat="false" ht="15.75" hidden="false" customHeight="false" outlineLevel="0" collapsed="false">
      <c r="A9" s="135" t="s">
        <v>63</v>
      </c>
      <c r="B9" s="136"/>
      <c r="C9" s="136"/>
      <c r="D9" s="139" t="n">
        <f aca="false">F5*12</f>
        <v>360</v>
      </c>
      <c r="E9" s="136" t="s">
        <v>4</v>
      </c>
      <c r="F9" s="153" t="s">
        <v>4</v>
      </c>
      <c r="G9" s="139"/>
      <c r="H9" s="154" t="n">
        <f aca="false">0.9*H8</f>
        <v>166500</v>
      </c>
      <c r="I9" s="138" t="s">
        <v>64</v>
      </c>
      <c r="J9" s="136"/>
      <c r="K9" s="136"/>
      <c r="L9" s="141"/>
      <c r="M9" s="112" t="s">
        <v>65</v>
      </c>
      <c r="O9" s="142" t="n">
        <v>0</v>
      </c>
      <c r="P9" s="143" t="n">
        <v>0.0675</v>
      </c>
      <c r="Q9" s="144" t="n">
        <v>2</v>
      </c>
      <c r="R9" s="145" t="n">
        <v>0.4</v>
      </c>
      <c r="S9" s="146" t="n">
        <f aca="false">IF($L$37&lt;100000,R9*((($L$37-100000)*0.00805)+992),R9*((($L$37-100000)*0.00628)+992))</f>
        <v>550.2832</v>
      </c>
      <c r="T9" s="147" t="n">
        <v>100000</v>
      </c>
      <c r="U9" s="148" t="n">
        <v>750</v>
      </c>
      <c r="V9" s="155" t="n">
        <v>36892</v>
      </c>
      <c r="W9" s="145" t="n">
        <f aca="false">V9</f>
        <v>36892</v>
      </c>
      <c r="X9" s="156" t="n">
        <v>2</v>
      </c>
      <c r="Y9" s="156" t="n">
        <f aca="false">W10</f>
        <v>36923</v>
      </c>
      <c r="Z9" s="112"/>
      <c r="AA9" s="112"/>
    </row>
    <row r="10" customFormat="false" ht="15.75" hidden="false" customHeight="false" outlineLevel="0" collapsed="false">
      <c r="A10" s="135" t="s">
        <v>66</v>
      </c>
      <c r="B10" s="136"/>
      <c r="C10" s="136"/>
      <c r="D10" s="137" t="n">
        <v>0</v>
      </c>
      <c r="E10" s="136"/>
      <c r="F10" s="153" t="s">
        <v>4</v>
      </c>
      <c r="G10" s="139"/>
      <c r="H10" s="157" t="n">
        <v>0</v>
      </c>
      <c r="I10" s="138" t="s">
        <v>67</v>
      </c>
      <c r="J10" s="136"/>
      <c r="K10" s="136"/>
      <c r="L10" s="141"/>
      <c r="M10" s="112" t="n">
        <v>4</v>
      </c>
      <c r="O10" s="142" t="n">
        <v>1</v>
      </c>
      <c r="P10" s="143" t="n">
        <v>0.06625</v>
      </c>
      <c r="Q10" s="144" t="n">
        <v>3</v>
      </c>
      <c r="R10" s="145" t="n">
        <v>0.35</v>
      </c>
      <c r="S10" s="146" t="n">
        <f aca="false">IF($L$37&lt;100000,R10*((($L$37-100000)*0.00805)+992),R10*((($L$37-100000)*0.00628)+992))</f>
        <v>481.4978</v>
      </c>
      <c r="T10" s="147" t="n">
        <v>150000</v>
      </c>
      <c r="U10" s="148" t="n">
        <v>900</v>
      </c>
      <c r="V10" s="155" t="n">
        <f aca="false">V9+31</f>
        <v>36923</v>
      </c>
      <c r="W10" s="145" t="n">
        <f aca="false">V10</f>
        <v>36923</v>
      </c>
      <c r="X10" s="156" t="n">
        <v>3</v>
      </c>
      <c r="Y10" s="156" t="n">
        <f aca="false">W11</f>
        <v>36951</v>
      </c>
      <c r="Z10" s="112"/>
      <c r="AA10" s="112"/>
    </row>
    <row r="11" customFormat="false" ht="15.75" hidden="false" customHeight="false" outlineLevel="0" collapsed="false">
      <c r="A11" s="135" t="s">
        <v>68</v>
      </c>
      <c r="B11" s="136"/>
      <c r="C11" s="136"/>
      <c r="D11" s="158" t="n">
        <f aca="false">P8</f>
        <v>0.0675</v>
      </c>
      <c r="E11" s="159" t="s">
        <v>69</v>
      </c>
      <c r="F11" s="136"/>
      <c r="G11" s="139"/>
      <c r="H11" s="160" t="n">
        <f aca="false">(H9+H10)/H8</f>
        <v>0.9</v>
      </c>
      <c r="I11" s="138" t="s">
        <v>70</v>
      </c>
      <c r="J11" s="136"/>
      <c r="K11" s="136"/>
      <c r="L11" s="141"/>
      <c r="M11" s="112" t="s">
        <v>71</v>
      </c>
      <c r="O11" s="142" t="n">
        <v>1</v>
      </c>
      <c r="P11" s="143" t="n">
        <v>0.06625</v>
      </c>
      <c r="Q11" s="144" t="n">
        <v>4</v>
      </c>
      <c r="R11" s="145" t="n">
        <v>0.3</v>
      </c>
      <c r="S11" s="146" t="n">
        <f aca="false">IF($L$37&lt;100000,R11*((($L$37-100000)*0.00805)+992),R11*((($L$37-100000)*0.00628)+992))</f>
        <v>412.7124</v>
      </c>
      <c r="T11" s="147" t="n">
        <v>200000</v>
      </c>
      <c r="U11" s="148" t="n">
        <v>1000</v>
      </c>
      <c r="V11" s="155" t="n">
        <f aca="false">V10+28</f>
        <v>36951</v>
      </c>
      <c r="W11" s="145" t="n">
        <f aca="false">V11</f>
        <v>36951</v>
      </c>
      <c r="X11" s="156" t="n">
        <v>4</v>
      </c>
      <c r="Y11" s="156" t="n">
        <f aca="false">W12</f>
        <v>36982</v>
      </c>
      <c r="Z11" s="112"/>
      <c r="AA11" s="112"/>
    </row>
    <row r="12" customFormat="false" ht="15.75" hidden="false" customHeight="false" outlineLevel="0" collapsed="false">
      <c r="A12" s="135" t="s">
        <v>72</v>
      </c>
      <c r="B12" s="136"/>
      <c r="C12" s="136"/>
      <c r="D12" s="161" t="n">
        <v>0</v>
      </c>
      <c r="E12" s="136"/>
      <c r="F12" s="136"/>
      <c r="G12" s="139"/>
      <c r="H12" s="162" t="n">
        <v>37165</v>
      </c>
      <c r="I12" s="138" t="s">
        <v>73</v>
      </c>
      <c r="J12" s="136"/>
      <c r="K12" s="163" t="s">
        <v>4</v>
      </c>
      <c r="L12" s="164" t="s">
        <v>4</v>
      </c>
      <c r="P12" s="165"/>
      <c r="Q12" s="144" t="n">
        <v>5</v>
      </c>
      <c r="R12" s="145" t="n">
        <v>0.25</v>
      </c>
      <c r="S12" s="146" t="n">
        <f aca="false">IF($L$37&lt;100000,R12*((($L$37-100000)*0.00805)+992),R12*((($L$37-100000)*0.00628)+992))</f>
        <v>343.927</v>
      </c>
      <c r="T12" s="147" t="n">
        <v>250000</v>
      </c>
      <c r="U12" s="148" t="n">
        <v>1250</v>
      </c>
      <c r="V12" s="155" t="n">
        <f aca="false">V11+31</f>
        <v>36982</v>
      </c>
      <c r="W12" s="145" t="n">
        <f aca="false">V12</f>
        <v>36982</v>
      </c>
      <c r="X12" s="156" t="n">
        <v>5</v>
      </c>
      <c r="Y12" s="156" t="n">
        <f aca="false">W13</f>
        <v>37012</v>
      </c>
      <c r="Z12" s="112"/>
      <c r="AA12" s="112"/>
    </row>
    <row r="13" customFormat="false" ht="15.75" hidden="false" customHeight="false" outlineLevel="0" collapsed="false">
      <c r="A13" s="135" t="s">
        <v>74</v>
      </c>
      <c r="B13" s="136"/>
      <c r="C13" s="136"/>
      <c r="D13" s="166" t="n">
        <f aca="false">LOOKUP($H$8,T8:U18,U8:U17)</f>
        <v>900</v>
      </c>
      <c r="E13" s="136" t="s">
        <v>75</v>
      </c>
      <c r="F13" s="136"/>
      <c r="G13" s="139"/>
      <c r="H13" s="167" t="n">
        <f aca="false">H12+3</f>
        <v>37168</v>
      </c>
      <c r="I13" s="138" t="s">
        <v>76</v>
      </c>
      <c r="J13" s="136"/>
      <c r="K13" s="136"/>
      <c r="L13" s="141"/>
      <c r="M13" s="168" t="s">
        <v>77</v>
      </c>
      <c r="N13" s="169" t="s">
        <v>78</v>
      </c>
      <c r="O13" s="170" t="n">
        <v>1</v>
      </c>
      <c r="Q13" s="144" t="n">
        <v>6</v>
      </c>
      <c r="R13" s="145" t="n">
        <v>0.2</v>
      </c>
      <c r="S13" s="146" t="n">
        <f aca="false">IF($L$37&lt;100000,R13*((($L$37-100000)*0.00805)+992),R13*((($L$37-100000)*0.00628)+992))</f>
        <v>275.1416</v>
      </c>
      <c r="T13" s="147" t="n">
        <v>300000</v>
      </c>
      <c r="U13" s="148" t="n">
        <v>1500</v>
      </c>
      <c r="V13" s="155" t="n">
        <f aca="false">V12+30</f>
        <v>37012</v>
      </c>
      <c r="W13" s="145" t="n">
        <f aca="false">V13</f>
        <v>37012</v>
      </c>
      <c r="X13" s="156" t="n">
        <v>6</v>
      </c>
      <c r="Y13" s="156" t="n">
        <f aca="false">W14</f>
        <v>37043</v>
      </c>
      <c r="Z13" s="112"/>
      <c r="AA13" s="112"/>
    </row>
    <row r="14" customFormat="false" ht="15.75" hidden="false" customHeight="true" outlineLevel="0" collapsed="false">
      <c r="A14" s="135" t="s">
        <v>79</v>
      </c>
      <c r="B14" s="136"/>
      <c r="C14" s="136"/>
      <c r="D14" s="166" t="n">
        <f aca="false">H8*0.025</f>
        <v>4625</v>
      </c>
      <c r="E14" s="136" t="s">
        <v>80</v>
      </c>
      <c r="F14" s="136"/>
      <c r="G14" s="137"/>
      <c r="H14" s="171" t="s">
        <v>81</v>
      </c>
      <c r="I14" s="138" t="s">
        <v>82</v>
      </c>
      <c r="J14" s="136"/>
      <c r="K14" s="136"/>
      <c r="L14" s="141"/>
      <c r="M14" s="172" t="s">
        <v>83</v>
      </c>
      <c r="N14" s="173" t="s">
        <v>78</v>
      </c>
      <c r="O14" s="174" t="n">
        <f aca="false">VLOOKUP(O13,Q8:S15,3,TRUE())</f>
        <v>550.2832</v>
      </c>
      <c r="Q14" s="144" t="n">
        <v>7</v>
      </c>
      <c r="R14" s="145" t="n">
        <v>0.15</v>
      </c>
      <c r="S14" s="146" t="n">
        <f aca="false">IF($L$37&lt;100000,R14*((($L$37-100000)*0.00805)+992),R14*((($L$37-100000)*0.00628)+992))</f>
        <v>206.3562</v>
      </c>
      <c r="T14" s="147" t="n">
        <v>350000</v>
      </c>
      <c r="U14" s="148" t="n">
        <v>1750</v>
      </c>
      <c r="V14" s="155" t="n">
        <f aca="false">V13+31</f>
        <v>37043</v>
      </c>
      <c r="W14" s="145" t="n">
        <f aca="false">V14</f>
        <v>37043</v>
      </c>
      <c r="X14" s="156" t="n">
        <v>7</v>
      </c>
      <c r="Y14" s="156" t="n">
        <f aca="false">W15</f>
        <v>37073</v>
      </c>
      <c r="Z14" s="112"/>
      <c r="AA14" s="112"/>
    </row>
    <row r="15" customFormat="false" ht="15" hidden="false" customHeight="true" outlineLevel="0" collapsed="false">
      <c r="A15" s="175" t="s">
        <v>4</v>
      </c>
      <c r="B15" s="119"/>
      <c r="C15" s="119"/>
      <c r="D15" s="119"/>
      <c r="E15" s="119"/>
      <c r="F15" s="119"/>
      <c r="G15" s="119"/>
      <c r="H15" s="119"/>
      <c r="I15" s="119"/>
      <c r="J15" s="119"/>
      <c r="K15" s="119"/>
      <c r="L15" s="176"/>
      <c r="M15" s="177"/>
      <c r="N15" s="178"/>
      <c r="O15" s="179"/>
      <c r="Q15" s="144" t="n">
        <v>8</v>
      </c>
      <c r="R15" s="145" t="n">
        <v>0</v>
      </c>
      <c r="S15" s="146" t="n">
        <f aca="false">IF($L$37&lt;100000,R15*((($L$37-100000)*0.00805)+992),R15*((($L$37-100000)*0.00628)+992))</f>
        <v>0</v>
      </c>
      <c r="T15" s="147" t="n">
        <v>400000</v>
      </c>
      <c r="U15" s="148" t="n">
        <v>2000</v>
      </c>
      <c r="V15" s="155" t="n">
        <f aca="false">V14+30</f>
        <v>37073</v>
      </c>
      <c r="W15" s="145" t="n">
        <f aca="false">V15</f>
        <v>37073</v>
      </c>
      <c r="X15" s="156" t="n">
        <v>8</v>
      </c>
      <c r="Y15" s="156" t="n">
        <f aca="false">W16</f>
        <v>37104</v>
      </c>
      <c r="Z15" s="112"/>
      <c r="AA15" s="112"/>
    </row>
    <row r="16" customFormat="false" ht="15" hidden="false" customHeight="true" outlineLevel="0" collapsed="false">
      <c r="A16" s="180" t="s">
        <v>11</v>
      </c>
      <c r="B16" s="181"/>
      <c r="C16" s="181"/>
      <c r="D16" s="181"/>
      <c r="E16" s="182"/>
      <c r="F16" s="183"/>
      <c r="G16" s="184" t="s">
        <v>12</v>
      </c>
      <c r="H16" s="181"/>
      <c r="I16" s="181"/>
      <c r="J16" s="181"/>
      <c r="K16" s="181"/>
      <c r="L16" s="185"/>
      <c r="M16" s="169"/>
      <c r="N16" s="169"/>
      <c r="O16" s="169"/>
      <c r="Q16" s="144"/>
      <c r="R16" s="145"/>
      <c r="S16" s="156"/>
      <c r="T16" s="147" t="n">
        <v>450000</v>
      </c>
      <c r="U16" s="148" t="n">
        <v>2250</v>
      </c>
      <c r="V16" s="155" t="n">
        <f aca="false">V15+31</f>
        <v>37104</v>
      </c>
      <c r="W16" s="145" t="n">
        <f aca="false">V16</f>
        <v>37104</v>
      </c>
      <c r="X16" s="156" t="n">
        <v>9</v>
      </c>
      <c r="Y16" s="156" t="n">
        <f aca="false">W17</f>
        <v>37135</v>
      </c>
      <c r="Z16" s="112"/>
      <c r="AA16" s="112"/>
    </row>
    <row r="17" customFormat="false" ht="13.5" hidden="false" customHeight="true" outlineLevel="0" collapsed="false">
      <c r="A17" s="186"/>
      <c r="B17" s="136" t="n">
        <v>801</v>
      </c>
      <c r="C17" s="187" t="n">
        <f aca="false">F6</f>
        <v>0</v>
      </c>
      <c r="D17" s="138" t="s">
        <v>84</v>
      </c>
      <c r="E17" s="188" t="n">
        <f aca="false">C17*H9/100</f>
        <v>0</v>
      </c>
      <c r="F17" s="189"/>
      <c r="G17" s="190" t="n">
        <v>4</v>
      </c>
      <c r="H17" s="138" t="s">
        <v>85</v>
      </c>
      <c r="I17" s="136"/>
      <c r="J17" s="191" t="n">
        <f aca="false">$H$9*$D$11/365</f>
        <v>30.791095890411</v>
      </c>
      <c r="K17" s="138" t="s">
        <v>13</v>
      </c>
      <c r="L17" s="192" t="n">
        <f aca="false">J17*G17</f>
        <v>123.164383561644</v>
      </c>
      <c r="M17" s="169"/>
      <c r="N17" s="169"/>
      <c r="O17" s="169"/>
      <c r="Q17" s="193"/>
      <c r="R17" s="194"/>
      <c r="S17" s="195"/>
      <c r="T17" s="196" t="n">
        <v>500000</v>
      </c>
      <c r="U17" s="197" t="n">
        <v>2500</v>
      </c>
      <c r="V17" s="155" t="n">
        <f aca="false">V16+31</f>
        <v>37135</v>
      </c>
      <c r="W17" s="145" t="n">
        <f aca="false">V17</f>
        <v>37135</v>
      </c>
      <c r="X17" s="156" t="n">
        <v>10</v>
      </c>
      <c r="Y17" s="156" t="n">
        <f aca="false">W18</f>
        <v>37165</v>
      </c>
      <c r="Z17" s="112"/>
      <c r="AA17" s="112"/>
    </row>
    <row r="18" customFormat="false" ht="13.5" hidden="false" customHeight="true" outlineLevel="0" collapsed="false">
      <c r="A18" s="186"/>
      <c r="B18" s="136" t="n">
        <v>802</v>
      </c>
      <c r="C18" s="198" t="n">
        <v>0</v>
      </c>
      <c r="D18" s="138" t="s">
        <v>86</v>
      </c>
      <c r="E18" s="188" t="n">
        <f aca="false">C18*H9/100</f>
        <v>0</v>
      </c>
      <c r="F18" s="189"/>
      <c r="G18" s="190" t="n">
        <f aca="false">VLOOKUP($W$8,V9:X68,3,TRUE())</f>
        <v>11</v>
      </c>
      <c r="H18" s="138" t="s">
        <v>87</v>
      </c>
      <c r="I18" s="136"/>
      <c r="J18" s="191" t="n">
        <f aca="false">D14/12</f>
        <v>385.416666666667</v>
      </c>
      <c r="K18" s="138" t="s">
        <v>14</v>
      </c>
      <c r="L18" s="192" t="n">
        <f aca="false">G18*J18</f>
        <v>4239.58333333333</v>
      </c>
      <c r="M18" s="169"/>
      <c r="N18" s="169"/>
      <c r="O18" s="169" t="s">
        <v>4</v>
      </c>
      <c r="P18" s="199"/>
      <c r="V18" s="155" t="n">
        <f aca="false">V17+30</f>
        <v>37165</v>
      </c>
      <c r="W18" s="145" t="n">
        <f aca="false">V18</f>
        <v>37165</v>
      </c>
      <c r="X18" s="156" t="n">
        <v>11</v>
      </c>
      <c r="Y18" s="156" t="n">
        <f aca="false">W19</f>
        <v>37196</v>
      </c>
      <c r="Z18" s="112"/>
      <c r="AA18" s="112"/>
    </row>
    <row r="19" customFormat="false" ht="13.5" hidden="false" customHeight="true" outlineLevel="0" collapsed="false">
      <c r="A19" s="186"/>
      <c r="B19" s="136" t="n">
        <v>803</v>
      </c>
      <c r="C19" s="136"/>
      <c r="D19" s="138" t="s">
        <v>88</v>
      </c>
      <c r="E19" s="200" t="n">
        <v>325</v>
      </c>
      <c r="F19" s="189"/>
      <c r="G19" s="201" t="n">
        <v>4</v>
      </c>
      <c r="H19" s="138" t="s">
        <v>89</v>
      </c>
      <c r="I19" s="136"/>
      <c r="J19" s="191" t="n">
        <f aca="false">D13/12</f>
        <v>75</v>
      </c>
      <c r="K19" s="138" t="s">
        <v>14</v>
      </c>
      <c r="L19" s="192" t="n">
        <f aca="false">G19*J19</f>
        <v>300</v>
      </c>
      <c r="M19" s="169" t="s">
        <v>4</v>
      </c>
      <c r="N19" s="169"/>
      <c r="O19" s="169"/>
      <c r="Q19" s="112" t="s">
        <v>4</v>
      </c>
      <c r="V19" s="155" t="n">
        <f aca="false">V18+31</f>
        <v>37196</v>
      </c>
      <c r="W19" s="145" t="n">
        <f aca="false">V19</f>
        <v>37196</v>
      </c>
      <c r="X19" s="156" t="n">
        <v>0</v>
      </c>
      <c r="Y19" s="156" t="n">
        <f aca="false">W20</f>
        <v>37226</v>
      </c>
      <c r="Z19" s="112"/>
      <c r="AA19" s="112"/>
    </row>
    <row r="20" customFormat="false" ht="13.5" hidden="false" customHeight="true" outlineLevel="0" collapsed="false">
      <c r="A20" s="186"/>
      <c r="B20" s="136" t="n">
        <v>804</v>
      </c>
      <c r="C20" s="136"/>
      <c r="D20" s="138" t="s">
        <v>90</v>
      </c>
      <c r="E20" s="200" t="n">
        <v>50</v>
      </c>
      <c r="F20" s="189"/>
      <c r="G20" s="201" t="n">
        <v>0</v>
      </c>
      <c r="H20" s="138" t="s">
        <v>91</v>
      </c>
      <c r="I20" s="136"/>
      <c r="J20" s="191" t="n">
        <v>0</v>
      </c>
      <c r="K20" s="138" t="s">
        <v>14</v>
      </c>
      <c r="L20" s="192" t="n">
        <f aca="false">G20*J20</f>
        <v>0</v>
      </c>
      <c r="S20" s="202"/>
      <c r="V20" s="155" t="n">
        <f aca="false">V19+30</f>
        <v>37226</v>
      </c>
      <c r="W20" s="145" t="n">
        <f aca="false">V20</f>
        <v>37226</v>
      </c>
      <c r="X20" s="156" t="n">
        <v>1</v>
      </c>
      <c r="Y20" s="156" t="n">
        <f aca="false">W21</f>
        <v>37257</v>
      </c>
      <c r="Z20" s="112"/>
      <c r="AA20" s="112"/>
    </row>
    <row r="21" customFormat="false" ht="13.5" hidden="false" customHeight="true" outlineLevel="0" collapsed="false">
      <c r="A21" s="186"/>
      <c r="B21" s="136" t="n">
        <v>805</v>
      </c>
      <c r="C21" s="136"/>
      <c r="D21" s="138" t="s">
        <v>92</v>
      </c>
      <c r="E21" s="200" t="n">
        <v>0</v>
      </c>
      <c r="F21" s="189"/>
      <c r="G21" s="201" t="n">
        <v>0</v>
      </c>
      <c r="H21" s="138" t="s">
        <v>93</v>
      </c>
      <c r="I21" s="136"/>
      <c r="J21" s="191" t="n">
        <v>0</v>
      </c>
      <c r="K21" s="138" t="s">
        <v>14</v>
      </c>
      <c r="L21" s="192" t="n">
        <f aca="false">G21*J21</f>
        <v>0</v>
      </c>
      <c r="S21" s="203" t="s">
        <v>4</v>
      </c>
      <c r="V21" s="155" t="n">
        <f aca="false">V20+31</f>
        <v>37257</v>
      </c>
      <c r="W21" s="145" t="n">
        <f aca="false">V21</f>
        <v>37257</v>
      </c>
      <c r="X21" s="156" t="n">
        <v>2</v>
      </c>
      <c r="Y21" s="156" t="n">
        <f aca="false">W22</f>
        <v>37288</v>
      </c>
      <c r="Z21" s="112"/>
      <c r="AA21" s="112"/>
    </row>
    <row r="22" customFormat="false" ht="13.5" hidden="false" customHeight="true" outlineLevel="0" collapsed="false">
      <c r="A22" s="186"/>
      <c r="B22" s="136" t="n">
        <v>828</v>
      </c>
      <c r="C22" s="136"/>
      <c r="D22" s="138" t="s">
        <v>94</v>
      </c>
      <c r="E22" s="200" t="n">
        <v>250</v>
      </c>
      <c r="F22" s="189"/>
      <c r="G22" s="204"/>
      <c r="H22" s="138" t="s">
        <v>4</v>
      </c>
      <c r="I22" s="136"/>
      <c r="J22" s="136"/>
      <c r="K22" s="205" t="s">
        <v>15</v>
      </c>
      <c r="L22" s="206" t="n">
        <f aca="false">SUM(L17:L21)</f>
        <v>4662.74771689498</v>
      </c>
      <c r="Q22" s="0"/>
      <c r="R22" s="0"/>
      <c r="S22" s="0"/>
      <c r="V22" s="155" t="n">
        <f aca="false">V21+31</f>
        <v>37288</v>
      </c>
      <c r="W22" s="145" t="n">
        <f aca="false">V22</f>
        <v>37288</v>
      </c>
      <c r="X22" s="156" t="n">
        <v>3</v>
      </c>
      <c r="Y22" s="156" t="n">
        <f aca="false">W23</f>
        <v>37316</v>
      </c>
      <c r="Z22" s="112"/>
      <c r="AA22" s="112"/>
    </row>
    <row r="23" customFormat="false" ht="13.5" hidden="false" customHeight="true" outlineLevel="0" collapsed="false">
      <c r="A23" s="186"/>
      <c r="B23" s="136" t="n">
        <v>809</v>
      </c>
      <c r="C23" s="136"/>
      <c r="D23" s="138" t="s">
        <v>95</v>
      </c>
      <c r="E23" s="200" t="n">
        <v>0</v>
      </c>
      <c r="F23" s="189"/>
      <c r="G23" s="59" t="s">
        <v>16</v>
      </c>
      <c r="H23" s="207"/>
      <c r="I23" s="207"/>
      <c r="J23" s="207"/>
      <c r="K23" s="207"/>
      <c r="L23" s="208"/>
      <c r="M23" s="112" t="s">
        <v>4</v>
      </c>
      <c r="Q23" s="0"/>
      <c r="R23" s="0"/>
      <c r="S23" s="0"/>
      <c r="V23" s="155" t="n">
        <f aca="false">V22+28</f>
        <v>37316</v>
      </c>
      <c r="W23" s="145" t="n">
        <f aca="false">V23</f>
        <v>37316</v>
      </c>
      <c r="X23" s="156" t="n">
        <v>4</v>
      </c>
      <c r="Y23" s="156" t="n">
        <f aca="false">W24</f>
        <v>37347</v>
      </c>
      <c r="Z23" s="112"/>
      <c r="AA23" s="112"/>
    </row>
    <row r="24" customFormat="false" ht="15" hidden="false" customHeight="true" outlineLevel="0" collapsed="false">
      <c r="A24" s="186"/>
      <c r="B24" s="136" t="n">
        <v>810</v>
      </c>
      <c r="C24" s="136"/>
      <c r="D24" s="138" t="s">
        <v>96</v>
      </c>
      <c r="E24" s="200" t="n">
        <v>110</v>
      </c>
      <c r="F24" s="189" t="s">
        <v>4</v>
      </c>
      <c r="G24" s="184" t="s">
        <v>17</v>
      </c>
      <c r="H24" s="209"/>
      <c r="I24" s="209"/>
      <c r="J24" s="209"/>
      <c r="K24" s="209"/>
      <c r="L24" s="210"/>
      <c r="Q24" s="0"/>
      <c r="R24" s="0"/>
      <c r="S24" s="0"/>
      <c r="V24" s="155" t="n">
        <f aca="false">V23+31</f>
        <v>37347</v>
      </c>
      <c r="W24" s="145" t="n">
        <f aca="false">V24</f>
        <v>37347</v>
      </c>
      <c r="X24" s="156" t="n">
        <v>5</v>
      </c>
      <c r="Y24" s="156" t="n">
        <f aca="false">W25</f>
        <v>37377</v>
      </c>
      <c r="Z24" s="112"/>
      <c r="AA24" s="112"/>
    </row>
    <row r="25" customFormat="false" ht="13.5" hidden="false" customHeight="true" outlineLevel="0" collapsed="false">
      <c r="A25" s="186"/>
      <c r="B25" s="136" t="n">
        <v>823</v>
      </c>
      <c r="C25" s="136"/>
      <c r="D25" s="138" t="s">
        <v>97</v>
      </c>
      <c r="E25" s="200" t="n">
        <v>35</v>
      </c>
      <c r="F25" s="189" t="s">
        <v>4</v>
      </c>
      <c r="G25" s="211"/>
      <c r="H25" s="212"/>
      <c r="I25" s="212"/>
      <c r="J25" s="212"/>
      <c r="K25" s="212"/>
      <c r="L25" s="213"/>
      <c r="Q25" s="0"/>
      <c r="R25" s="0"/>
      <c r="S25" s="0"/>
      <c r="T25" s="203" t="s">
        <v>4</v>
      </c>
      <c r="V25" s="155" t="n">
        <f aca="false">V24+30</f>
        <v>37377</v>
      </c>
      <c r="W25" s="145" t="n">
        <f aca="false">V25</f>
        <v>37377</v>
      </c>
      <c r="X25" s="156" t="n">
        <v>6</v>
      </c>
      <c r="Y25" s="156" t="n">
        <f aca="false">W26</f>
        <v>37408</v>
      </c>
      <c r="Z25" s="112"/>
      <c r="AA25" s="112"/>
    </row>
    <row r="26" customFormat="false" ht="13.5" hidden="false" customHeight="true" outlineLevel="0" collapsed="false">
      <c r="A26" s="186"/>
      <c r="B26" s="136" t="n">
        <v>827</v>
      </c>
      <c r="C26" s="136"/>
      <c r="D26" s="138" t="s">
        <v>98</v>
      </c>
      <c r="E26" s="200" t="n">
        <v>0</v>
      </c>
      <c r="F26" s="189"/>
      <c r="G26" s="204"/>
      <c r="H26" s="138" t="s">
        <v>99</v>
      </c>
      <c r="I26" s="136"/>
      <c r="J26" s="214" t="n">
        <f aca="false">D11</f>
        <v>0.0675</v>
      </c>
      <c r="K26" s="136"/>
      <c r="L26" s="192" t="n">
        <f aca="false">PMT(D11/12,D9,-H9)</f>
        <v>1079.91583078608</v>
      </c>
      <c r="Q26" s="0"/>
      <c r="R26" s="0"/>
      <c r="S26" s="0"/>
      <c r="V26" s="155" t="n">
        <f aca="false">V25+31</f>
        <v>37408</v>
      </c>
      <c r="W26" s="145" t="n">
        <f aca="false">V26</f>
        <v>37408</v>
      </c>
      <c r="X26" s="156" t="n">
        <v>7</v>
      </c>
      <c r="Y26" s="156" t="n">
        <f aca="false">W27</f>
        <v>37438</v>
      </c>
      <c r="Z26" s="112"/>
      <c r="AA26" s="112"/>
    </row>
    <row r="27" customFormat="false" ht="15" hidden="false" customHeight="true" outlineLevel="0" collapsed="false">
      <c r="A27" s="186"/>
      <c r="B27" s="136" t="n">
        <v>1113</v>
      </c>
      <c r="C27" s="136"/>
      <c r="D27" s="138" t="s">
        <v>100</v>
      </c>
      <c r="E27" s="200" t="n">
        <v>50</v>
      </c>
      <c r="F27" s="189"/>
      <c r="G27" s="204"/>
      <c r="H27" s="138" t="s">
        <v>101</v>
      </c>
      <c r="I27" s="136" t="s">
        <v>4</v>
      </c>
      <c r="J27" s="215"/>
      <c r="K27" s="136"/>
      <c r="L27" s="192" t="n">
        <f aca="false">J18</f>
        <v>385.416666666667</v>
      </c>
      <c r="Q27" s="0"/>
      <c r="R27" s="0"/>
      <c r="S27" s="0"/>
      <c r="V27" s="155" t="n">
        <f aca="false">V26+30</f>
        <v>37438</v>
      </c>
      <c r="W27" s="145" t="n">
        <f aca="false">V27</f>
        <v>37438</v>
      </c>
      <c r="X27" s="156" t="n">
        <v>8</v>
      </c>
      <c r="Y27" s="156" t="n">
        <f aca="false">W28</f>
        <v>37469</v>
      </c>
      <c r="Z27" s="112"/>
      <c r="AA27" s="112"/>
    </row>
    <row r="28" customFormat="false" ht="15" hidden="false" customHeight="true" outlineLevel="0" collapsed="false">
      <c r="A28" s="186"/>
      <c r="B28" s="136" t="n">
        <v>816</v>
      </c>
      <c r="C28" s="136" t="s">
        <v>4</v>
      </c>
      <c r="D28" s="138" t="s">
        <v>102</v>
      </c>
      <c r="E28" s="216" t="n">
        <v>175</v>
      </c>
      <c r="F28" s="189"/>
      <c r="G28" s="204"/>
      <c r="H28" s="138" t="s">
        <v>103</v>
      </c>
      <c r="I28" s="136"/>
      <c r="J28" s="136"/>
      <c r="K28" s="136"/>
      <c r="L28" s="192" t="n">
        <f aca="false">J19</f>
        <v>75</v>
      </c>
      <c r="M28" s="112" t="s">
        <v>4</v>
      </c>
      <c r="O28" s="112" t="s">
        <v>4</v>
      </c>
      <c r="Q28" s="0"/>
      <c r="R28" s="0"/>
      <c r="S28" s="0"/>
      <c r="V28" s="155" t="n">
        <f aca="false">V27+31</f>
        <v>37469</v>
      </c>
      <c r="W28" s="145" t="n">
        <f aca="false">V28</f>
        <v>37469</v>
      </c>
      <c r="X28" s="156" t="n">
        <v>9</v>
      </c>
      <c r="Y28" s="156" t="n">
        <f aca="false">W29</f>
        <v>37500</v>
      </c>
      <c r="Z28" s="112"/>
      <c r="AA28" s="112"/>
    </row>
    <row r="29" customFormat="false" ht="15" hidden="false" customHeight="true" outlineLevel="0" collapsed="false">
      <c r="A29" s="186"/>
      <c r="B29" s="136"/>
      <c r="C29" s="136" t="s">
        <v>4</v>
      </c>
      <c r="D29" s="205" t="s">
        <v>18</v>
      </c>
      <c r="E29" s="217" t="n">
        <f aca="false">SUM(E17:E28)</f>
        <v>995</v>
      </c>
      <c r="F29" s="189"/>
      <c r="G29" s="204"/>
      <c r="H29" s="138" t="s">
        <v>104</v>
      </c>
      <c r="I29" s="136"/>
      <c r="J29" s="136"/>
      <c r="K29" s="136"/>
      <c r="L29" s="192" t="n">
        <f aca="false">PMT(D12/12,180,-H10)</f>
        <v>-0</v>
      </c>
      <c r="M29" s="112" t="s">
        <v>4</v>
      </c>
      <c r="O29" s="218" t="s">
        <v>4</v>
      </c>
      <c r="P29" s="112" t="s">
        <v>4</v>
      </c>
      <c r="Q29" s="0"/>
      <c r="R29" s="0"/>
      <c r="S29" s="0"/>
      <c r="V29" s="155" t="n">
        <f aca="false">V28+31</f>
        <v>37500</v>
      </c>
      <c r="W29" s="145" t="n">
        <f aca="false">V29</f>
        <v>37500</v>
      </c>
      <c r="X29" s="156" t="n">
        <v>10</v>
      </c>
      <c r="Y29" s="156" t="n">
        <f aca="false">W30</f>
        <v>37530</v>
      </c>
      <c r="Z29" s="112"/>
      <c r="AA29" s="112"/>
    </row>
    <row r="30" customFormat="false" ht="15" hidden="false" customHeight="true" outlineLevel="0" collapsed="false">
      <c r="A30" s="219" t="s">
        <v>19</v>
      </c>
      <c r="B30" s="220"/>
      <c r="C30" s="220"/>
      <c r="D30" s="221"/>
      <c r="E30" s="222"/>
      <c r="F30" s="223"/>
      <c r="G30" s="204"/>
      <c r="H30" s="138" t="s">
        <v>105</v>
      </c>
      <c r="I30" s="136"/>
      <c r="J30" s="136"/>
      <c r="K30" s="136"/>
      <c r="L30" s="192" t="n">
        <f aca="false">J20</f>
        <v>0</v>
      </c>
      <c r="Q30" s="0"/>
      <c r="R30" s="0"/>
      <c r="S30" s="0"/>
      <c r="V30" s="155" t="n">
        <f aca="false">V29+30</f>
        <v>37530</v>
      </c>
      <c r="W30" s="145" t="n">
        <f aca="false">V30</f>
        <v>37530</v>
      </c>
      <c r="X30" s="156" t="n">
        <v>11</v>
      </c>
      <c r="Y30" s="156" t="n">
        <f aca="false">W31</f>
        <v>37561</v>
      </c>
      <c r="Z30" s="112"/>
      <c r="AA30" s="112"/>
    </row>
    <row r="31" customFormat="false" ht="15" hidden="false" customHeight="true" outlineLevel="0" collapsed="false">
      <c r="A31" s="186"/>
      <c r="B31" s="136" t="n">
        <v>1109</v>
      </c>
      <c r="C31" s="136"/>
      <c r="D31" s="138" t="s">
        <v>106</v>
      </c>
      <c r="E31" s="188" t="n">
        <f aca="false">IF($H$9&lt;100000,(($H$9-100000)*0.00805)+992-$O$14,(($H$9-100000)*0.00628)+992-$O$14)</f>
        <v>859.3368</v>
      </c>
      <c r="F31" s="189" t="s">
        <v>4</v>
      </c>
      <c r="G31" s="204"/>
      <c r="H31" s="138" t="s">
        <v>107</v>
      </c>
      <c r="I31" s="136"/>
      <c r="J31" s="136"/>
      <c r="K31" s="136"/>
      <c r="L31" s="192" t="n">
        <f aca="false">J21</f>
        <v>0</v>
      </c>
      <c r="O31" s="224" t="s">
        <v>4</v>
      </c>
      <c r="Q31" s="0"/>
      <c r="R31" s="0"/>
      <c r="S31" s="0"/>
      <c r="V31" s="155" t="n">
        <f aca="false">V30+31</f>
        <v>37561</v>
      </c>
      <c r="W31" s="145" t="n">
        <f aca="false">V31</f>
        <v>37561</v>
      </c>
      <c r="X31" s="156" t="n">
        <v>0</v>
      </c>
      <c r="Y31" s="156" t="n">
        <f aca="false">W32</f>
        <v>37591</v>
      </c>
      <c r="Z31" s="112"/>
      <c r="AA31" s="112"/>
    </row>
    <row r="32" customFormat="false" ht="15" hidden="false" customHeight="true" outlineLevel="0" collapsed="false">
      <c r="A32" s="186"/>
      <c r="B32" s="136" t="n">
        <v>1110</v>
      </c>
      <c r="C32" s="136"/>
      <c r="D32" s="138" t="s">
        <v>108</v>
      </c>
      <c r="E32" s="225" t="s">
        <v>109</v>
      </c>
      <c r="F32" s="189" t="s">
        <v>4</v>
      </c>
      <c r="G32" s="204"/>
      <c r="H32" s="138" t="s">
        <v>4</v>
      </c>
      <c r="I32" s="136"/>
      <c r="J32" s="136"/>
      <c r="K32" s="136"/>
      <c r="L32" s="226"/>
      <c r="O32" s="112" t="s">
        <v>4</v>
      </c>
      <c r="Q32" s="0"/>
      <c r="R32" s="0"/>
      <c r="S32" s="0"/>
      <c r="V32" s="155" t="n">
        <f aca="false">V31+30</f>
        <v>37591</v>
      </c>
      <c r="W32" s="145" t="n">
        <f aca="false">V32</f>
        <v>37591</v>
      </c>
      <c r="X32" s="156" t="n">
        <v>1</v>
      </c>
      <c r="Y32" s="156" t="n">
        <f aca="false">W33</f>
        <v>37622</v>
      </c>
      <c r="Z32" s="112"/>
      <c r="AA32" s="112"/>
    </row>
    <row r="33" customFormat="false" ht="15" hidden="false" customHeight="true" outlineLevel="0" collapsed="false">
      <c r="A33" s="186"/>
      <c r="B33" s="136" t="n">
        <v>1112</v>
      </c>
      <c r="C33" s="136"/>
      <c r="D33" s="138" t="s">
        <v>110</v>
      </c>
      <c r="E33" s="200" t="n">
        <v>125</v>
      </c>
      <c r="F33" s="189"/>
      <c r="G33" s="204"/>
      <c r="H33" s="136" t="s">
        <v>4</v>
      </c>
      <c r="I33" s="136"/>
      <c r="J33" s="136"/>
      <c r="K33" s="136"/>
      <c r="L33" s="227"/>
      <c r="Q33" s="0"/>
      <c r="R33" s="0"/>
      <c r="S33" s="0"/>
      <c r="V33" s="155" t="n">
        <f aca="false">V32+31</f>
        <v>37622</v>
      </c>
      <c r="W33" s="145" t="n">
        <f aca="false">V33</f>
        <v>37622</v>
      </c>
      <c r="X33" s="156" t="n">
        <v>2</v>
      </c>
      <c r="Y33" s="156" t="n">
        <f aca="false">W34</f>
        <v>37653</v>
      </c>
      <c r="Z33" s="112"/>
      <c r="AA33" s="112"/>
    </row>
    <row r="34" customFormat="false" ht="15" hidden="false" customHeight="true" outlineLevel="0" collapsed="false">
      <c r="A34" s="186"/>
      <c r="B34" s="136" t="n">
        <v>1113</v>
      </c>
      <c r="C34" s="136"/>
      <c r="D34" s="138" t="s">
        <v>100</v>
      </c>
      <c r="E34" s="200" t="n">
        <v>50</v>
      </c>
      <c r="F34" s="189"/>
      <c r="G34" s="204"/>
      <c r="H34" s="138" t="s">
        <v>4</v>
      </c>
      <c r="I34" s="136"/>
      <c r="J34" s="136"/>
      <c r="K34" s="205" t="s">
        <v>20</v>
      </c>
      <c r="L34" s="206" t="n">
        <f aca="false">SUM(L26:L32)</f>
        <v>1540.33249745275</v>
      </c>
      <c r="Q34" s="0"/>
      <c r="R34" s="0"/>
      <c r="S34" s="0"/>
      <c r="V34" s="155" t="n">
        <f aca="false">V33+31</f>
        <v>37653</v>
      </c>
      <c r="W34" s="145" t="n">
        <f aca="false">V34</f>
        <v>37653</v>
      </c>
      <c r="X34" s="156" t="n">
        <v>3</v>
      </c>
      <c r="Y34" s="156" t="n">
        <f aca="false">W35</f>
        <v>37681</v>
      </c>
      <c r="Z34" s="112"/>
      <c r="AA34" s="112"/>
    </row>
    <row r="35" customFormat="false" ht="15" hidden="false" customHeight="true" outlineLevel="0" collapsed="false">
      <c r="A35" s="186"/>
      <c r="B35" s="136" t="n">
        <v>1201</v>
      </c>
      <c r="C35" s="136"/>
      <c r="D35" s="138" t="s">
        <v>111</v>
      </c>
      <c r="E35" s="200" t="n">
        <v>75</v>
      </c>
      <c r="F35" s="189"/>
      <c r="G35" s="228"/>
      <c r="H35" s="139"/>
      <c r="I35" s="139"/>
      <c r="J35" s="139"/>
      <c r="K35" s="139"/>
      <c r="L35" s="229"/>
      <c r="Q35" s="230" t="s">
        <v>4</v>
      </c>
      <c r="V35" s="155" t="n">
        <f aca="false">V34+28</f>
        <v>37681</v>
      </c>
      <c r="W35" s="145" t="n">
        <f aca="false">V35</f>
        <v>37681</v>
      </c>
      <c r="X35" s="156" t="n">
        <v>4</v>
      </c>
      <c r="Y35" s="156" t="n">
        <f aca="false">W36</f>
        <v>37712</v>
      </c>
      <c r="Z35" s="112"/>
      <c r="AA35" s="112"/>
    </row>
    <row r="36" customFormat="false" ht="15" hidden="false" customHeight="true" outlineLevel="0" collapsed="false">
      <c r="A36" s="186"/>
      <c r="B36" s="136" t="n">
        <v>1204</v>
      </c>
      <c r="C36" s="136"/>
      <c r="D36" s="138" t="s">
        <v>112</v>
      </c>
      <c r="E36" s="200" t="n">
        <v>0</v>
      </c>
      <c r="F36" s="189"/>
      <c r="G36" s="184" t="s">
        <v>21</v>
      </c>
      <c r="H36" s="209"/>
      <c r="I36" s="209"/>
      <c r="J36" s="209"/>
      <c r="K36" s="209"/>
      <c r="L36" s="231"/>
      <c r="Q36" s="230"/>
      <c r="V36" s="155" t="n">
        <f aca="false">V35+31</f>
        <v>37712</v>
      </c>
      <c r="W36" s="145" t="n">
        <f aca="false">V36</f>
        <v>37712</v>
      </c>
      <c r="X36" s="156" t="n">
        <v>5</v>
      </c>
      <c r="Y36" s="156" t="n">
        <f aca="false">W37</f>
        <v>37742</v>
      </c>
      <c r="Z36" s="112"/>
      <c r="AA36" s="112"/>
    </row>
    <row r="37" customFormat="false" ht="15" hidden="false" customHeight="true" outlineLevel="0" collapsed="false">
      <c r="A37" s="186"/>
      <c r="B37" s="136" t="n">
        <v>1301</v>
      </c>
      <c r="C37" s="136"/>
      <c r="D37" s="138" t="s">
        <v>113</v>
      </c>
      <c r="E37" s="200" t="s">
        <v>114</v>
      </c>
      <c r="F37" s="189"/>
      <c r="G37" s="204"/>
      <c r="H37" s="138" t="s">
        <v>115</v>
      </c>
      <c r="I37" s="136"/>
      <c r="J37" s="136"/>
      <c r="K37" s="136"/>
      <c r="L37" s="232" t="n">
        <v>161100</v>
      </c>
      <c r="M37" s="112" t="s">
        <v>4</v>
      </c>
      <c r="Q37" s="230"/>
      <c r="V37" s="155" t="n">
        <f aca="false">V36+30</f>
        <v>37742</v>
      </c>
      <c r="W37" s="145" t="n">
        <f aca="false">V37</f>
        <v>37742</v>
      </c>
      <c r="X37" s="156" t="n">
        <v>6</v>
      </c>
      <c r="Y37" s="156" t="n">
        <f aca="false">W38</f>
        <v>37773</v>
      </c>
      <c r="Z37" s="112"/>
      <c r="AA37" s="112"/>
    </row>
    <row r="38" customFormat="false" ht="15" hidden="false" customHeight="true" outlineLevel="0" collapsed="false">
      <c r="A38" s="186"/>
      <c r="B38" s="0"/>
      <c r="C38" s="136"/>
      <c r="D38" s="138" t="s">
        <v>116</v>
      </c>
      <c r="E38" s="200" t="n">
        <v>150</v>
      </c>
      <c r="F38" s="189"/>
      <c r="G38" s="204"/>
      <c r="H38" s="138" t="s">
        <v>117</v>
      </c>
      <c r="I38" s="136"/>
      <c r="J38" s="136"/>
      <c r="K38" s="136"/>
      <c r="L38" s="233" t="n">
        <f aca="false">E29</f>
        <v>995</v>
      </c>
      <c r="Q38" s="230" t="s">
        <v>4</v>
      </c>
      <c r="V38" s="155" t="n">
        <f aca="false">V37+31</f>
        <v>37773</v>
      </c>
      <c r="W38" s="145" t="n">
        <f aca="false">V38</f>
        <v>37773</v>
      </c>
      <c r="X38" s="156" t="n">
        <v>7</v>
      </c>
      <c r="Y38" s="156" t="n">
        <f aca="false">W39</f>
        <v>37803</v>
      </c>
      <c r="Z38" s="112"/>
      <c r="AA38" s="112"/>
    </row>
    <row r="39" customFormat="false" ht="15" hidden="false" customHeight="true" outlineLevel="0" collapsed="false">
      <c r="A39" s="186"/>
      <c r="B39" s="0"/>
      <c r="C39" s="136"/>
      <c r="D39" s="138" t="s">
        <v>118</v>
      </c>
      <c r="E39" s="200" t="n">
        <v>0</v>
      </c>
      <c r="F39" s="234"/>
      <c r="G39" s="204"/>
      <c r="H39" s="138" t="s">
        <v>119</v>
      </c>
      <c r="I39" s="136"/>
      <c r="J39" s="136"/>
      <c r="K39" s="136"/>
      <c r="L39" s="233" t="n">
        <f aca="false">E44</f>
        <v>1259.3368</v>
      </c>
      <c r="Q39" s="0"/>
      <c r="R39" s="0"/>
      <c r="V39" s="155" t="n">
        <f aca="false">V38+30</f>
        <v>37803</v>
      </c>
      <c r="W39" s="145" t="n">
        <f aca="false">V39</f>
        <v>37803</v>
      </c>
      <c r="X39" s="156" t="n">
        <v>8</v>
      </c>
      <c r="Y39" s="156" t="n">
        <f aca="false">W40</f>
        <v>37834</v>
      </c>
      <c r="Z39" s="112"/>
      <c r="AA39" s="112"/>
    </row>
    <row r="40" customFormat="false" ht="15" hidden="false" customHeight="true" outlineLevel="0" collapsed="false">
      <c r="A40" s="186"/>
      <c r="B40" s="136" t="n">
        <v>1302</v>
      </c>
      <c r="C40" s="136"/>
      <c r="D40" s="136" t="s">
        <v>120</v>
      </c>
      <c r="E40" s="200" t="n">
        <v>0</v>
      </c>
      <c r="F40" s="234"/>
      <c r="G40" s="204"/>
      <c r="H40" s="138" t="s">
        <v>121</v>
      </c>
      <c r="I40" s="136"/>
      <c r="J40" s="136"/>
      <c r="K40" s="136"/>
      <c r="L40" s="233" t="n">
        <f aca="false">L22</f>
        <v>4662.74771689498</v>
      </c>
      <c r="Q40" s="0"/>
      <c r="R40" s="0"/>
      <c r="V40" s="155" t="n">
        <f aca="false">V39+31</f>
        <v>37834</v>
      </c>
      <c r="W40" s="145" t="n">
        <f aca="false">V40</f>
        <v>37834</v>
      </c>
      <c r="X40" s="156" t="n">
        <v>9</v>
      </c>
      <c r="Y40" s="156" t="n">
        <f aca="false">W41</f>
        <v>37865</v>
      </c>
      <c r="Z40" s="112"/>
      <c r="AA40" s="112"/>
    </row>
    <row r="41" customFormat="false" ht="15" hidden="false" customHeight="true" outlineLevel="0" collapsed="false">
      <c r="A41" s="186"/>
      <c r="B41" s="0"/>
      <c r="C41" s="136"/>
      <c r="D41" s="136" t="s">
        <v>122</v>
      </c>
      <c r="E41" s="200" t="n">
        <v>0</v>
      </c>
      <c r="F41" s="234"/>
      <c r="G41" s="204"/>
      <c r="H41" s="138" t="s">
        <v>123</v>
      </c>
      <c r="I41" s="136"/>
      <c r="J41" s="136"/>
      <c r="K41" s="136"/>
      <c r="L41" s="235" t="n">
        <f aca="false">SUM(L37:L40)</f>
        <v>168017.084516895</v>
      </c>
      <c r="V41" s="155" t="n">
        <f aca="false">V40+31</f>
        <v>37865</v>
      </c>
      <c r="W41" s="145" t="n">
        <f aca="false">V41</f>
        <v>37865</v>
      </c>
      <c r="X41" s="156" t="n">
        <v>10</v>
      </c>
      <c r="Y41" s="156" t="n">
        <f aca="false">W42</f>
        <v>37895</v>
      </c>
      <c r="Z41" s="112"/>
    </row>
    <row r="42" customFormat="false" ht="15" hidden="false" customHeight="true" outlineLevel="0" collapsed="false">
      <c r="A42" s="186"/>
      <c r="B42" s="136"/>
      <c r="C42" s="136"/>
      <c r="D42" s="136" t="s">
        <v>4</v>
      </c>
      <c r="E42" s="236"/>
      <c r="F42" s="234"/>
      <c r="G42" s="204"/>
      <c r="H42" s="138"/>
      <c r="I42" s="136"/>
      <c r="J42" s="136"/>
      <c r="K42" s="136"/>
      <c r="L42" s="237" t="s">
        <v>4</v>
      </c>
      <c r="V42" s="155" t="n">
        <f aca="false">V41+30</f>
        <v>37895</v>
      </c>
      <c r="W42" s="145" t="n">
        <f aca="false">V42</f>
        <v>37895</v>
      </c>
      <c r="X42" s="156" t="n">
        <v>11</v>
      </c>
      <c r="Y42" s="156" t="n">
        <f aca="false">W43</f>
        <v>37926</v>
      </c>
      <c r="Z42" s="112"/>
    </row>
    <row r="43" customFormat="false" ht="15" hidden="false" customHeight="true" outlineLevel="0" collapsed="false">
      <c r="A43" s="186"/>
      <c r="B43" s="136"/>
      <c r="C43" s="136"/>
      <c r="D43" s="136"/>
      <c r="E43" s="238"/>
      <c r="F43" s="234"/>
      <c r="G43" s="204"/>
      <c r="H43" s="138" t="s">
        <v>124</v>
      </c>
      <c r="I43" s="136"/>
      <c r="J43" s="136"/>
      <c r="K43" s="136"/>
      <c r="L43" s="233" t="n">
        <f aca="false">-H9</f>
        <v>-166500</v>
      </c>
      <c r="V43" s="155" t="n">
        <f aca="false">V42+31</f>
        <v>37926</v>
      </c>
      <c r="W43" s="145" t="n">
        <f aca="false">V43</f>
        <v>37926</v>
      </c>
      <c r="X43" s="156" t="n">
        <v>0</v>
      </c>
      <c r="Y43" s="156" t="n">
        <f aca="false">W44</f>
        <v>37956</v>
      </c>
      <c r="Z43" s="112"/>
    </row>
    <row r="44" customFormat="false" ht="15" hidden="false" customHeight="true" outlineLevel="0" collapsed="false">
      <c r="A44" s="186"/>
      <c r="B44" s="138"/>
      <c r="C44" s="136"/>
      <c r="D44" s="205" t="s">
        <v>22</v>
      </c>
      <c r="E44" s="239" t="n">
        <f aca="false">SUM(E31:E42)</f>
        <v>1259.3368</v>
      </c>
      <c r="F44" s="234"/>
      <c r="G44" s="204"/>
      <c r="H44" s="138" t="s">
        <v>125</v>
      </c>
      <c r="I44" s="136"/>
      <c r="J44" s="136"/>
      <c r="K44" s="136"/>
      <c r="L44" s="233" t="n">
        <v>-375</v>
      </c>
      <c r="V44" s="155" t="n">
        <f aca="false">V43+30</f>
        <v>37956</v>
      </c>
      <c r="W44" s="145" t="n">
        <f aca="false">V44</f>
        <v>37956</v>
      </c>
      <c r="X44" s="156" t="n">
        <v>1</v>
      </c>
      <c r="Y44" s="156" t="n">
        <f aca="false">W45</f>
        <v>37987</v>
      </c>
      <c r="Z44" s="112"/>
    </row>
    <row r="45" customFormat="false" ht="15" hidden="false" customHeight="true" outlineLevel="0" collapsed="false">
      <c r="A45" s="186"/>
      <c r="B45" s="212"/>
      <c r="C45" s="212"/>
      <c r="D45" s="212"/>
      <c r="E45" s="212"/>
      <c r="F45" s="240"/>
      <c r="G45" s="204"/>
      <c r="H45" s="138" t="s">
        <v>126</v>
      </c>
      <c r="I45" s="136"/>
      <c r="J45" s="136"/>
      <c r="K45" s="136"/>
      <c r="L45" s="237" t="s">
        <v>127</v>
      </c>
      <c r="M45" s="205" t="s">
        <v>4</v>
      </c>
      <c r="V45" s="155" t="n">
        <f aca="false">V44+31</f>
        <v>37987</v>
      </c>
      <c r="W45" s="145" t="n">
        <f aca="false">V45</f>
        <v>37987</v>
      </c>
      <c r="X45" s="156" t="n">
        <v>2</v>
      </c>
      <c r="Y45" s="156" t="n">
        <f aca="false">W46</f>
        <v>38018</v>
      </c>
      <c r="Z45" s="112"/>
    </row>
    <row r="46" customFormat="false" ht="15" hidden="false" customHeight="true" outlineLevel="0" collapsed="false">
      <c r="A46" s="186"/>
      <c r="B46" s="212"/>
      <c r="C46" s="212"/>
      <c r="D46" s="212" t="s">
        <v>4</v>
      </c>
      <c r="E46" s="241" t="s">
        <v>4</v>
      </c>
      <c r="F46" s="240"/>
      <c r="G46" s="204"/>
      <c r="H46" s="242"/>
      <c r="I46" s="242"/>
      <c r="J46" s="242"/>
      <c r="K46" s="243" t="str">
        <f aca="false">IF(L46&lt;0,"Cash Due to Owner at Closing =","Cash Due to Mortgage Company at Closing =")</f>
        <v>Cash Due to Mortgage Company at Closing =</v>
      </c>
      <c r="L46" s="91" t="n">
        <f aca="false">SUM(L41:L45)</f>
        <v>1142.08451689497</v>
      </c>
      <c r="V46" s="155" t="n">
        <f aca="false">V45+31</f>
        <v>38018</v>
      </c>
      <c r="W46" s="145" t="n">
        <f aca="false">V46</f>
        <v>38018</v>
      </c>
      <c r="X46" s="156" t="n">
        <v>3</v>
      </c>
      <c r="Y46" s="156" t="n">
        <f aca="false">W47</f>
        <v>38047</v>
      </c>
      <c r="Z46" s="112"/>
    </row>
    <row r="47" customFormat="false" ht="15" hidden="false" customHeight="true" outlineLevel="0" collapsed="false">
      <c r="A47" s="244"/>
      <c r="B47" s="96"/>
      <c r="C47" s="96"/>
      <c r="D47" s="96" t="s">
        <v>4</v>
      </c>
      <c r="E47" s="96"/>
      <c r="F47" s="96"/>
      <c r="G47" s="94" t="s">
        <v>23</v>
      </c>
      <c r="H47" s="95"/>
      <c r="I47" s="96"/>
      <c r="J47" s="96"/>
      <c r="K47" s="96"/>
      <c r="L47" s="97"/>
      <c r="V47" s="155" t="n">
        <f aca="false">V46+29</f>
        <v>38047</v>
      </c>
      <c r="W47" s="145" t="n">
        <f aca="false">V47</f>
        <v>38047</v>
      </c>
      <c r="X47" s="156" t="n">
        <v>4</v>
      </c>
      <c r="Y47" s="156" t="n">
        <f aca="false">W48</f>
        <v>38078</v>
      </c>
      <c r="Z47" s="112"/>
    </row>
    <row r="48" customFormat="false" ht="15" hidden="false" customHeight="true" outlineLevel="0" collapsed="false">
      <c r="A48" s="245"/>
      <c r="B48" s="245"/>
      <c r="C48" s="245"/>
      <c r="D48" s="245"/>
      <c r="E48" s="245"/>
      <c r="F48" s="245"/>
      <c r="G48" s="245"/>
      <c r="H48" s="246"/>
      <c r="I48" s="245"/>
      <c r="J48" s="245"/>
      <c r="K48" s="245"/>
      <c r="L48" s="247"/>
      <c r="V48" s="155" t="n">
        <f aca="false">V47+31</f>
        <v>38078</v>
      </c>
      <c r="W48" s="145" t="n">
        <f aca="false">V48</f>
        <v>38078</v>
      </c>
      <c r="X48" s="156" t="n">
        <v>5</v>
      </c>
      <c r="Y48" s="156" t="n">
        <f aca="false">W49</f>
        <v>38108</v>
      </c>
      <c r="Z48" s="112"/>
    </row>
    <row r="49" customFormat="false" ht="15" hidden="false" customHeight="true" outlineLevel="0" collapsed="false">
      <c r="V49" s="155" t="n">
        <f aca="false">V48+30</f>
        <v>38108</v>
      </c>
      <c r="W49" s="145" t="n">
        <f aca="false">V49</f>
        <v>38108</v>
      </c>
      <c r="X49" s="156" t="n">
        <v>6</v>
      </c>
      <c r="Y49" s="156" t="n">
        <f aca="false">W50</f>
        <v>38139</v>
      </c>
      <c r="Z49" s="112"/>
    </row>
    <row r="50" customFormat="false" ht="15" hidden="false" customHeight="true" outlineLevel="0" collapsed="false">
      <c r="V50" s="155" t="n">
        <f aca="false">V49+31</f>
        <v>38139</v>
      </c>
      <c r="W50" s="145" t="n">
        <f aca="false">V50</f>
        <v>38139</v>
      </c>
      <c r="X50" s="156" t="n">
        <v>7</v>
      </c>
      <c r="Y50" s="156" t="n">
        <f aca="false">W51</f>
        <v>38169</v>
      </c>
      <c r="Z50" s="112"/>
    </row>
    <row r="51" customFormat="false" ht="15" hidden="false" customHeight="true" outlineLevel="0" collapsed="false">
      <c r="V51" s="155" t="n">
        <f aca="false">V50+30</f>
        <v>38169</v>
      </c>
      <c r="W51" s="145" t="n">
        <f aca="false">V51</f>
        <v>38169</v>
      </c>
      <c r="X51" s="156" t="n">
        <v>8</v>
      </c>
      <c r="Y51" s="156" t="n">
        <f aca="false">W52</f>
        <v>38200</v>
      </c>
      <c r="Z51" s="112"/>
    </row>
    <row r="52" customFormat="false" ht="15" hidden="false" customHeight="true" outlineLevel="0" collapsed="false">
      <c r="A52" s="248" t="str">
        <f aca="false">IF(N1="BC","Estimate provided by Bill Caruso.  Phone# 713-802-6014",IF(N1="BS","Estimate provided by Bill Shoemaker.  Phone# 713-802-6031",IF(N1="DB","Estimate provided by Dan Beyer.  Phone# 713-802-6020",IF(N1="JS","Estimate provided by June Sedwick.  Phone# 713-802-6043",IF(N1="LR","Estimate provided by Linda Rhoden.  Phone# 713-802-6025",IF(N1="OR","Estimate provided by Owen Raun.  Phone# 713-802-6040",IF(N1="JB","Estimate provided by Jim Backhus.  Phone# 281-N52364-0868",IF(N1="Please Select","NO SPECIFIED LOAN OFFICER"))))))))</f>
        <v>Estimate provided by Linda Rhoden.  Phone# 713-802-6025</v>
      </c>
      <c r="B52" s="248"/>
      <c r="C52" s="248"/>
      <c r="D52" s="248"/>
      <c r="E52" s="248"/>
      <c r="F52" s="248"/>
      <c r="G52" s="248"/>
      <c r="H52" s="248"/>
      <c r="I52" s="248"/>
      <c r="J52" s="248"/>
      <c r="K52" s="248"/>
      <c r="L52" s="248"/>
      <c r="M52" s="2"/>
      <c r="N52" s="2"/>
      <c r="O52" s="2"/>
      <c r="P52" s="2"/>
      <c r="V52" s="155" t="n">
        <f aca="false">V51+31</f>
        <v>38200</v>
      </c>
      <c r="W52" s="145" t="n">
        <f aca="false">V52</f>
        <v>38200</v>
      </c>
      <c r="X52" s="156" t="n">
        <v>9</v>
      </c>
      <c r="Y52" s="156" t="n">
        <f aca="false">W53</f>
        <v>38231</v>
      </c>
      <c r="Z52" s="112"/>
    </row>
    <row r="53" customFormat="false" ht="15" hidden="false" customHeight="true" outlineLevel="0" collapsed="false">
      <c r="A53" s="248" t="s">
        <v>128</v>
      </c>
      <c r="B53" s="248"/>
      <c r="C53" s="248"/>
      <c r="D53" s="248"/>
      <c r="E53" s="248"/>
      <c r="F53" s="248"/>
      <c r="G53" s="248"/>
      <c r="H53" s="248"/>
      <c r="I53" s="248"/>
      <c r="J53" s="248"/>
      <c r="K53" s="248"/>
      <c r="L53" s="248"/>
      <c r="M53" s="2"/>
      <c r="N53" s="2"/>
      <c r="O53" s="2"/>
      <c r="P53" s="2"/>
      <c r="V53" s="155" t="n">
        <f aca="false">V52+31</f>
        <v>38231</v>
      </c>
      <c r="W53" s="145" t="n">
        <f aca="false">V53</f>
        <v>38231</v>
      </c>
      <c r="X53" s="156" t="n">
        <v>10</v>
      </c>
      <c r="Y53" s="156" t="n">
        <f aca="false">W54</f>
        <v>38261</v>
      </c>
      <c r="Z53" s="112"/>
    </row>
    <row r="54" customFormat="false" ht="15" hidden="false" customHeight="true" outlineLevel="0" collapsed="false">
      <c r="V54" s="155" t="n">
        <f aca="false">V53+30</f>
        <v>38261</v>
      </c>
      <c r="W54" s="145" t="n">
        <f aca="false">V54</f>
        <v>38261</v>
      </c>
      <c r="X54" s="156" t="n">
        <v>11</v>
      </c>
      <c r="Y54" s="156" t="n">
        <f aca="false">W55</f>
        <v>38292</v>
      </c>
      <c r="Z54" s="112"/>
    </row>
    <row r="55" customFormat="false" ht="15" hidden="false" customHeight="true" outlineLevel="0" collapsed="false">
      <c r="V55" s="155" t="n">
        <f aca="false">V54+31</f>
        <v>38292</v>
      </c>
      <c r="W55" s="145" t="n">
        <f aca="false">V55</f>
        <v>38292</v>
      </c>
      <c r="X55" s="156" t="n">
        <v>0</v>
      </c>
      <c r="Y55" s="156" t="n">
        <f aca="false">W56</f>
        <v>38322</v>
      </c>
      <c r="Z55" s="112"/>
    </row>
    <row r="56" customFormat="false" ht="15" hidden="false" customHeight="true" outlineLevel="0" collapsed="false">
      <c r="V56" s="155" t="n">
        <f aca="false">V55+30</f>
        <v>38322</v>
      </c>
      <c r="W56" s="145" t="n">
        <f aca="false">V56</f>
        <v>38322</v>
      </c>
      <c r="X56" s="156" t="n">
        <v>1</v>
      </c>
      <c r="Y56" s="249" t="n">
        <f aca="false">W57</f>
        <v>38353</v>
      </c>
      <c r="Z56" s="112"/>
    </row>
    <row r="57" customFormat="false" ht="12.75" hidden="false" customHeight="true" outlineLevel="0" collapsed="false">
      <c r="V57" s="155" t="n">
        <f aca="false">V56+31</f>
        <v>38353</v>
      </c>
      <c r="W57" s="145" t="n">
        <f aca="false">V57</f>
        <v>38353</v>
      </c>
      <c r="X57" s="156" t="n">
        <v>2</v>
      </c>
      <c r="Y57" s="249" t="n">
        <f aca="false">W58</f>
        <v>38384</v>
      </c>
      <c r="Z57" s="112"/>
    </row>
    <row r="58" customFormat="false" ht="15.75" hidden="false" customHeight="false" outlineLevel="0" collapsed="false">
      <c r="V58" s="155" t="n">
        <f aca="false">V57+31</f>
        <v>38384</v>
      </c>
      <c r="W58" s="145" t="n">
        <f aca="false">V58</f>
        <v>38384</v>
      </c>
      <c r="X58" s="156" t="n">
        <v>3</v>
      </c>
      <c r="Y58" s="249" t="n">
        <f aca="false">W59</f>
        <v>38412</v>
      </c>
      <c r="Z58" s="112"/>
    </row>
    <row r="59" customFormat="false" ht="15.75" hidden="false" customHeight="false" outlineLevel="0" collapsed="false">
      <c r="V59" s="155" t="n">
        <f aca="false">V58+28</f>
        <v>38412</v>
      </c>
      <c r="W59" s="145" t="n">
        <f aca="false">V59</f>
        <v>38412</v>
      </c>
      <c r="X59" s="156" t="n">
        <v>4</v>
      </c>
      <c r="Y59" s="249" t="n">
        <f aca="false">W60</f>
        <v>38443</v>
      </c>
      <c r="Z59" s="112"/>
    </row>
    <row r="60" customFormat="false" ht="15.75" hidden="false" customHeight="false" outlineLevel="0" collapsed="false">
      <c r="V60" s="155" t="n">
        <f aca="false">V59+31</f>
        <v>38443</v>
      </c>
      <c r="W60" s="145" t="n">
        <f aca="false">V60</f>
        <v>38443</v>
      </c>
      <c r="X60" s="156" t="n">
        <v>5</v>
      </c>
      <c r="Y60" s="249" t="n">
        <f aca="false">W61</f>
        <v>38473</v>
      </c>
      <c r="Z60" s="112"/>
    </row>
    <row r="61" customFormat="false" ht="15.75" hidden="false" customHeight="false" outlineLevel="0" collapsed="false">
      <c r="V61" s="155" t="n">
        <f aca="false">V60+30</f>
        <v>38473</v>
      </c>
      <c r="W61" s="145" t="n">
        <f aca="false">V61</f>
        <v>38473</v>
      </c>
      <c r="X61" s="156" t="n">
        <v>6</v>
      </c>
      <c r="Y61" s="249" t="n">
        <f aca="false">W62</f>
        <v>38504</v>
      </c>
      <c r="Z61" s="112"/>
    </row>
    <row r="62" customFormat="false" ht="15.75" hidden="false" customHeight="false" outlineLevel="0" collapsed="false">
      <c r="V62" s="155" t="n">
        <f aca="false">V61+31</f>
        <v>38504</v>
      </c>
      <c r="W62" s="145" t="n">
        <f aca="false">V62</f>
        <v>38504</v>
      </c>
      <c r="X62" s="156" t="n">
        <v>7</v>
      </c>
      <c r="Y62" s="249" t="n">
        <f aca="false">W63</f>
        <v>38534</v>
      </c>
      <c r="Z62" s="112"/>
    </row>
    <row r="63" customFormat="false" ht="15.75" hidden="false" customHeight="false" outlineLevel="0" collapsed="false">
      <c r="V63" s="155" t="n">
        <f aca="false">V62+30</f>
        <v>38534</v>
      </c>
      <c r="W63" s="145" t="n">
        <f aca="false">V63</f>
        <v>38534</v>
      </c>
      <c r="X63" s="156" t="n">
        <v>8</v>
      </c>
      <c r="Y63" s="249" t="n">
        <f aca="false">W64</f>
        <v>38565</v>
      </c>
      <c r="Z63" s="112"/>
    </row>
    <row r="64" customFormat="false" ht="15.75" hidden="false" customHeight="false" outlineLevel="0" collapsed="false">
      <c r="V64" s="155" t="n">
        <f aca="false">V63+31</f>
        <v>38565</v>
      </c>
      <c r="W64" s="145" t="n">
        <f aca="false">V64</f>
        <v>38565</v>
      </c>
      <c r="X64" s="156" t="n">
        <v>9</v>
      </c>
      <c r="Y64" s="249" t="n">
        <f aca="false">W65</f>
        <v>38596</v>
      </c>
      <c r="Z64" s="112"/>
    </row>
    <row r="65" customFormat="false" ht="15.75" hidden="false" customHeight="false" outlineLevel="0" collapsed="false">
      <c r="V65" s="155" t="n">
        <f aca="false">V64+31</f>
        <v>38596</v>
      </c>
      <c r="W65" s="145" t="n">
        <f aca="false">V65</f>
        <v>38596</v>
      </c>
      <c r="X65" s="156" t="n">
        <v>10</v>
      </c>
      <c r="Y65" s="249" t="n">
        <f aca="false">W66</f>
        <v>38626</v>
      </c>
      <c r="Z65" s="112"/>
    </row>
    <row r="66" customFormat="false" ht="15.75" hidden="false" customHeight="false" outlineLevel="0" collapsed="false">
      <c r="V66" s="155" t="n">
        <f aca="false">V65+30</f>
        <v>38626</v>
      </c>
      <c r="W66" s="145" t="n">
        <f aca="false">V66</f>
        <v>38626</v>
      </c>
      <c r="X66" s="156" t="n">
        <v>11</v>
      </c>
      <c r="Y66" s="249" t="n">
        <f aca="false">W67</f>
        <v>38657</v>
      </c>
      <c r="Z66" s="112"/>
    </row>
    <row r="67" customFormat="false" ht="15.75" hidden="false" customHeight="false" outlineLevel="0" collapsed="false">
      <c r="V67" s="155" t="n">
        <f aca="false">V66+31</f>
        <v>38657</v>
      </c>
      <c r="W67" s="145" t="n">
        <f aca="false">V67</f>
        <v>38657</v>
      </c>
      <c r="X67" s="156" t="n">
        <v>0</v>
      </c>
      <c r="Y67" s="249" t="n">
        <f aca="false">W68</f>
        <v>38687</v>
      </c>
      <c r="Z67" s="112"/>
    </row>
    <row r="68" customFormat="false" ht="16.5" hidden="false" customHeight="false" outlineLevel="0" collapsed="false">
      <c r="V68" s="250" t="n">
        <f aca="false">V67+30</f>
        <v>38687</v>
      </c>
      <c r="W68" s="194" t="n">
        <f aca="false">V68</f>
        <v>38687</v>
      </c>
      <c r="X68" s="195" t="n">
        <v>1</v>
      </c>
      <c r="Y68" s="251" t="n">
        <f aca="false">W69</f>
        <v>38718</v>
      </c>
      <c r="Z68" s="112"/>
    </row>
    <row r="69" customFormat="false" ht="15.75" hidden="true" customHeight="false" outlineLevel="0" collapsed="false">
      <c r="V69" s="252" t="n">
        <f aca="false">V68+31</f>
        <v>38718</v>
      </c>
      <c r="W69" s="145" t="n">
        <f aca="false">V69</f>
        <v>38718</v>
      </c>
      <c r="Z69" s="112"/>
    </row>
    <row r="70" customFormat="false" ht="15.75" hidden="false" customHeight="false" outlineLevel="0" collapsed="false">
      <c r="Z70" s="112"/>
    </row>
    <row r="71" customFormat="false" ht="15.75" hidden="false" customHeight="false" outlineLevel="0" collapsed="false">
      <c r="Z71" s="112"/>
    </row>
    <row r="72" customFormat="false" ht="15.75" hidden="false" customHeight="false" outlineLevel="0" collapsed="false">
      <c r="Z72" s="112"/>
    </row>
    <row r="73" customFormat="false" ht="15.75" hidden="false" customHeight="false" outlineLevel="0" collapsed="false">
      <c r="Z73" s="112"/>
    </row>
    <row r="74" customFormat="false" ht="15.75" hidden="false" customHeight="false" outlineLevel="0" collapsed="false">
      <c r="Z74" s="112"/>
    </row>
    <row r="75" customFormat="false" ht="15.75" hidden="false" customHeight="false" outlineLevel="0" collapsed="false">
      <c r="Z75" s="112"/>
    </row>
    <row r="76" customFormat="false" ht="15.75" hidden="false" customHeight="false" outlineLevel="0" collapsed="false">
      <c r="Z76" s="112"/>
    </row>
    <row r="77" customFormat="false" ht="15.75" hidden="false" customHeight="false" outlineLevel="0" collapsed="false">
      <c r="Z77" s="112"/>
    </row>
    <row r="78" customFormat="false" ht="15.75" hidden="false" customHeight="false" outlineLevel="0" collapsed="false">
      <c r="Z78" s="112"/>
    </row>
    <row r="79" customFormat="false" ht="15.75" hidden="false" customHeight="false" outlineLevel="0" collapsed="false">
      <c r="Z79" s="112"/>
    </row>
    <row r="80" customFormat="false" ht="15.75" hidden="false" customHeight="false" outlineLevel="0" collapsed="false">
      <c r="Z80" s="112"/>
    </row>
    <row r="81" customFormat="false" ht="15.75" hidden="false" customHeight="false" outlineLevel="0" collapsed="false">
      <c r="Z81" s="112"/>
    </row>
    <row r="82" customFormat="false" ht="15.75" hidden="false" customHeight="false" outlineLevel="0" collapsed="false">
      <c r="Z82" s="112"/>
    </row>
    <row r="83" customFormat="false" ht="15.75" hidden="false" customHeight="false" outlineLevel="0" collapsed="false">
      <c r="Z83" s="112"/>
    </row>
    <row r="84" customFormat="false" ht="15.75" hidden="false" customHeight="false" outlineLevel="0" collapsed="false">
      <c r="Z84" s="112"/>
    </row>
    <row r="85" customFormat="false" ht="15.75" hidden="false" customHeight="false" outlineLevel="0" collapsed="false">
      <c r="Z85" s="112"/>
    </row>
    <row r="86" customFormat="false" ht="15.75" hidden="false" customHeight="false" outlineLevel="0" collapsed="false">
      <c r="Z86" s="112"/>
    </row>
    <row r="87" customFormat="false" ht="15.75" hidden="false" customHeight="false" outlineLevel="0" collapsed="false">
      <c r="Z87" s="112"/>
    </row>
    <row r="88" customFormat="false" ht="15.75" hidden="false" customHeight="false" outlineLevel="0" collapsed="false">
      <c r="Z88" s="112"/>
    </row>
    <row r="89" customFormat="false" ht="15.75" hidden="false" customHeight="false" outlineLevel="0" collapsed="false">
      <c r="Z89" s="112"/>
    </row>
    <row r="90" customFormat="false" ht="15.75" hidden="false" customHeight="false" outlineLevel="0" collapsed="false">
      <c r="Z90" s="112"/>
    </row>
  </sheetData>
  <mergeCells count="8">
    <mergeCell ref="A1:L1"/>
    <mergeCell ref="A2:L2"/>
    <mergeCell ref="Q5:S7"/>
    <mergeCell ref="T5:U7"/>
    <mergeCell ref="V5:X7"/>
    <mergeCell ref="Y5:Y7"/>
    <mergeCell ref="A52:L52"/>
    <mergeCell ref="A53:L53"/>
  </mergeCells>
  <dataValidations count="1">
    <dataValidation allowBlank="true" errorStyle="stop" operator="between" showDropDown="false" showErrorMessage="true" showInputMessage="false" sqref="N1" type="list">
      <formula1>$Z$1:$Z$8</formula1>
      <formula2>0</formula2>
    </dataValidation>
  </dataValidations>
  <printOptions headings="false" gridLines="false" gridLinesSet="true" horizontalCentered="true" verticalCentered="false"/>
  <pageMargins left="0.35" right="0.170138888888889" top="0.5" bottom="0.29027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1998-02-23T18:55:03Z</dcterms:created>
  <dc:creator>Owen Raun</dc:creator>
  <dc:description/>
  <dc:language>en-US</dc:language>
  <cp:lastModifiedBy>Christi DeWester</cp:lastModifiedBy>
  <cp:lastPrinted>2000-12-16T15:06:57Z</cp:lastPrinted>
  <dcterms:modified xsi:type="dcterms:W3CDTF">2001-08-30T14:09:06Z</dcterms:modified>
  <cp:revision>0</cp:revision>
  <dc:subject/>
  <dc:title>gferun</dc:title>
</cp:coreProperties>
</file>