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" sheetId="1" state="visible" r:id="rId3"/>
    <sheet name="$kw" sheetId="2" state="visible" r:id="rId4"/>
    <sheet name="DS sch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<sst xmlns="http://schemas.openxmlformats.org/spreadsheetml/2006/main" count="46" uniqueCount="34">
  <si>
    <t xml:space="preserve">TECO amortization schedule...amortizing debt service</t>
  </si>
  <si>
    <t xml:space="preserve">plant size</t>
  </si>
  <si>
    <t xml:space="preserve">mw</t>
  </si>
  <si>
    <t xml:space="preserve">plant cost</t>
  </si>
  <si>
    <t xml:space="preserve">$/kw</t>
  </si>
  <si>
    <t xml:space="preserve">ENA debt exposure</t>
  </si>
  <si>
    <t xml:space="preserve">loan/val</t>
  </si>
  <si>
    <t xml:space="preserve">debt($mm)</t>
  </si>
  <si>
    <t xml:space="preserve">equity($mm)</t>
  </si>
  <si>
    <t xml:space="preserve">Closing date</t>
  </si>
  <si>
    <t xml:space="preserve">First interest pmt</t>
  </si>
  <si>
    <t xml:space="preserve">First maturity</t>
  </si>
  <si>
    <t xml:space="preserve">Final maturity</t>
  </si>
  <si>
    <t xml:space="preserve">int. rate</t>
  </si>
  <si>
    <t xml:space="preserve">D/S shape</t>
  </si>
  <si>
    <t xml:space="preserve">rate</t>
  </si>
  <si>
    <t xml:space="preserve">flex year</t>
  </si>
  <si>
    <t xml:space="preserve">Year</t>
  </si>
  <si>
    <t xml:space="preserve">P</t>
  </si>
  <si>
    <t xml:space="preserve">I</t>
  </si>
  <si>
    <t xml:space="preserve">Total</t>
  </si>
  <si>
    <t xml:space="preserve">$/kw-mo</t>
  </si>
  <si>
    <t xml:space="preserve">Balance</t>
  </si>
  <si>
    <t xml:space="preserve">Bond</t>
  </si>
  <si>
    <t xml:space="preserve">Years</t>
  </si>
  <si>
    <t xml:space="preserve">Avg. life</t>
  </si>
  <si>
    <t xml:space="preserve">Debt service schedule</t>
  </si>
  <si>
    <t xml:space="preserve">Par amount of debt</t>
  </si>
  <si>
    <t xml:space="preserve">Interest rate</t>
  </si>
  <si>
    <t xml:space="preserve">Semi-Ann</t>
  </si>
  <si>
    <t xml:space="preserve">Annual</t>
  </si>
  <si>
    <t xml:space="preserve">Outstanding</t>
  </si>
  <si>
    <t xml:space="preserve">Principal</t>
  </si>
  <si>
    <t xml:space="preserve">Interest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</si>
</sst>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0%"/>
    <numFmt numFmtId="169" formatCode="mm/dd/yy"/>
    <numFmt numFmtId="170" formatCode="0.0%"/>
    <numFmt numFmtId="171" formatCode="[$-409]m/d/yyyy"/>
    <numFmt numFmtId="172" formatCode="0.00%"/>
    <numFmt numFmtId="173" formatCode="0.00"/>
    <numFmt numFmtId="174" formatCode="0.0000"/>
    <numFmt numFmtId="175" formatCode="_(\$* #,##0_);_(\$* \(#,##0\);_(\$* \-??_);_(@_)"/>
    <numFmt numFmtId="176" formatCode="0.0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3174100174999"/>
          <c:y val="0.0332648598502419"/>
          <c:w val="0.86931845055101"/>
          <c:h val="0.950102710224637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'$kw'!$F$24:$F$43</c:f>
              <c:numCache>
                <c:formatCode>_(\$* #,##0.00_);_(\$* \(#,##0.00\);_(\$* \-??_);_(@_)</c:formatCode>
                <c:ptCount val="20"/>
                <c:pt idx="0">
                  <c:v>375</c:v>
                </c:pt>
                <c:pt idx="1">
                  <c:v>366.851095991847</c:v>
                </c:pt>
                <c:pt idx="2">
                  <c:v>357.968790622959</c:v>
                </c:pt>
                <c:pt idx="3">
                  <c:v>348.287077770872</c:v>
                </c:pt>
                <c:pt idx="4">
                  <c:v>337.734010762097</c:v>
                </c:pt>
                <c:pt idx="5">
                  <c:v>326.231167722532</c:v>
                </c:pt>
                <c:pt idx="6">
                  <c:v>313.693068809406</c:v>
                </c:pt>
                <c:pt idx="7">
                  <c:v>300.026540994099</c:v>
                </c:pt>
                <c:pt idx="8">
                  <c:v>285.130025675415</c:v>
                </c:pt>
                <c:pt idx="9">
                  <c:v>268.892823978049</c:v>
                </c:pt>
                <c:pt idx="10">
                  <c:v>251.194274127919</c:v>
                </c:pt>
                <c:pt idx="11">
                  <c:v>231.902854791279</c:v>
                </c:pt>
                <c:pt idx="12">
                  <c:v>210.87520771434</c:v>
                </c:pt>
                <c:pt idx="13">
                  <c:v>187.955072400477</c:v>
                </c:pt>
                <c:pt idx="14">
                  <c:v>162.972124908367</c:v>
                </c:pt>
                <c:pt idx="15">
                  <c:v>135.740712141966</c:v>
                </c:pt>
                <c:pt idx="16">
                  <c:v>106.05847222659</c:v>
                </c:pt>
                <c:pt idx="17">
                  <c:v>73.7048307188292</c:v>
                </c:pt>
                <c:pt idx="18">
                  <c:v>38.4393614753703</c:v>
                </c:pt>
                <c:pt idx="1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55042"/>
        <c:axId val="30975344"/>
      </c:lineChart>
      <c:catAx>
        <c:axId val="135504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975344"/>
        <c:crossesAt val="0"/>
        <c:auto val="1"/>
        <c:lblAlgn val="ctr"/>
        <c:lblOffset val="100"/>
        <c:noMultiLvlLbl val="0"/>
      </c:catAx>
      <c:valAx>
        <c:axId val="309753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_(\$* #,##0.00_);_(\$* \(#,##0.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5504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93487206167526"/>
          <c:y val="0.46544297925916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2" activeCellId="0" sqref="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10" min="10" style="0" width="10.28"/>
    <col collapsed="false" customWidth="true" hidden="false" outlineLevel="0" max="13" min="12" style="0" width="10.28"/>
  </cols>
  <sheetData>
    <row r="1" customFormat="false" ht="12.75" hidden="false" customHeight="false" outlineLevel="0" collapsed="false">
      <c r="A1" s="0" t="s">
        <v>0</v>
      </c>
    </row>
    <row r="4" customFormat="false" ht="12.75" hidden="false" customHeight="false" outlineLevel="0" collapsed="false">
      <c r="A4" s="0" t="s">
        <v>1</v>
      </c>
      <c r="C4" s="0" t="s">
        <v>2</v>
      </c>
      <c r="D4" s="0" t="n">
        <v>315</v>
      </c>
      <c r="J4" s="1"/>
    </row>
    <row r="5" customFormat="false" ht="12.75" hidden="false" customHeight="false" outlineLevel="0" collapsed="false">
      <c r="A5" s="0" t="s">
        <v>3</v>
      </c>
      <c r="C5" s="0" t="s">
        <v>4</v>
      </c>
      <c r="D5" s="2" t="n">
        <v>560</v>
      </c>
      <c r="J5" s="1"/>
    </row>
    <row r="6" customFormat="false" ht="12.75" hidden="false" customHeight="false" outlineLevel="0" collapsed="false">
      <c r="A6" s="0" t="s">
        <v>5</v>
      </c>
      <c r="C6" s="0" t="s">
        <v>4</v>
      </c>
      <c r="D6" s="2" t="n">
        <v>375</v>
      </c>
      <c r="J6" s="1"/>
    </row>
    <row r="7" customFormat="false" ht="12.75" hidden="false" customHeight="false" outlineLevel="0" collapsed="false">
      <c r="A7" s="0" t="s">
        <v>6</v>
      </c>
      <c r="D7" s="3" t="n">
        <f aca="false">D6/D5</f>
        <v>0.669642857142857</v>
      </c>
    </row>
    <row r="8" customFormat="false" ht="12.75" hidden="false" customHeight="false" outlineLevel="0" collapsed="false">
      <c r="C8" s="0" t="s">
        <v>7</v>
      </c>
      <c r="D8" s="2" t="n">
        <f aca="false">D6*D4/1000</f>
        <v>118.125</v>
      </c>
    </row>
    <row r="9" customFormat="false" ht="12.75" hidden="false" customHeight="false" outlineLevel="0" collapsed="false">
      <c r="C9" s="0" t="s">
        <v>8</v>
      </c>
      <c r="D9" s="4" t="n">
        <f aca="false">D5*(1-D7)</f>
        <v>185</v>
      </c>
    </row>
    <row r="11" customFormat="false" ht="12.75" hidden="false" customHeight="false" outlineLevel="0" collapsed="false">
      <c r="A11" s="0" t="s">
        <v>9</v>
      </c>
      <c r="D11" s="5" t="n">
        <v>36708</v>
      </c>
    </row>
    <row r="12" customFormat="false" ht="12.75" hidden="false" customHeight="false" outlineLevel="0" collapsed="false">
      <c r="A12" s="0" t="s">
        <v>10</v>
      </c>
      <c r="D12" s="5" t="n">
        <v>37165</v>
      </c>
    </row>
    <row r="13" customFormat="false" ht="12.75" hidden="false" customHeight="false" outlineLevel="0" collapsed="false">
      <c r="A13" s="0" t="s">
        <v>11</v>
      </c>
      <c r="D13" s="6" t="n">
        <v>37530</v>
      </c>
      <c r="E13" s="7"/>
    </row>
    <row r="14" customFormat="false" ht="12.75" hidden="false" customHeight="false" outlineLevel="0" collapsed="false">
      <c r="A14" s="0" t="s">
        <v>12</v>
      </c>
      <c r="D14" s="8" t="n">
        <v>44105</v>
      </c>
      <c r="F14" s="9"/>
    </row>
    <row r="15" customFormat="false" ht="12.75" hidden="false" customHeight="false" outlineLevel="0" collapsed="false">
      <c r="A15" s="0" t="s">
        <v>13</v>
      </c>
      <c r="D15" s="7" t="n">
        <v>0.09</v>
      </c>
    </row>
    <row r="16" customFormat="false" ht="12.75" hidden="false" customHeight="false" outlineLevel="0" collapsed="false">
      <c r="D16" s="2"/>
    </row>
    <row r="17" customFormat="false" ht="12.75" hidden="false" customHeight="false" outlineLevel="0" collapsed="false">
      <c r="A17" s="0" t="s">
        <v>14</v>
      </c>
      <c r="C17" s="0" t="s">
        <v>15</v>
      </c>
      <c r="D17" s="10" t="n">
        <v>0</v>
      </c>
    </row>
    <row r="18" customFormat="false" ht="12.75" hidden="false" customHeight="false" outlineLevel="0" collapsed="false">
      <c r="C18" s="0" t="s">
        <v>16</v>
      </c>
      <c r="D18" s="0" t="n">
        <v>5</v>
      </c>
    </row>
    <row r="21" customFormat="false" ht="12.75" hidden="false" customHeight="false" outlineLevel="0" collapsed="false">
      <c r="A21" s="11" t="s">
        <v>17</v>
      </c>
      <c r="B21" s="11" t="s">
        <v>18</v>
      </c>
      <c r="C21" s="11" t="s">
        <v>19</v>
      </c>
      <c r="D21" s="11" t="s">
        <v>20</v>
      </c>
      <c r="E21" s="11" t="s">
        <v>21</v>
      </c>
      <c r="F21" s="11" t="s">
        <v>22</v>
      </c>
      <c r="H21" s="11" t="s">
        <v>23</v>
      </c>
    </row>
    <row r="22" customFormat="false" ht="12.75" hidden="false" customHeight="false" outlineLevel="0" collapsed="false">
      <c r="A22" s="11"/>
      <c r="B22" s="11" t="s">
        <v>4</v>
      </c>
      <c r="C22" s="11" t="s">
        <v>4</v>
      </c>
      <c r="D22" s="11" t="s">
        <v>4</v>
      </c>
      <c r="E22" s="11"/>
      <c r="F22" s="11" t="s">
        <v>4</v>
      </c>
      <c r="H22" s="11" t="s">
        <v>24</v>
      </c>
      <c r="J22" s="11" t="s">
        <v>17</v>
      </c>
      <c r="K22" s="11" t="s">
        <v>18</v>
      </c>
      <c r="L22" s="11" t="s">
        <v>19</v>
      </c>
      <c r="M22" s="11" t="s">
        <v>20</v>
      </c>
    </row>
    <row r="23" customFormat="false" ht="12.75" hidden="false" customHeight="false" outlineLevel="0" collapsed="false">
      <c r="A23" s="12" t="n">
        <f aca="false">D11</f>
        <v>36708</v>
      </c>
      <c r="B23" s="11"/>
      <c r="C23" s="11"/>
      <c r="D23" s="11"/>
    </row>
    <row r="24" customFormat="false" ht="12.75" hidden="false" customHeight="false" outlineLevel="0" collapsed="false">
      <c r="A24" s="9" t="n">
        <f aca="false">D13</f>
        <v>37530</v>
      </c>
      <c r="B24" s="2" t="n">
        <f aca="false">K24/$K$45*$D$6</f>
        <v>8.14890400815353</v>
      </c>
      <c r="C24" s="2" t="n">
        <f aca="false">B24*$D$15+C25</f>
        <v>33.75</v>
      </c>
      <c r="D24" s="4" t="n">
        <f aca="false">B24+C24</f>
        <v>41.8989040081535</v>
      </c>
      <c r="E24" s="4" t="n">
        <f aca="false">D24/12</f>
        <v>3.4915753340128</v>
      </c>
      <c r="F24" s="4" t="n">
        <f aca="false">B45</f>
        <v>375</v>
      </c>
      <c r="H24" s="13" t="n">
        <f aca="false">B24*DAYS360($A$23,A24)/360</f>
        <v>18.3350340183455</v>
      </c>
      <c r="J24" s="14" t="n">
        <f aca="false">(A24-$A$23)/365</f>
        <v>2.25205479452055</v>
      </c>
      <c r="K24" s="2" t="n">
        <f aca="false">(M24-L25)/(1+$D$15)</f>
        <v>19.4489669862671</v>
      </c>
      <c r="L24" s="2" t="n">
        <f aca="false">K24*$D$15+L25</f>
        <v>80.5510330137329</v>
      </c>
      <c r="M24" s="15" t="n">
        <v>100</v>
      </c>
    </row>
    <row r="25" customFormat="false" ht="12.75" hidden="false" customHeight="false" outlineLevel="0" collapsed="false">
      <c r="A25" s="9" t="n">
        <v>37895</v>
      </c>
      <c r="B25" s="2" t="n">
        <f aca="false">K25/$K$45*$D$6</f>
        <v>8.88230536888735</v>
      </c>
      <c r="C25" s="2" t="n">
        <f aca="false">B25*$D$15+C26</f>
        <v>33.0165986392662</v>
      </c>
      <c r="D25" s="4" t="n">
        <f aca="false">B25+C25</f>
        <v>41.8989040081535</v>
      </c>
      <c r="E25" s="4" t="n">
        <f aca="false">D25/12</f>
        <v>3.4915753340128</v>
      </c>
      <c r="F25" s="4" t="n">
        <f aca="false">F24-B24</f>
        <v>366.851095991847</v>
      </c>
      <c r="H25" s="13" t="n">
        <f aca="false">B25*DAYS360($A$23,A25)/360</f>
        <v>28.8674924488839</v>
      </c>
      <c r="J25" s="14" t="n">
        <f aca="false">(A25-$A$23)/365</f>
        <v>3.25205479452055</v>
      </c>
      <c r="K25" s="2" t="n">
        <f aca="false">(M25-L26)/(1+$D$15)</f>
        <v>21.1993740150312</v>
      </c>
      <c r="L25" s="2" t="n">
        <f aca="false">K25*$D$15+L26</f>
        <v>78.8006259849688</v>
      </c>
      <c r="M25" s="15" t="n">
        <f aca="false">IF(J25&gt;=$D$18,M24*(1+$D$17),M24)*IF(A25&lt;=$D$14,1,0)</f>
        <v>100</v>
      </c>
    </row>
    <row r="26" customFormat="false" ht="12.75" hidden="false" customHeight="false" outlineLevel="0" collapsed="false">
      <c r="A26" s="9" t="n">
        <v>38261</v>
      </c>
      <c r="B26" s="2" t="n">
        <f aca="false">K26/$K$45*$D$6</f>
        <v>9.68171285208721</v>
      </c>
      <c r="C26" s="2" t="n">
        <f aca="false">B26*$D$15+C27</f>
        <v>32.2171911560663</v>
      </c>
      <c r="D26" s="4" t="n">
        <f aca="false">B26+C26</f>
        <v>41.8989040081535</v>
      </c>
      <c r="E26" s="4" t="n">
        <f aca="false">D26/12</f>
        <v>3.4915753340128</v>
      </c>
      <c r="F26" s="4" t="n">
        <f aca="false">F25-B25</f>
        <v>357.968790622959</v>
      </c>
      <c r="H26" s="13" t="n">
        <f aca="false">B26*DAYS360($A$23,A26)/360</f>
        <v>41.1472796213707</v>
      </c>
      <c r="J26" s="14" t="n">
        <f aca="false">(A26-$A$23)/365</f>
        <v>4.25479452054795</v>
      </c>
      <c r="K26" s="2" t="n">
        <f aca="false">(M26-L27)/(1+$D$15)</f>
        <v>23.107317676384</v>
      </c>
      <c r="L26" s="2" t="n">
        <f aca="false">K26*$D$15+L27</f>
        <v>76.892682323616</v>
      </c>
      <c r="M26" s="15" t="n">
        <f aca="false">IF(J26&gt;=$D$18,M25*(1+$D$17),M25)*IF(A26&lt;=$D$14,1,0)</f>
        <v>100</v>
      </c>
    </row>
    <row r="27" customFormat="false" ht="12.75" hidden="false" customHeight="false" outlineLevel="0" collapsed="false">
      <c r="A27" s="9" t="n">
        <v>38626</v>
      </c>
      <c r="B27" s="2" t="n">
        <f aca="false">K27/$K$45*$D$6</f>
        <v>10.5530670087751</v>
      </c>
      <c r="C27" s="2" t="n">
        <f aca="false">B27*$D$15+C28</f>
        <v>31.3458369993785</v>
      </c>
      <c r="D27" s="4" t="n">
        <f aca="false">B27+C27</f>
        <v>41.8989040081535</v>
      </c>
      <c r="E27" s="4" t="n">
        <f aca="false">D27/12</f>
        <v>3.4915753340128</v>
      </c>
      <c r="F27" s="4" t="n">
        <f aca="false">F26-B26</f>
        <v>348.287077770872</v>
      </c>
      <c r="H27" s="13" t="n">
        <f aca="false">B27*DAYS360($A$23,A27)/360</f>
        <v>55.4036017960691</v>
      </c>
      <c r="J27" s="14" t="n">
        <f aca="false">(A27-$A$23)/365</f>
        <v>5.25479452054795</v>
      </c>
      <c r="K27" s="2" t="n">
        <f aca="false">(M27-L28)/(1+$D$15)</f>
        <v>25.1869762672585</v>
      </c>
      <c r="L27" s="2" t="n">
        <f aca="false">K27*$D$15+L28</f>
        <v>74.8130237327415</v>
      </c>
      <c r="M27" s="15" t="n">
        <f aca="false">IF(J27&gt;=$D$18,M26*(1+$D$17),M26)*IF(A27&lt;=$D$14,1,0)</f>
        <v>100</v>
      </c>
    </row>
    <row r="28" customFormat="false" ht="12.75" hidden="false" customHeight="false" outlineLevel="0" collapsed="false">
      <c r="A28" s="9" t="n">
        <v>38991</v>
      </c>
      <c r="B28" s="2" t="n">
        <f aca="false">K28/$K$45*$D$6</f>
        <v>11.5028430395648</v>
      </c>
      <c r="C28" s="2" t="n">
        <f aca="false">B28*$D$15+C29</f>
        <v>30.3960609685887</v>
      </c>
      <c r="D28" s="4" t="n">
        <f aca="false">B28+C28</f>
        <v>41.8989040081535</v>
      </c>
      <c r="E28" s="4" t="n">
        <f aca="false">D28/12</f>
        <v>3.4915753340128</v>
      </c>
      <c r="F28" s="4" t="n">
        <f aca="false">F27-B27</f>
        <v>337.734010762097</v>
      </c>
      <c r="H28" s="13" t="n">
        <f aca="false">B28*DAYS360($A$23,A28)/360</f>
        <v>71.8927689972801</v>
      </c>
      <c r="J28" s="14" t="n">
        <f aca="false">(A28-$A$23)/365</f>
        <v>6.25479452054795</v>
      </c>
      <c r="K28" s="2" t="n">
        <f aca="false">(M28-L29)/(1+$D$15)</f>
        <v>27.4538041313118</v>
      </c>
      <c r="L28" s="2" t="n">
        <f aca="false">K28*$D$15+L29</f>
        <v>72.5461958686882</v>
      </c>
      <c r="M28" s="15" t="n">
        <f aca="false">IF(J28&gt;=$D$18,M27*(1+$D$17),M27)*IF(A28&lt;=$D$14,1,0)</f>
        <v>100</v>
      </c>
    </row>
    <row r="29" customFormat="false" ht="12.75" hidden="false" customHeight="false" outlineLevel="0" collapsed="false">
      <c r="A29" s="9" t="n">
        <v>39356</v>
      </c>
      <c r="B29" s="2" t="n">
        <f aca="false">K29/$K$45*$D$6</f>
        <v>12.5380989131257</v>
      </c>
      <c r="C29" s="2" t="n">
        <f aca="false">B29*$D$15+C30</f>
        <v>29.3608050950279</v>
      </c>
      <c r="D29" s="4" t="n">
        <f aca="false">B29+C29</f>
        <v>41.8989040081535</v>
      </c>
      <c r="E29" s="4" t="n">
        <f aca="false">D29/12</f>
        <v>3.4915753340128</v>
      </c>
      <c r="F29" s="4" t="n">
        <f aca="false">F28-B28</f>
        <v>326.231167722532</v>
      </c>
      <c r="H29" s="13" t="n">
        <f aca="false">B29*DAYS360($A$23,A29)/360</f>
        <v>90.901217120161</v>
      </c>
      <c r="J29" s="14" t="n">
        <f aca="false">(A29-$A$23)/365</f>
        <v>7.25479452054795</v>
      </c>
      <c r="K29" s="2" t="n">
        <f aca="false">(M29-L30)/(1+$D$15)</f>
        <v>29.9246465031299</v>
      </c>
      <c r="L29" s="2" t="n">
        <f aca="false">K29*$D$15+L30</f>
        <v>70.0753534968701</v>
      </c>
      <c r="M29" s="15" t="n">
        <f aca="false">IF(J29&gt;=$D$18,M28*(1+$D$17),M28)*IF(A29&lt;=$D$14,1,0)</f>
        <v>100</v>
      </c>
    </row>
    <row r="30" customFormat="false" ht="12.75" hidden="false" customHeight="false" outlineLevel="0" collapsed="false">
      <c r="A30" s="9" t="n">
        <v>39722</v>
      </c>
      <c r="B30" s="2" t="n">
        <f aca="false">K30/$K$45*$D$6</f>
        <v>13.666527815307</v>
      </c>
      <c r="C30" s="2" t="n">
        <f aca="false">B30*$D$15+C31</f>
        <v>28.2323761928466</v>
      </c>
      <c r="D30" s="4" t="n">
        <f aca="false">B30+C30</f>
        <v>41.8989040081535</v>
      </c>
      <c r="E30" s="4" t="n">
        <f aca="false">D30/12</f>
        <v>3.4915753340128</v>
      </c>
      <c r="F30" s="4" t="n">
        <f aca="false">F29-B29</f>
        <v>313.693068809406</v>
      </c>
      <c r="H30" s="13" t="n">
        <f aca="false">B30*DAYS360($A$23,A30)/360</f>
        <v>112.748854476282</v>
      </c>
      <c r="J30" s="14" t="n">
        <f aca="false">(A30-$A$23)/365</f>
        <v>8.25753424657534</v>
      </c>
      <c r="K30" s="2" t="n">
        <f aca="false">(M30-L31)/(1+$D$15)</f>
        <v>32.6178646884116</v>
      </c>
      <c r="L30" s="2" t="n">
        <f aca="false">K30*$D$15+L31</f>
        <v>67.3821353115884</v>
      </c>
      <c r="M30" s="15" t="n">
        <f aca="false">IF(J30&gt;=$D$18,M29*(1+$D$17),M29)*IF(A30&lt;=$D$14,1,0)</f>
        <v>100</v>
      </c>
    </row>
    <row r="31" customFormat="false" ht="12.75" hidden="false" customHeight="false" outlineLevel="0" collapsed="false">
      <c r="A31" s="9" t="n">
        <v>40087</v>
      </c>
      <c r="B31" s="2" t="n">
        <f aca="false">K31/$K$45*$D$6</f>
        <v>14.8965153186846</v>
      </c>
      <c r="C31" s="2" t="n">
        <f aca="false">B31*$D$15+C32</f>
        <v>27.0023886894689</v>
      </c>
      <c r="D31" s="4" t="n">
        <f aca="false">B31+C31</f>
        <v>41.8989040081535</v>
      </c>
      <c r="E31" s="4" t="n">
        <f aca="false">D31/12</f>
        <v>3.4915753340128</v>
      </c>
      <c r="F31" s="4" t="n">
        <f aca="false">F30-B30</f>
        <v>300.026540994099</v>
      </c>
      <c r="H31" s="13" t="n">
        <f aca="false">B31*DAYS360($A$23,A31)/360</f>
        <v>137.792766697832</v>
      </c>
      <c r="J31" s="14" t="n">
        <f aca="false">(A31-$A$23)/365</f>
        <v>9.25753424657534</v>
      </c>
      <c r="K31" s="2" t="n">
        <f aca="false">(M31-L32)/(1+$D$15)</f>
        <v>35.5534725103686</v>
      </c>
      <c r="L31" s="2" t="n">
        <f aca="false">K31*$D$15+L32</f>
        <v>64.4465274896314</v>
      </c>
      <c r="M31" s="15" t="n">
        <f aca="false">IF(J31&gt;=$D$18,M30*(1+$D$17),M30)*IF(A31&lt;=$D$14,1,0)</f>
        <v>100</v>
      </c>
    </row>
    <row r="32" customFormat="false" ht="12.75" hidden="false" customHeight="false" outlineLevel="0" collapsed="false">
      <c r="A32" s="9" t="n">
        <v>40452</v>
      </c>
      <c r="B32" s="2" t="n">
        <f aca="false">K32/$K$45*$D$6</f>
        <v>16.2372016973662</v>
      </c>
      <c r="C32" s="2" t="n">
        <f aca="false">B32*$D$15+C33</f>
        <v>25.6617023107873</v>
      </c>
      <c r="D32" s="4" t="n">
        <f aca="false">B32+C32</f>
        <v>41.8989040081535</v>
      </c>
      <c r="E32" s="4" t="n">
        <f aca="false">D32/12</f>
        <v>3.49157533401279</v>
      </c>
      <c r="F32" s="4" t="n">
        <f aca="false">F31-B31</f>
        <v>285.130025675415</v>
      </c>
      <c r="H32" s="13" t="n">
        <f aca="false">B32*DAYS360($A$23,A32)/360</f>
        <v>166.431317398004</v>
      </c>
      <c r="J32" s="14" t="n">
        <f aca="false">(A32-$A$23)/365</f>
        <v>10.2575342465753</v>
      </c>
      <c r="K32" s="2" t="n">
        <f aca="false">(M32-L33)/(1+$D$15)</f>
        <v>38.7532850363018</v>
      </c>
      <c r="L32" s="2" t="n">
        <f aca="false">K32*$D$15+L33</f>
        <v>61.2467149636982</v>
      </c>
      <c r="M32" s="15" t="n">
        <f aca="false">IF(J32&gt;=$D$18,M31*(1+$D$17),M31)*IF(A32&lt;=$D$14,1,0)</f>
        <v>100</v>
      </c>
    </row>
    <row r="33" customFormat="false" ht="12.75" hidden="false" customHeight="false" outlineLevel="0" collapsed="false">
      <c r="A33" s="9" t="n">
        <v>40817</v>
      </c>
      <c r="B33" s="2" t="n">
        <f aca="false">K33/$K$45*$D$6</f>
        <v>17.6985498501292</v>
      </c>
      <c r="C33" s="2" t="n">
        <f aca="false">B33*$D$15+C34</f>
        <v>24.2003541580244</v>
      </c>
      <c r="D33" s="4" t="n">
        <f aca="false">B33+C33</f>
        <v>41.8989040081535</v>
      </c>
      <c r="E33" s="4" t="n">
        <f aca="false">D33/12</f>
        <v>3.4915753340128</v>
      </c>
      <c r="F33" s="4" t="n">
        <f aca="false">F32-B32</f>
        <v>268.892823978049</v>
      </c>
      <c r="H33" s="13" t="n">
        <f aca="false">B33*DAYS360($A$23,A33)/360</f>
        <v>199.108685813953</v>
      </c>
      <c r="J33" s="14" t="n">
        <f aca="false">(A33-$A$23)/365</f>
        <v>11.2575342465753</v>
      </c>
      <c r="K33" s="2" t="n">
        <f aca="false">(M33-L34)/(1+$D$15)</f>
        <v>42.2410806895689</v>
      </c>
      <c r="L33" s="2" t="n">
        <f aca="false">K33*$D$15+L34</f>
        <v>57.7589193104311</v>
      </c>
      <c r="M33" s="15" t="n">
        <f aca="false">IF(J33&gt;=$D$18,M32*(1+$D$17),M32)*IF(A33&lt;=$D$14,1,0)</f>
        <v>100</v>
      </c>
    </row>
    <row r="34" customFormat="false" ht="12.75" hidden="false" customHeight="false" outlineLevel="0" collapsed="false">
      <c r="A34" s="9" t="n">
        <v>41183</v>
      </c>
      <c r="B34" s="2" t="n">
        <f aca="false">K34/$K$45*$D$6</f>
        <v>19.2914193366408</v>
      </c>
      <c r="C34" s="2" t="n">
        <f aca="false">B34*$D$15+C35</f>
        <v>22.6074846715127</v>
      </c>
      <c r="D34" s="4" t="n">
        <f aca="false">B34+C34</f>
        <v>41.8989040081535</v>
      </c>
      <c r="E34" s="4" t="n">
        <f aca="false">D34/12</f>
        <v>3.4915753340128</v>
      </c>
      <c r="F34" s="4" t="n">
        <f aca="false">F33-B33</f>
        <v>251.194274127919</v>
      </c>
      <c r="H34" s="13" t="n">
        <f aca="false">B34*DAYS360($A$23,A34)/360</f>
        <v>236.31988687385</v>
      </c>
      <c r="J34" s="14" t="n">
        <f aca="false">(A34-$A$23)/365</f>
        <v>12.2602739726027</v>
      </c>
      <c r="K34" s="2" t="n">
        <f aca="false">(M34-L35)/(1+$D$15)</f>
        <v>46.0427779516301</v>
      </c>
      <c r="L34" s="2" t="n">
        <f aca="false">K34*$D$15+L35</f>
        <v>53.9572220483699</v>
      </c>
      <c r="M34" s="15" t="n">
        <f aca="false">IF(J34&gt;=$D$18,M33*(1+$D$17),M33)*IF(A34&lt;=$D$14,1,0)</f>
        <v>100</v>
      </c>
    </row>
    <row r="35" customFormat="false" ht="12.75" hidden="false" customHeight="false" outlineLevel="0" collapsed="false">
      <c r="A35" s="9" t="n">
        <v>41548</v>
      </c>
      <c r="B35" s="2" t="n">
        <f aca="false">K35/$K$45*$D$6</f>
        <v>21.0276470769385</v>
      </c>
      <c r="C35" s="2" t="n">
        <f aca="false">B35*$D$15+C36</f>
        <v>20.8712569312151</v>
      </c>
      <c r="D35" s="4" t="n">
        <f aca="false">B35+C35</f>
        <v>41.8989040081535</v>
      </c>
      <c r="E35" s="4" t="n">
        <f aca="false">D35/12</f>
        <v>3.49157533401279</v>
      </c>
      <c r="F35" s="4" t="n">
        <f aca="false">F34-B34</f>
        <v>231.902854791279</v>
      </c>
      <c r="H35" s="13" t="n">
        <f aca="false">B35*DAYS360($A$23,A35)/360</f>
        <v>278.616323769435</v>
      </c>
      <c r="J35" s="14" t="n">
        <f aca="false">(A35-$A$23)/365</f>
        <v>13.2602739726027</v>
      </c>
      <c r="K35" s="2" t="n">
        <f aca="false">(M35-L36)/(1+$D$15)</f>
        <v>50.1866279672768</v>
      </c>
      <c r="L35" s="2" t="n">
        <f aca="false">K35*$D$15+L36</f>
        <v>49.8133720327232</v>
      </c>
      <c r="M35" s="15" t="n">
        <f aca="false">IF(J35&gt;=$D$18,M34*(1+$D$17),M34)*IF(A35&lt;=$D$14,1,0)</f>
        <v>100</v>
      </c>
    </row>
    <row r="36" customFormat="false" ht="12.75" hidden="false" customHeight="false" outlineLevel="0" collapsed="false">
      <c r="A36" s="9" t="n">
        <v>41913</v>
      </c>
      <c r="B36" s="2" t="n">
        <f aca="false">K36/$K$45*$D$6</f>
        <v>22.9201353138629</v>
      </c>
      <c r="C36" s="2" t="n">
        <f aca="false">B36*$D$15+C37</f>
        <v>18.9787686942906</v>
      </c>
      <c r="D36" s="4" t="n">
        <f aca="false">B36+C36</f>
        <v>41.8989040081535</v>
      </c>
      <c r="E36" s="4" t="n">
        <f aca="false">D36/12</f>
        <v>3.49157533401279</v>
      </c>
      <c r="F36" s="4" t="n">
        <f aca="false">F35-B35</f>
        <v>210.87520771434</v>
      </c>
      <c r="H36" s="13" t="n">
        <f aca="false">B36*DAYS360($A$23,A36)/360</f>
        <v>326.611928222547</v>
      </c>
      <c r="J36" s="14" t="n">
        <f aca="false">(A36-$A$23)/365</f>
        <v>14.2602739726027</v>
      </c>
      <c r="K36" s="2" t="n">
        <f aca="false">(M36-L37)/(1+$D$15)</f>
        <v>54.7034244843317</v>
      </c>
      <c r="L36" s="2" t="n">
        <f aca="false">K36*$D$15+L37</f>
        <v>45.2965755156683</v>
      </c>
      <c r="M36" s="15" t="n">
        <f aca="false">IF(J36&gt;=$D$18,M35*(1+$D$17),M35)*IF(A36&lt;=$D$14,1,0)</f>
        <v>100</v>
      </c>
    </row>
    <row r="37" customFormat="false" ht="12.75" hidden="false" customHeight="false" outlineLevel="0" collapsed="false">
      <c r="A37" s="9" t="n">
        <v>42278</v>
      </c>
      <c r="B37" s="2" t="n">
        <f aca="false">K37/$K$45*$D$6</f>
        <v>24.9829474921106</v>
      </c>
      <c r="C37" s="2" t="n">
        <f aca="false">B37*$D$15+C38</f>
        <v>16.915956516043</v>
      </c>
      <c r="D37" s="4" t="n">
        <f aca="false">B37+C37</f>
        <v>41.8989040081535</v>
      </c>
      <c r="E37" s="4" t="n">
        <f aca="false">D37/12</f>
        <v>3.49157533401279</v>
      </c>
      <c r="F37" s="4" t="n">
        <f aca="false">F36-B36</f>
        <v>187.955072400477</v>
      </c>
      <c r="H37" s="13" t="n">
        <f aca="false">B37*DAYS360($A$23,A37)/360</f>
        <v>380.989949254686</v>
      </c>
      <c r="J37" s="14" t="n">
        <f aca="false">(A37-$A$23)/365</f>
        <v>15.2602739726027</v>
      </c>
      <c r="K37" s="2" t="n">
        <f aca="false">(M37-L38)/(1+$D$15)</f>
        <v>59.6267326879216</v>
      </c>
      <c r="L37" s="2" t="n">
        <f aca="false">K37*$D$15+L38</f>
        <v>40.3732673120784</v>
      </c>
      <c r="M37" s="15" t="n">
        <f aca="false">IF(J37&gt;=$D$18,M36*(1+$D$17),M36)*IF(A37&lt;=$D$14,1,0)</f>
        <v>100</v>
      </c>
    </row>
    <row r="38" customFormat="false" ht="12.75" hidden="false" customHeight="false" outlineLevel="0" collapsed="false">
      <c r="A38" s="9" t="n">
        <v>42644</v>
      </c>
      <c r="B38" s="2" t="n">
        <f aca="false">K38/$K$45*$D$6</f>
        <v>27.2314127664005</v>
      </c>
      <c r="C38" s="2" t="n">
        <f aca="false">B38*$D$15+C39</f>
        <v>14.667491241753</v>
      </c>
      <c r="D38" s="4" t="n">
        <f aca="false">B38+C38</f>
        <v>41.8989040081535</v>
      </c>
      <c r="E38" s="4" t="n">
        <f aca="false">D38/12</f>
        <v>3.4915753340128</v>
      </c>
      <c r="F38" s="4" t="n">
        <f aca="false">F37-B37</f>
        <v>162.972124908367</v>
      </c>
      <c r="H38" s="13" t="n">
        <f aca="false">B38*DAYS360($A$23,A38)/360</f>
        <v>442.510457454009</v>
      </c>
      <c r="J38" s="14" t="n">
        <f aca="false">(A38-$A$23)/365</f>
        <v>16.2630136986301</v>
      </c>
      <c r="K38" s="2" t="n">
        <f aca="false">(M38-L39)/(1+$D$15)</f>
        <v>64.9931386298346</v>
      </c>
      <c r="L38" s="2" t="n">
        <f aca="false">K38*$D$15+L39</f>
        <v>35.0068613701655</v>
      </c>
      <c r="M38" s="15" t="n">
        <f aca="false">IF(J38&gt;=$D$18,M37*(1+$D$17),M37)*IF(A38&lt;=$D$14,1,0)</f>
        <v>100</v>
      </c>
    </row>
    <row r="39" customFormat="false" ht="12.75" hidden="false" customHeight="false" outlineLevel="0" collapsed="false">
      <c r="A39" s="9" t="n">
        <v>43009</v>
      </c>
      <c r="B39" s="2" t="n">
        <f aca="false">K39/$K$45*$D$6</f>
        <v>29.6822399153766</v>
      </c>
      <c r="C39" s="2" t="n">
        <f aca="false">B39*$D$15+C40</f>
        <v>12.216664092777</v>
      </c>
      <c r="D39" s="4" t="n">
        <f aca="false">B39+C39</f>
        <v>41.8989040081535</v>
      </c>
      <c r="E39" s="4" t="n">
        <f aca="false">D39/12</f>
        <v>3.4915753340128</v>
      </c>
      <c r="F39" s="4" t="n">
        <f aca="false">F38-B38</f>
        <v>135.740712141966</v>
      </c>
      <c r="H39" s="13" t="n">
        <f aca="false">B39*DAYS360($A$23,A39)/360</f>
        <v>512.018638540246</v>
      </c>
      <c r="J39" s="14" t="n">
        <f aca="false">(A39-$A$23)/365</f>
        <v>17.2630136986301</v>
      </c>
      <c r="K39" s="2" t="n">
        <f aca="false">(M39-L40)/(1+$D$15)</f>
        <v>70.8425211065197</v>
      </c>
      <c r="L39" s="2" t="n">
        <f aca="false">K39*$D$15+L40</f>
        <v>29.1574788934803</v>
      </c>
      <c r="M39" s="15" t="n">
        <f aca="false">IF(J39&gt;=$D$18,M38*(1+$D$17),M38)*IF(A39&lt;=$D$14,1,0)</f>
        <v>100</v>
      </c>
    </row>
    <row r="40" customFormat="false" ht="12.75" hidden="false" customHeight="false" outlineLevel="0" collapsed="false">
      <c r="A40" s="9" t="n">
        <v>43374</v>
      </c>
      <c r="B40" s="2" t="n">
        <f aca="false">K40/$K$45*$D$6</f>
        <v>32.3536415077605</v>
      </c>
      <c r="C40" s="2" t="n">
        <f aca="false">B40*$D$15+C41</f>
        <v>9.54526250039306</v>
      </c>
      <c r="D40" s="4" t="n">
        <f aca="false">B40+C40</f>
        <v>41.8989040081535</v>
      </c>
      <c r="E40" s="4" t="n">
        <f aca="false">D40/12</f>
        <v>3.4915753340128</v>
      </c>
      <c r="F40" s="4" t="n">
        <f aca="false">F39-B39</f>
        <v>106.05847222659</v>
      </c>
      <c r="H40" s="13" t="n">
        <f aca="false">B40*DAYS360($A$23,A40)/360</f>
        <v>590.453957516629</v>
      </c>
      <c r="J40" s="14" t="n">
        <f aca="false">(A40-$A$23)/365</f>
        <v>18.2630136986301</v>
      </c>
      <c r="K40" s="2" t="n">
        <f aca="false">(M40-L41)/(1+$D$15)</f>
        <v>77.2183480061064</v>
      </c>
      <c r="L40" s="2" t="n">
        <f aca="false">K40*$D$15+L41</f>
        <v>22.7816519938936</v>
      </c>
      <c r="M40" s="15" t="n">
        <f aca="false">IF(J40&gt;=$D$18,M39*(1+$D$17),M39)*IF(A40&lt;=$D$14,1,0)</f>
        <v>100</v>
      </c>
    </row>
    <row r="41" customFormat="false" ht="12.75" hidden="false" customHeight="false" outlineLevel="0" collapsed="false">
      <c r="A41" s="9" t="n">
        <v>43739</v>
      </c>
      <c r="B41" s="2" t="n">
        <f aca="false">K41/$K$45*$D$6</f>
        <v>35.2654692434589</v>
      </c>
      <c r="C41" s="2" t="n">
        <f aca="false">B41*$D$15+C42</f>
        <v>6.63343476469462</v>
      </c>
      <c r="D41" s="4" t="n">
        <f aca="false">B41+C41</f>
        <v>41.8989040081535</v>
      </c>
      <c r="E41" s="4" t="n">
        <f aca="false">D41/12</f>
        <v>3.49157533401279</v>
      </c>
      <c r="F41" s="4" t="n">
        <f aca="false">F40-B40</f>
        <v>73.7048307188292</v>
      </c>
      <c r="H41" s="13" t="n">
        <f aca="false">B41*DAYS360($A$23,A41)/360</f>
        <v>678.860282936584</v>
      </c>
      <c r="J41" s="14" t="n">
        <f aca="false">(A41-$A$23)/365</f>
        <v>19.2630136986301</v>
      </c>
      <c r="K41" s="2" t="n">
        <f aca="false">(M41-L42)/(1+$D$15)</f>
        <v>84.167999326656</v>
      </c>
      <c r="L41" s="2" t="n">
        <f aca="false">K41*$D$15+L42</f>
        <v>15.832000673344</v>
      </c>
      <c r="M41" s="15" t="n">
        <f aca="false">IF(J41&gt;=$D$18,M40*(1+$D$17),M40)*IF(A41&lt;=$D$14,1,0)</f>
        <v>100</v>
      </c>
    </row>
    <row r="42" customFormat="false" ht="12.75" hidden="false" customHeight="false" outlineLevel="0" collapsed="false">
      <c r="A42" s="9" t="n">
        <v>44105</v>
      </c>
      <c r="B42" s="2" t="n">
        <f aca="false">K42/$K$45*$D$6</f>
        <v>38.4393614753702</v>
      </c>
      <c r="C42" s="2" t="n">
        <f aca="false">B42*$D$15+C43</f>
        <v>3.45954253278332</v>
      </c>
      <c r="D42" s="4" t="n">
        <f aca="false">B42+C42</f>
        <v>41.8989040081535</v>
      </c>
      <c r="E42" s="4" t="n">
        <f aca="false">D42/12</f>
        <v>3.49157533401279</v>
      </c>
      <c r="F42" s="4" t="n">
        <f aca="false">F41-B41</f>
        <v>38.4393614753703</v>
      </c>
      <c r="H42" s="13" t="n">
        <f aca="false">B42*DAYS360($A$23,A42)/360</f>
        <v>778.397069876247</v>
      </c>
      <c r="J42" s="14" t="n">
        <f aca="false">(A42-$A$23)/365</f>
        <v>20.2657534246575</v>
      </c>
      <c r="K42" s="2" t="n">
        <f aca="false">(M42-L43)/(1+$D$15)</f>
        <v>91.743119266055</v>
      </c>
      <c r="L42" s="2" t="n">
        <f aca="false">K42*$D$15+L43</f>
        <v>8.25688073394495</v>
      </c>
      <c r="M42" s="15" t="n">
        <f aca="false">IF(J42&gt;=$D$18,M41*(1+$D$17),M41)*IF(A42&lt;=$D$14,1,0)</f>
        <v>100</v>
      </c>
    </row>
    <row r="43" customFormat="false" ht="12.75" hidden="false" customHeight="false" outlineLevel="0" collapsed="false">
      <c r="A43" s="9" t="n">
        <v>44470</v>
      </c>
      <c r="B43" s="2" t="n">
        <f aca="false">K43/$K$45*$D$6</f>
        <v>0</v>
      </c>
      <c r="C43" s="2" t="n">
        <f aca="false">B43*$D$15+C44</f>
        <v>0</v>
      </c>
      <c r="D43" s="4" t="n">
        <f aca="false">B43+C43</f>
        <v>0</v>
      </c>
      <c r="E43" s="4" t="n">
        <f aca="false">D43/12</f>
        <v>0</v>
      </c>
      <c r="F43" s="4" t="n">
        <f aca="false">F42-B42</f>
        <v>0</v>
      </c>
      <c r="H43" s="13" t="n">
        <f aca="false">B43*DAYS360($A$23,A43)/360</f>
        <v>0</v>
      </c>
      <c r="J43" s="14" t="n">
        <f aca="false">(A43-$A$23)/365</f>
        <v>21.2657534246575</v>
      </c>
      <c r="K43" s="2" t="n">
        <f aca="false">(M43-L44)/(1+$D$15)</f>
        <v>0</v>
      </c>
      <c r="L43" s="2" t="n">
        <f aca="false">K43*$D$15+L44</f>
        <v>0</v>
      </c>
      <c r="M43" s="15" t="n">
        <f aca="false">IF(J43&gt;=$D$18,M42*(1+$D$17),M42)*IF(A43&lt;=$D$14,1,0)</f>
        <v>0</v>
      </c>
    </row>
    <row r="44" customFormat="false" ht="12.75" hidden="false" customHeight="false" outlineLevel="0" collapsed="false">
      <c r="F44" s="4"/>
    </row>
    <row r="45" customFormat="false" ht="12.75" hidden="false" customHeight="false" outlineLevel="0" collapsed="false">
      <c r="B45" s="4" t="n">
        <f aca="false">SUM(B24:B43)</f>
        <v>375</v>
      </c>
      <c r="C45" s="4" t="n">
        <f aca="false">SUM(C24:C43)</f>
        <v>421.079176154917</v>
      </c>
      <c r="D45" s="4" t="n">
        <f aca="false">SUM(D24:D43)</f>
        <v>796.079176154917</v>
      </c>
      <c r="H45" s="13" t="n">
        <f aca="false">SUM(H24:H43)</f>
        <v>5147.40751283241</v>
      </c>
      <c r="K45" s="4" t="n">
        <f aca="false">SUM(K24:K43)</f>
        <v>895.011477930365</v>
      </c>
      <c r="L45" s="4" t="n">
        <f aca="false">SUM(L24:L43)</f>
        <v>1004.98852206963</v>
      </c>
      <c r="M45" s="4" t="n">
        <f aca="false">SUM(M24:M43)</f>
        <v>1900</v>
      </c>
    </row>
    <row r="46" customFormat="false" ht="12.75" hidden="false" customHeight="false" outlineLevel="0" collapsed="false">
      <c r="G46" s="0" t="s">
        <v>25</v>
      </c>
      <c r="H46" s="13" t="n">
        <f aca="false">H45/B45</f>
        <v>13.7264200342198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7" activeCellId="0" sqref="E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85"/>
    <col collapsed="false" customWidth="true" hidden="false" outlineLevel="0" max="4" min="4" style="0" width="13.99"/>
    <col collapsed="false" customWidth="true" hidden="false" outlineLevel="0" max="5" min="5" style="0" width="12.28"/>
    <col collapsed="false" customWidth="true" hidden="false" outlineLevel="0" max="6" min="6" style="0" width="13.85"/>
    <col collapsed="false" customWidth="true" hidden="false" outlineLevel="0" max="8" min="8" style="0" width="13.28"/>
  </cols>
  <sheetData>
    <row r="1" customFormat="false" ht="12.75" hidden="false" customHeight="false" outlineLevel="0" collapsed="false">
      <c r="A1" s="0" t="s">
        <v>26</v>
      </c>
    </row>
    <row r="3" customFormat="false" ht="12.75" hidden="false" customHeight="false" outlineLevel="0" collapsed="false">
      <c r="A3" s="0" t="s">
        <v>27</v>
      </c>
      <c r="D3" s="16" t="n">
        <f aca="false">'$kw'!D8*1000000</f>
        <v>118125000</v>
      </c>
    </row>
    <row r="4" customFormat="false" ht="12.75" hidden="false" customHeight="false" outlineLevel="0" collapsed="false">
      <c r="A4" s="0" t="s">
        <v>28</v>
      </c>
      <c r="D4" s="17" t="n">
        <f aca="false">'$kw'!$D$15</f>
        <v>0.09</v>
      </c>
    </row>
    <row r="6" customFormat="false" ht="12.75" hidden="false" customHeight="false" outlineLevel="0" collapsed="false">
      <c r="A6" s="18"/>
      <c r="B6" s="11"/>
      <c r="C6" s="11"/>
      <c r="D6" s="11"/>
      <c r="E6" s="11" t="s">
        <v>29</v>
      </c>
      <c r="F6" s="11" t="s">
        <v>30</v>
      </c>
      <c r="G6" s="11"/>
      <c r="H6" s="11" t="s">
        <v>31</v>
      </c>
    </row>
    <row r="7" customFormat="false" ht="12.75" hidden="false" customHeight="false" outlineLevel="0" collapsed="false">
      <c r="A7" s="18"/>
      <c r="B7" s="11"/>
      <c r="C7" s="11" t="s">
        <v>32</v>
      </c>
      <c r="D7" s="11" t="s">
        <v>33</v>
      </c>
      <c r="E7" s="11" t="s">
        <v>20</v>
      </c>
      <c r="F7" s="11" t="s">
        <v>20</v>
      </c>
      <c r="G7" s="11"/>
      <c r="H7" s="11" t="s">
        <v>32</v>
      </c>
    </row>
    <row r="8" customFormat="false" ht="12.75" hidden="false" customHeight="false" outlineLevel="0" collapsed="false">
      <c r="A8" s="6" t="n">
        <f aca="false">'$kw'!D11</f>
        <v>36708</v>
      </c>
      <c r="B8" s="14" t="n">
        <f aca="false">VLOOKUP(A8,'$kw'!$A$23:$B$43,2)*IF(MONTH(A8)=MONTH('$kw'!$D$13),1,0)</f>
        <v>0</v>
      </c>
      <c r="C8" s="1" t="n">
        <f aca="false">INT(B8/'$kw'!$B$45*'DS sch'!$D$3/1000)*1000</f>
        <v>0</v>
      </c>
      <c r="D8" s="1"/>
    </row>
    <row r="9" customFormat="false" ht="12.75" hidden="false" customHeight="false" outlineLevel="0" collapsed="false">
      <c r="A9" s="6" t="n">
        <f aca="false">'$kw'!D12</f>
        <v>37165</v>
      </c>
      <c r="B9" s="14" t="n">
        <f aca="false">VLOOKUP(A9,'$kw'!$A$23:$B$43,2)*IF(MONTH(A9)=MONTH('$kw'!$D$13),1,0)</f>
        <v>0</v>
      </c>
      <c r="C9" s="1" t="n">
        <f aca="false">INT(B9/'$kw'!$B$45*'DS sch'!$D$3/1000)*1000</f>
        <v>0</v>
      </c>
      <c r="D9" s="1" t="n">
        <f aca="false">C9*$D$4/2+D10</f>
        <v>5315085</v>
      </c>
      <c r="E9" s="19" t="n">
        <f aca="false">C9+D9</f>
        <v>5315085</v>
      </c>
      <c r="F9" s="1" t="n">
        <f aca="false">IF(MONTH(A9)=MONTH('$kw'!$D$13),'DS sch'!C9+'DS sch'!D9+'DS sch'!D8,0)</f>
        <v>5315085</v>
      </c>
      <c r="H9" s="16" t="n">
        <f aca="false">D3-C9</f>
        <v>118125000</v>
      </c>
    </row>
    <row r="10" customFormat="false" ht="12.75" hidden="false" customHeight="false" outlineLevel="0" collapsed="false">
      <c r="A10" s="6" t="n">
        <f aca="false">EDATE(A9,6)</f>
        <v>37347</v>
      </c>
      <c r="B10" s="14" t="n">
        <f aca="false">VLOOKUP(A10,'$kw'!$A$23:$B$43,2)*IF(MONTH(A10)=MONTH('$kw'!$D$13),1,0)</f>
        <v>0</v>
      </c>
      <c r="C10" s="1" t="n">
        <f aca="false">INT(B10/'$kw'!$B$45*'DS sch'!$D$3/1000)*1000</f>
        <v>0</v>
      </c>
      <c r="D10" s="1" t="n">
        <f aca="false">C10*$D$4/2+D11</f>
        <v>5315085</v>
      </c>
      <c r="E10" s="19" t="n">
        <f aca="false">C10+D10</f>
        <v>5315085</v>
      </c>
      <c r="F10" s="1" t="n">
        <f aca="false">IF(MONTH(A10)=MONTH('$kw'!$D$13),'DS sch'!C10+'DS sch'!D10+'DS sch'!D9,0)</f>
        <v>0</v>
      </c>
      <c r="H10" s="16" t="n">
        <f aca="false">H9-C10</f>
        <v>118125000</v>
      </c>
    </row>
    <row r="11" customFormat="false" ht="12.75" hidden="false" customHeight="false" outlineLevel="0" collapsed="false">
      <c r="A11" s="6" t="n">
        <f aca="false">EDATE(A10,6)</f>
        <v>37530</v>
      </c>
      <c r="B11" s="14" t="n">
        <f aca="false">VLOOKUP(A11,'$kw'!$A$23:$B$43,2)*IF(MONTH(A11)=MONTH('$kw'!$D$13),1,0)</f>
        <v>8.14890400815353</v>
      </c>
      <c r="C11" s="1" t="n">
        <f aca="false">INT(B11/'$kw'!$B$45*'DS sch'!$D$3/1000)*1000</f>
        <v>2566000</v>
      </c>
      <c r="D11" s="1" t="n">
        <f aca="false">C11*$D$4/2+D12</f>
        <v>5315085</v>
      </c>
      <c r="E11" s="19" t="n">
        <f aca="false">C11+D11</f>
        <v>7881085</v>
      </c>
      <c r="F11" s="1" t="n">
        <f aca="false">IF(MONTH(A11)=MONTH('$kw'!$D$13),'DS sch'!C11+'DS sch'!D11+'DS sch'!D10,0)</f>
        <v>13196170</v>
      </c>
      <c r="H11" s="16" t="n">
        <f aca="false">H10-C11</f>
        <v>115559000</v>
      </c>
    </row>
    <row r="12" customFormat="false" ht="12.75" hidden="false" customHeight="false" outlineLevel="0" collapsed="false">
      <c r="A12" s="6" t="n">
        <f aca="false">EDATE(A11,6)</f>
        <v>37712</v>
      </c>
      <c r="B12" s="14" t="n">
        <f aca="false">VLOOKUP(A12,'$kw'!$A$23:$B$43,2)*IF(MONTH(A12)=MONTH('$kw'!$D$13),1,0)</f>
        <v>0</v>
      </c>
      <c r="C12" s="1" t="n">
        <f aca="false">INT(B12/'$kw'!$B$45*'DS sch'!$D$3/1000)*1000</f>
        <v>0</v>
      </c>
      <c r="D12" s="1" t="n">
        <f aca="false">C12*$D$4/2+D13</f>
        <v>5199615</v>
      </c>
      <c r="E12" s="19" t="n">
        <f aca="false">C12+D12</f>
        <v>5199615</v>
      </c>
      <c r="F12" s="1" t="n">
        <f aca="false">IF(MONTH(A12)=MONTH('$kw'!$D$13),'DS sch'!C12+'DS sch'!D12+'DS sch'!D11,0)</f>
        <v>0</v>
      </c>
      <c r="H12" s="16" t="n">
        <f aca="false">H11-C12</f>
        <v>115559000</v>
      </c>
    </row>
    <row r="13" customFormat="false" ht="12.75" hidden="false" customHeight="false" outlineLevel="0" collapsed="false">
      <c r="A13" s="6" t="n">
        <f aca="false">EDATE(A12,6)</f>
        <v>37895</v>
      </c>
      <c r="B13" s="14" t="n">
        <f aca="false">VLOOKUP(A13,'$kw'!$A$23:$B$43,2)*IF(MONTH(A13)=MONTH('$kw'!$D$13),1,0)</f>
        <v>8.88230536888735</v>
      </c>
      <c r="C13" s="1" t="n">
        <f aca="false">INT(B13/'$kw'!$B$45*'DS sch'!$D$3/1000)*1000</f>
        <v>2797000</v>
      </c>
      <c r="D13" s="1" t="n">
        <f aca="false">C13*$D$4/2+D14</f>
        <v>5199615</v>
      </c>
      <c r="E13" s="19" t="n">
        <f aca="false">C13+D13</f>
        <v>7996615</v>
      </c>
      <c r="F13" s="1" t="n">
        <f aca="false">IF(MONTH(A13)=MONTH('$kw'!$D$13),'DS sch'!C13+'DS sch'!D13+'DS sch'!D12,0)</f>
        <v>13196230</v>
      </c>
      <c r="H13" s="16" t="n">
        <f aca="false">H12-C13</f>
        <v>112762000</v>
      </c>
    </row>
    <row r="14" customFormat="false" ht="12.75" hidden="false" customHeight="false" outlineLevel="0" collapsed="false">
      <c r="A14" s="6" t="n">
        <f aca="false">EDATE(A13,6)</f>
        <v>38078</v>
      </c>
      <c r="B14" s="14" t="n">
        <f aca="false">VLOOKUP(A14,'$kw'!$A$23:$B$43,2)*IF(MONTH(A14)=MONTH('$kw'!$D$13),1,0)</f>
        <v>0</v>
      </c>
      <c r="C14" s="1" t="n">
        <f aca="false">INT(B14/'$kw'!$B$45*'DS sch'!$D$3/1000)*1000</f>
        <v>0</v>
      </c>
      <c r="D14" s="1" t="n">
        <f aca="false">C14*$D$4/2+D15</f>
        <v>5073750</v>
      </c>
      <c r="E14" s="19" t="n">
        <f aca="false">C14+D14</f>
        <v>5073750</v>
      </c>
      <c r="F14" s="1" t="n">
        <f aca="false">IF(MONTH(A14)=MONTH('$kw'!$D$13),'DS sch'!C14+'DS sch'!D14+'DS sch'!D13,0)</f>
        <v>0</v>
      </c>
      <c r="H14" s="16" t="n">
        <f aca="false">H13-C14</f>
        <v>112762000</v>
      </c>
    </row>
    <row r="15" customFormat="false" ht="12.75" hidden="false" customHeight="false" outlineLevel="0" collapsed="false">
      <c r="A15" s="6" t="n">
        <f aca="false">EDATE(A14,6)</f>
        <v>38261</v>
      </c>
      <c r="B15" s="14" t="n">
        <f aca="false">VLOOKUP(A15,'$kw'!$A$23:$B$43,2)*IF(MONTH(A15)=MONTH('$kw'!$D$13),1,0)</f>
        <v>9.68171285208721</v>
      </c>
      <c r="C15" s="1" t="n">
        <f aca="false">INT(B15/'$kw'!$B$45*'DS sch'!$D$3/1000)*1000</f>
        <v>3049000</v>
      </c>
      <c r="D15" s="1" t="n">
        <f aca="false">C15*$D$4/2+D16</f>
        <v>5073750</v>
      </c>
      <c r="E15" s="19" t="n">
        <f aca="false">C15+D15</f>
        <v>8122750</v>
      </c>
      <c r="F15" s="1" t="n">
        <f aca="false">IF(MONTH(A15)=MONTH('$kw'!$D$13),'DS sch'!C15+'DS sch'!D15+'DS sch'!D14,0)</f>
        <v>13196500</v>
      </c>
      <c r="H15" s="16" t="n">
        <f aca="false">H14-C15</f>
        <v>109713000</v>
      </c>
    </row>
    <row r="16" customFormat="false" ht="12.75" hidden="false" customHeight="false" outlineLevel="0" collapsed="false">
      <c r="A16" s="6" t="n">
        <f aca="false">EDATE(A15,6)</f>
        <v>38443</v>
      </c>
      <c r="B16" s="14" t="n">
        <f aca="false">VLOOKUP(A16,'$kw'!$A$23:$B$43,2)*IF(MONTH(A16)=MONTH('$kw'!$D$13),1,0)</f>
        <v>0</v>
      </c>
      <c r="C16" s="1" t="n">
        <f aca="false">INT(B16/'$kw'!$B$45*'DS sch'!$D$3/1000)*1000</f>
        <v>0</v>
      </c>
      <c r="D16" s="1" t="n">
        <f aca="false">C16*$D$4/2+D17</f>
        <v>4936545</v>
      </c>
      <c r="E16" s="19" t="n">
        <f aca="false">C16+D16</f>
        <v>4936545</v>
      </c>
      <c r="F16" s="1" t="n">
        <f aca="false">IF(MONTH(A16)=MONTH('$kw'!$D$13),'DS sch'!C16+'DS sch'!D16+'DS sch'!D15,0)</f>
        <v>0</v>
      </c>
      <c r="H16" s="16" t="n">
        <f aca="false">H15-C16</f>
        <v>109713000</v>
      </c>
    </row>
    <row r="17" customFormat="false" ht="12.75" hidden="false" customHeight="false" outlineLevel="0" collapsed="false">
      <c r="A17" s="6" t="n">
        <f aca="false">EDATE(A16,6)</f>
        <v>38626</v>
      </c>
      <c r="B17" s="14" t="n">
        <f aca="false">VLOOKUP(A17,'$kw'!$A$23:$B$43,2)*IF(MONTH(A17)=MONTH('$kw'!$D$13),1,0)</f>
        <v>10.5530670087751</v>
      </c>
      <c r="C17" s="1" t="n">
        <f aca="false">INT(B17/'$kw'!$B$45*'DS sch'!$D$3/1000)*1000</f>
        <v>3324000</v>
      </c>
      <c r="D17" s="1" t="n">
        <f aca="false">C17*$D$4/2+D18</f>
        <v>4936545</v>
      </c>
      <c r="E17" s="19" t="n">
        <f aca="false">C17+D17</f>
        <v>8260545</v>
      </c>
      <c r="F17" s="1" t="n">
        <f aca="false">IF(MONTH(A17)=MONTH('$kw'!$D$13),'DS sch'!C17+'DS sch'!D17+'DS sch'!D16,0)</f>
        <v>13197090</v>
      </c>
      <c r="H17" s="16" t="n">
        <f aca="false">H16-C17</f>
        <v>106389000</v>
      </c>
    </row>
    <row r="18" customFormat="false" ht="12.75" hidden="false" customHeight="false" outlineLevel="0" collapsed="false">
      <c r="A18" s="6" t="n">
        <f aca="false">EDATE(A17,6)</f>
        <v>38808</v>
      </c>
      <c r="B18" s="14" t="n">
        <f aca="false">VLOOKUP(A18,'$kw'!$A$23:$B$43,2)*IF(MONTH(A18)=MONTH('$kw'!$D$13),1,0)</f>
        <v>0</v>
      </c>
      <c r="C18" s="1" t="n">
        <f aca="false">INT(B18/'$kw'!$B$45*'DS sch'!$D$3/1000)*1000</f>
        <v>0</v>
      </c>
      <c r="D18" s="1" t="n">
        <f aca="false">C18*$D$4/2+D19</f>
        <v>4786965</v>
      </c>
      <c r="E18" s="19" t="n">
        <f aca="false">C18+D18</f>
        <v>4786965</v>
      </c>
      <c r="F18" s="1" t="n">
        <f aca="false">IF(MONTH(A18)=MONTH('$kw'!$D$13),'DS sch'!C18+'DS sch'!D18+'DS sch'!D17,0)</f>
        <v>0</v>
      </c>
      <c r="H18" s="16" t="n">
        <f aca="false">H17-C18</f>
        <v>106389000</v>
      </c>
    </row>
    <row r="19" customFormat="false" ht="12.75" hidden="false" customHeight="false" outlineLevel="0" collapsed="false">
      <c r="A19" s="6" t="n">
        <f aca="false">EDATE(A18,6)</f>
        <v>38991</v>
      </c>
      <c r="B19" s="14" t="n">
        <f aca="false">VLOOKUP(A19,'$kw'!$A$23:$B$43,2)*IF(MONTH(A19)=MONTH('$kw'!$D$13),1,0)</f>
        <v>11.5028430395648</v>
      </c>
      <c r="C19" s="1" t="n">
        <f aca="false">INT(B19/'$kw'!$B$45*'DS sch'!$D$3/1000)*1000</f>
        <v>3623000</v>
      </c>
      <c r="D19" s="1" t="n">
        <f aca="false">C19*$D$4/2+D20</f>
        <v>4786965</v>
      </c>
      <c r="E19" s="19" t="n">
        <f aca="false">C19+D19</f>
        <v>8409965</v>
      </c>
      <c r="F19" s="1" t="n">
        <f aca="false">IF(MONTH(A19)=MONTH('$kw'!$D$13),'DS sch'!C19+'DS sch'!D19+'DS sch'!D18,0)</f>
        <v>13196930</v>
      </c>
      <c r="H19" s="16" t="n">
        <f aca="false">H18-C19</f>
        <v>102766000</v>
      </c>
    </row>
    <row r="20" customFormat="false" ht="12.75" hidden="false" customHeight="false" outlineLevel="0" collapsed="false">
      <c r="A20" s="6" t="n">
        <f aca="false">EDATE(A19,6)</f>
        <v>39173</v>
      </c>
      <c r="B20" s="14" t="n">
        <f aca="false">VLOOKUP(A20,'$kw'!$A$23:$B$43,2)*IF(MONTH(A20)=MONTH('$kw'!$D$13),1,0)</f>
        <v>0</v>
      </c>
      <c r="C20" s="1" t="n">
        <f aca="false">INT(B20/'$kw'!$B$45*'DS sch'!$D$3/1000)*1000</f>
        <v>0</v>
      </c>
      <c r="D20" s="1" t="n">
        <f aca="false">C20*$D$4/2+D21</f>
        <v>4623930</v>
      </c>
      <c r="E20" s="19" t="n">
        <f aca="false">C20+D20</f>
        <v>4623930</v>
      </c>
      <c r="F20" s="1" t="n">
        <f aca="false">IF(MONTH(A20)=MONTH('$kw'!$D$13),'DS sch'!C20+'DS sch'!D20+'DS sch'!D19,0)</f>
        <v>0</v>
      </c>
      <c r="H20" s="16" t="n">
        <f aca="false">H19-C20</f>
        <v>102766000</v>
      </c>
    </row>
    <row r="21" customFormat="false" ht="12.75" hidden="false" customHeight="false" outlineLevel="0" collapsed="false">
      <c r="A21" s="6" t="n">
        <f aca="false">EDATE(A20,6)</f>
        <v>39356</v>
      </c>
      <c r="B21" s="14" t="n">
        <f aca="false">VLOOKUP(A21,'$kw'!$A$23:$B$43,2)*IF(MONTH(A21)=MONTH('$kw'!$D$13),1,0)</f>
        <v>12.5380989131257</v>
      </c>
      <c r="C21" s="1" t="n">
        <f aca="false">INT(B21/'$kw'!$B$45*'DS sch'!$D$3/1000)*1000</f>
        <v>3949000</v>
      </c>
      <c r="D21" s="1" t="n">
        <f aca="false">C21*$D$4/2+D22</f>
        <v>4623930</v>
      </c>
      <c r="E21" s="19" t="n">
        <f aca="false">C21+D21</f>
        <v>8572930</v>
      </c>
      <c r="F21" s="1" t="n">
        <f aca="false">IF(MONTH(A21)=MONTH('$kw'!$D$13),'DS sch'!C21+'DS sch'!D21+'DS sch'!D20,0)</f>
        <v>13196860</v>
      </c>
      <c r="H21" s="16" t="n">
        <f aca="false">H20-C21</f>
        <v>98817000</v>
      </c>
    </row>
    <row r="22" customFormat="false" ht="12.75" hidden="false" customHeight="false" outlineLevel="0" collapsed="false">
      <c r="A22" s="6" t="n">
        <f aca="false">EDATE(A21,6)</f>
        <v>39539</v>
      </c>
      <c r="B22" s="14" t="n">
        <f aca="false">VLOOKUP(A22,'$kw'!$A$23:$B$43,2)*IF(MONTH(A22)=MONTH('$kw'!$D$13),1,0)</f>
        <v>0</v>
      </c>
      <c r="C22" s="1" t="n">
        <f aca="false">INT(B22/'$kw'!$B$45*'DS sch'!$D$3/1000)*1000</f>
        <v>0</v>
      </c>
      <c r="D22" s="1" t="n">
        <f aca="false">C22*$D$4/2+D23</f>
        <v>4446225</v>
      </c>
      <c r="E22" s="19" t="n">
        <f aca="false">C22+D22</f>
        <v>4446225</v>
      </c>
      <c r="F22" s="1" t="n">
        <f aca="false">IF(MONTH(A22)=MONTH('$kw'!$D$13),'DS sch'!C22+'DS sch'!D22+'DS sch'!D21,0)</f>
        <v>0</v>
      </c>
      <c r="H22" s="16" t="n">
        <f aca="false">H21-C22</f>
        <v>98817000</v>
      </c>
    </row>
    <row r="23" customFormat="false" ht="12.75" hidden="false" customHeight="false" outlineLevel="0" collapsed="false">
      <c r="A23" s="6" t="n">
        <f aca="false">EDATE(A22,6)</f>
        <v>39722</v>
      </c>
      <c r="B23" s="14" t="n">
        <f aca="false">VLOOKUP(A23,'$kw'!$A$23:$B$43,2)*IF(MONTH(A23)=MONTH('$kw'!$D$13),1,0)</f>
        <v>13.666527815307</v>
      </c>
      <c r="C23" s="1" t="n">
        <f aca="false">INT(B23/'$kw'!$B$45*'DS sch'!$D$3/1000)*1000</f>
        <v>4304000</v>
      </c>
      <c r="D23" s="1" t="n">
        <f aca="false">C23*$D$4/2+D24</f>
        <v>4446225</v>
      </c>
      <c r="E23" s="19" t="n">
        <f aca="false">C23+D23</f>
        <v>8750225</v>
      </c>
      <c r="F23" s="1" t="n">
        <f aca="false">IF(MONTH(A23)=MONTH('$kw'!$D$13),'DS sch'!C23+'DS sch'!D23+'DS sch'!D22,0)</f>
        <v>13196450</v>
      </c>
      <c r="H23" s="16" t="n">
        <f aca="false">H22-C23</f>
        <v>94513000</v>
      </c>
    </row>
    <row r="24" customFormat="false" ht="12.75" hidden="false" customHeight="false" outlineLevel="0" collapsed="false">
      <c r="A24" s="6" t="n">
        <f aca="false">EDATE(A23,6)</f>
        <v>39904</v>
      </c>
      <c r="B24" s="14" t="n">
        <f aca="false">VLOOKUP(A24,'$kw'!$A$23:$B$43,2)*IF(MONTH(A24)=MONTH('$kw'!$D$13),1,0)</f>
        <v>0</v>
      </c>
      <c r="C24" s="1" t="n">
        <f aca="false">INT(B24/'$kw'!$B$45*'DS sch'!$D$3/1000)*1000</f>
        <v>0</v>
      </c>
      <c r="D24" s="1" t="n">
        <f aca="false">C24*$D$4/2+D25</f>
        <v>4252545</v>
      </c>
      <c r="E24" s="19" t="n">
        <f aca="false">C24+D24</f>
        <v>4252545</v>
      </c>
      <c r="F24" s="1" t="n">
        <f aca="false">IF(MONTH(A24)=MONTH('$kw'!$D$13),'DS sch'!C24+'DS sch'!D24+'DS sch'!D23,0)</f>
        <v>0</v>
      </c>
      <c r="H24" s="16" t="n">
        <f aca="false">H23-C24</f>
        <v>94513000</v>
      </c>
    </row>
    <row r="25" customFormat="false" ht="12.75" hidden="false" customHeight="false" outlineLevel="0" collapsed="false">
      <c r="A25" s="6" t="n">
        <f aca="false">EDATE(A24,6)</f>
        <v>40087</v>
      </c>
      <c r="B25" s="14" t="n">
        <f aca="false">VLOOKUP(A25,'$kw'!$A$23:$B$43,2)*IF(MONTH(A25)=MONTH('$kw'!$D$13),1,0)</f>
        <v>14.8965153186846</v>
      </c>
      <c r="C25" s="1" t="n">
        <f aca="false">INT(B25/'$kw'!$B$45*'DS sch'!$D$3/1000)*1000</f>
        <v>4692000</v>
      </c>
      <c r="D25" s="1" t="n">
        <f aca="false">C25*$D$4/2+D26</f>
        <v>4252545</v>
      </c>
      <c r="E25" s="19" t="n">
        <f aca="false">C25+D25</f>
        <v>8944545</v>
      </c>
      <c r="F25" s="1" t="n">
        <f aca="false">IF(MONTH(A25)=MONTH('$kw'!$D$13),'DS sch'!C25+'DS sch'!D25+'DS sch'!D24,0)</f>
        <v>13197090</v>
      </c>
      <c r="H25" s="16" t="n">
        <f aca="false">H24-C25</f>
        <v>89821000</v>
      </c>
    </row>
    <row r="26" customFormat="false" ht="12.75" hidden="false" customHeight="false" outlineLevel="0" collapsed="false">
      <c r="A26" s="6" t="n">
        <f aca="false">EDATE(A25,6)</f>
        <v>40269</v>
      </c>
      <c r="B26" s="14" t="n">
        <f aca="false">VLOOKUP(A26,'$kw'!$A$23:$B$43,2)*IF(MONTH(A26)=MONTH('$kw'!$D$13),1,0)</f>
        <v>0</v>
      </c>
      <c r="C26" s="1" t="n">
        <f aca="false">INT(B26/'$kw'!$B$45*'DS sch'!$D$3/1000)*1000</f>
        <v>0</v>
      </c>
      <c r="D26" s="1" t="n">
        <f aca="false">C26*$D$4/2+D27</f>
        <v>4041405</v>
      </c>
      <c r="E26" s="19" t="n">
        <f aca="false">C26+D26</f>
        <v>4041405</v>
      </c>
      <c r="F26" s="1" t="n">
        <f aca="false">IF(MONTH(A26)=MONTH('$kw'!$D$13),'DS sch'!C26+'DS sch'!D26+'DS sch'!D25,0)</f>
        <v>0</v>
      </c>
      <c r="H26" s="16" t="n">
        <f aca="false">H25-C26</f>
        <v>89821000</v>
      </c>
    </row>
    <row r="27" customFormat="false" ht="12.75" hidden="false" customHeight="false" outlineLevel="0" collapsed="false">
      <c r="A27" s="6" t="n">
        <f aca="false">EDATE(A26,6)</f>
        <v>40452</v>
      </c>
      <c r="B27" s="14" t="n">
        <f aca="false">VLOOKUP(A27,'$kw'!$A$23:$B$43,2)*IF(MONTH(A27)=MONTH('$kw'!$D$13),1,0)</f>
        <v>16.2372016973662</v>
      </c>
      <c r="C27" s="1" t="n">
        <f aca="false">INT(B27/'$kw'!$B$45*'DS sch'!$D$3/1000)*1000</f>
        <v>5114000</v>
      </c>
      <c r="D27" s="1" t="n">
        <f aca="false">C27*$D$4/2+D28</f>
        <v>4041405</v>
      </c>
      <c r="E27" s="19" t="n">
        <f aca="false">C27+D27</f>
        <v>9155405</v>
      </c>
      <c r="F27" s="1" t="n">
        <f aca="false">IF(MONTH(A27)=MONTH('$kw'!$D$13),'DS sch'!C27+'DS sch'!D27+'DS sch'!D26,0)</f>
        <v>13196810</v>
      </c>
      <c r="H27" s="16" t="n">
        <f aca="false">H26-C27</f>
        <v>84707000</v>
      </c>
    </row>
    <row r="28" customFormat="false" ht="12.75" hidden="false" customHeight="false" outlineLevel="0" collapsed="false">
      <c r="A28" s="6" t="n">
        <f aca="false">EDATE(A27,6)</f>
        <v>40634</v>
      </c>
      <c r="B28" s="14" t="n">
        <f aca="false">VLOOKUP(A28,'$kw'!$A$23:$B$43,2)*IF(MONTH(A28)=MONTH('$kw'!$D$13),1,0)</f>
        <v>0</v>
      </c>
      <c r="C28" s="1" t="n">
        <f aca="false">INT(B28/'$kw'!$B$45*'DS sch'!$D$3/1000)*1000</f>
        <v>0</v>
      </c>
      <c r="D28" s="1" t="n">
        <f aca="false">C28*$D$4/2+D29</f>
        <v>3811275</v>
      </c>
      <c r="E28" s="19" t="n">
        <f aca="false">C28+D28</f>
        <v>3811275</v>
      </c>
      <c r="F28" s="1" t="n">
        <f aca="false">IF(MONTH(A28)=MONTH('$kw'!$D$13),'DS sch'!C28+'DS sch'!D28+'DS sch'!D27,0)</f>
        <v>0</v>
      </c>
      <c r="H28" s="16" t="n">
        <f aca="false">H27-C28</f>
        <v>84707000</v>
      </c>
    </row>
    <row r="29" customFormat="false" ht="12.75" hidden="false" customHeight="false" outlineLevel="0" collapsed="false">
      <c r="A29" s="6" t="n">
        <f aca="false">EDATE(A28,6)</f>
        <v>40817</v>
      </c>
      <c r="B29" s="14" t="n">
        <f aca="false">VLOOKUP(A29,'$kw'!$A$23:$B$43,2)*IF(MONTH(A29)=MONTH('$kw'!$D$13),1,0)</f>
        <v>17.6985498501292</v>
      </c>
      <c r="C29" s="1" t="n">
        <f aca="false">INT(B29/'$kw'!$B$45*'DS sch'!$D$3/1000)*1000</f>
        <v>5575000</v>
      </c>
      <c r="D29" s="1" t="n">
        <f aca="false">C29*$D$4/2+D30</f>
        <v>3811275</v>
      </c>
      <c r="E29" s="19" t="n">
        <f aca="false">C29+D29</f>
        <v>9386275</v>
      </c>
      <c r="F29" s="1" t="n">
        <f aca="false">IF(MONTH(A29)=MONTH('$kw'!$D$13),'DS sch'!C29+'DS sch'!D29+'DS sch'!D28,0)</f>
        <v>13197550</v>
      </c>
      <c r="H29" s="16" t="n">
        <f aca="false">H28-C29</f>
        <v>79132000</v>
      </c>
    </row>
    <row r="30" customFormat="false" ht="12.75" hidden="false" customHeight="false" outlineLevel="0" collapsed="false">
      <c r="A30" s="6" t="n">
        <f aca="false">EDATE(A29,6)</f>
        <v>41000</v>
      </c>
      <c r="B30" s="14" t="n">
        <f aca="false">VLOOKUP(A30,'$kw'!$A$23:$B$43,2)*IF(MONTH(A30)=MONTH('$kw'!$D$13),1,0)</f>
        <v>0</v>
      </c>
      <c r="C30" s="1" t="n">
        <f aca="false">INT(B30/'$kw'!$B$45*'DS sch'!$D$3/1000)*1000</f>
        <v>0</v>
      </c>
      <c r="D30" s="1" t="n">
        <f aca="false">C30*$D$4/2+D31</f>
        <v>3560400</v>
      </c>
      <c r="E30" s="19" t="n">
        <f aca="false">C30+D30</f>
        <v>3560400</v>
      </c>
      <c r="F30" s="1" t="n">
        <f aca="false">IF(MONTH(A30)=MONTH('$kw'!$D$13),'DS sch'!C30+'DS sch'!D30+'DS sch'!D29,0)</f>
        <v>0</v>
      </c>
      <c r="H30" s="16" t="n">
        <f aca="false">H29-C30</f>
        <v>79132000</v>
      </c>
    </row>
    <row r="31" customFormat="false" ht="12.75" hidden="false" customHeight="false" outlineLevel="0" collapsed="false">
      <c r="A31" s="6" t="n">
        <f aca="false">EDATE(A30,6)</f>
        <v>41183</v>
      </c>
      <c r="B31" s="14" t="n">
        <f aca="false">VLOOKUP(A31,'$kw'!$A$23:$B$43,2)*IF(MONTH(A31)=MONTH('$kw'!$D$13),1,0)</f>
        <v>19.2914193366408</v>
      </c>
      <c r="C31" s="1" t="n">
        <f aca="false">INT(B31/'$kw'!$B$45*'DS sch'!$D$3/1000)*1000</f>
        <v>6076000</v>
      </c>
      <c r="D31" s="1" t="n">
        <f aca="false">C31*$D$4/2+D32</f>
        <v>3560400</v>
      </c>
      <c r="E31" s="19" t="n">
        <f aca="false">C31+D31</f>
        <v>9636400</v>
      </c>
      <c r="F31" s="1" t="n">
        <f aca="false">IF(MONTH(A31)=MONTH('$kw'!$D$13),'DS sch'!C31+'DS sch'!D31+'DS sch'!D30,0)</f>
        <v>13196800</v>
      </c>
      <c r="H31" s="16" t="n">
        <f aca="false">H30-C31</f>
        <v>73056000</v>
      </c>
    </row>
    <row r="32" customFormat="false" ht="12.75" hidden="false" customHeight="false" outlineLevel="0" collapsed="false">
      <c r="A32" s="6" t="n">
        <f aca="false">EDATE(A31,6)</f>
        <v>41365</v>
      </c>
      <c r="B32" s="14" t="n">
        <f aca="false">VLOOKUP(A32,'$kw'!$A$23:$B$43,2)*IF(MONTH(A32)=MONTH('$kw'!$D$13),1,0)</f>
        <v>0</v>
      </c>
      <c r="C32" s="1" t="n">
        <f aca="false">INT(B32/'$kw'!$B$45*'DS sch'!$D$3/1000)*1000</f>
        <v>0</v>
      </c>
      <c r="D32" s="1" t="n">
        <f aca="false">C32*$D$4/2+D33</f>
        <v>3286980</v>
      </c>
      <c r="E32" s="19" t="n">
        <f aca="false">C32+D32</f>
        <v>3286980</v>
      </c>
      <c r="F32" s="1" t="n">
        <f aca="false">IF(MONTH(A32)=MONTH('$kw'!$D$13),'DS sch'!C32+'DS sch'!D32+'DS sch'!D31,0)</f>
        <v>0</v>
      </c>
      <c r="H32" s="16" t="n">
        <f aca="false">H31-C32</f>
        <v>73056000</v>
      </c>
    </row>
    <row r="33" customFormat="false" ht="12.75" hidden="false" customHeight="false" outlineLevel="0" collapsed="false">
      <c r="A33" s="6" t="n">
        <f aca="false">EDATE(A32,6)</f>
        <v>41548</v>
      </c>
      <c r="B33" s="14" t="n">
        <f aca="false">VLOOKUP(A33,'$kw'!$A$23:$B$43,2)*IF(MONTH(A33)=MONTH('$kw'!$D$13),1,0)</f>
        <v>21.0276470769385</v>
      </c>
      <c r="C33" s="1" t="n">
        <f aca="false">INT(B33/'$kw'!$B$45*'DS sch'!$D$3/1000)*1000</f>
        <v>6623000</v>
      </c>
      <c r="D33" s="1" t="n">
        <f aca="false">C33*$D$4/2+D34</f>
        <v>3286980</v>
      </c>
      <c r="E33" s="19" t="n">
        <f aca="false">C33+D33</f>
        <v>9909980</v>
      </c>
      <c r="F33" s="1" t="n">
        <f aca="false">IF(MONTH(A33)=MONTH('$kw'!$D$13),'DS sch'!C33+'DS sch'!D33+'DS sch'!D32,0)</f>
        <v>13196960</v>
      </c>
      <c r="H33" s="16" t="n">
        <f aca="false">H32-C33</f>
        <v>66433000</v>
      </c>
    </row>
    <row r="34" customFormat="false" ht="12.75" hidden="false" customHeight="false" outlineLevel="0" collapsed="false">
      <c r="A34" s="6" t="n">
        <f aca="false">EDATE(A33,6)</f>
        <v>41730</v>
      </c>
      <c r="B34" s="14" t="n">
        <f aca="false">VLOOKUP(A34,'$kw'!$A$23:$B$43,2)*IF(MONTH(A34)=MONTH('$kw'!$D$13),1,0)</f>
        <v>0</v>
      </c>
      <c r="C34" s="1" t="n">
        <f aca="false">INT(B34/'$kw'!$B$45*'DS sch'!$D$3/1000)*1000</f>
        <v>0</v>
      </c>
      <c r="D34" s="1" t="n">
        <f aca="false">C34*$D$4/2+D35</f>
        <v>2988945</v>
      </c>
      <c r="E34" s="19" t="n">
        <f aca="false">C34+D34</f>
        <v>2988945</v>
      </c>
      <c r="F34" s="1" t="n">
        <f aca="false">IF(MONTH(A34)=MONTH('$kw'!$D$13),'DS sch'!C34+'DS sch'!D34+'DS sch'!D33,0)</f>
        <v>0</v>
      </c>
      <c r="H34" s="16" t="n">
        <f aca="false">H33-C34</f>
        <v>66433000</v>
      </c>
    </row>
    <row r="35" customFormat="false" ht="12.75" hidden="false" customHeight="false" outlineLevel="0" collapsed="false">
      <c r="A35" s="6" t="n">
        <f aca="false">EDATE(A34,6)</f>
        <v>41913</v>
      </c>
      <c r="B35" s="14" t="n">
        <f aca="false">VLOOKUP(A35,'$kw'!$A$23:$B$43,2)*IF(MONTH(A35)=MONTH('$kw'!$D$13),1,0)</f>
        <v>22.9201353138629</v>
      </c>
      <c r="C35" s="1" t="n">
        <f aca="false">INT(B35/'$kw'!$B$45*'DS sch'!$D$3/1000)*1000</f>
        <v>7219000</v>
      </c>
      <c r="D35" s="1" t="n">
        <f aca="false">C35*$D$4/2+D36</f>
        <v>2988945</v>
      </c>
      <c r="E35" s="19" t="n">
        <f aca="false">C35+D35</f>
        <v>10207945</v>
      </c>
      <c r="F35" s="1" t="n">
        <f aca="false">IF(MONTH(A35)=MONTH('$kw'!$D$13),'DS sch'!C35+'DS sch'!D35+'DS sch'!D34,0)</f>
        <v>13196890</v>
      </c>
      <c r="H35" s="16" t="n">
        <f aca="false">H34-C35</f>
        <v>59214000</v>
      </c>
    </row>
    <row r="36" customFormat="false" ht="12.75" hidden="false" customHeight="false" outlineLevel="0" collapsed="false">
      <c r="A36" s="6" t="n">
        <f aca="false">EDATE(A35,6)</f>
        <v>42095</v>
      </c>
      <c r="B36" s="14" t="n">
        <f aca="false">VLOOKUP(A36,'$kw'!$A$23:$B$43,2)*IF(MONTH(A36)=MONTH('$kw'!$D$13),1,0)</f>
        <v>0</v>
      </c>
      <c r="C36" s="1" t="n">
        <f aca="false">INT(B36/'$kw'!$B$45*'DS sch'!$D$3/1000)*1000</f>
        <v>0</v>
      </c>
      <c r="D36" s="1" t="n">
        <f aca="false">C36*$D$4/2+D37</f>
        <v>2664090</v>
      </c>
      <c r="E36" s="19" t="n">
        <f aca="false">C36+D36</f>
        <v>2664090</v>
      </c>
      <c r="F36" s="1" t="n">
        <f aca="false">IF(MONTH(A36)=MONTH('$kw'!$D$13),'DS sch'!C36+'DS sch'!D36+'DS sch'!D35,0)</f>
        <v>0</v>
      </c>
      <c r="H36" s="16" t="n">
        <f aca="false">H35-C36</f>
        <v>59214000</v>
      </c>
    </row>
    <row r="37" customFormat="false" ht="12.75" hidden="false" customHeight="false" outlineLevel="0" collapsed="false">
      <c r="A37" s="6" t="n">
        <f aca="false">EDATE(A36,6)</f>
        <v>42278</v>
      </c>
      <c r="B37" s="14" t="n">
        <f aca="false">VLOOKUP(A37,'$kw'!$A$23:$B$43,2)*IF(MONTH(A37)=MONTH('$kw'!$D$13),1,0)</f>
        <v>24.9829474921106</v>
      </c>
      <c r="C37" s="1" t="n">
        <f aca="false">INT(B37/'$kw'!$B$45*'DS sch'!$D$3/1000)*1000</f>
        <v>7869000</v>
      </c>
      <c r="D37" s="1" t="n">
        <f aca="false">C37*$D$4/2+D38</f>
        <v>2664090</v>
      </c>
      <c r="E37" s="19" t="n">
        <f aca="false">C37+D37</f>
        <v>10533090</v>
      </c>
      <c r="F37" s="1" t="n">
        <f aca="false">IF(MONTH(A37)=MONTH('$kw'!$D$13),'DS sch'!C37+'DS sch'!D37+'DS sch'!D36,0)</f>
        <v>13197180</v>
      </c>
      <c r="H37" s="16" t="n">
        <f aca="false">H36-C37</f>
        <v>51345000</v>
      </c>
    </row>
    <row r="38" customFormat="false" ht="12.75" hidden="false" customHeight="false" outlineLevel="0" collapsed="false">
      <c r="A38" s="6" t="n">
        <f aca="false">EDATE(A37,6)</f>
        <v>42461</v>
      </c>
      <c r="B38" s="14" t="n">
        <f aca="false">VLOOKUP(A38,'$kw'!$A$23:$B$43,2)*IF(MONTH(A38)=MONTH('$kw'!$D$13),1,0)</f>
        <v>0</v>
      </c>
      <c r="C38" s="1" t="n">
        <f aca="false">INT(B38/'$kw'!$B$45*'DS sch'!$D$3/1000)*1000</f>
        <v>0</v>
      </c>
      <c r="D38" s="1" t="n">
        <f aca="false">C38*$D$4/2+D39</f>
        <v>2309985</v>
      </c>
      <c r="E38" s="19" t="n">
        <f aca="false">C38+D38</f>
        <v>2309985</v>
      </c>
      <c r="F38" s="1" t="n">
        <f aca="false">IF(MONTH(A38)=MONTH('$kw'!$D$13),'DS sch'!C38+'DS sch'!D38+'DS sch'!D37,0)</f>
        <v>0</v>
      </c>
      <c r="H38" s="16" t="n">
        <f aca="false">H37-C38</f>
        <v>51345000</v>
      </c>
    </row>
    <row r="39" customFormat="false" ht="12.75" hidden="false" customHeight="false" outlineLevel="0" collapsed="false">
      <c r="A39" s="6" t="n">
        <f aca="false">EDATE(A38,6)</f>
        <v>42644</v>
      </c>
      <c r="B39" s="14" t="n">
        <f aca="false">VLOOKUP(A39,'$kw'!$A$23:$B$43,2)*IF(MONTH(A39)=MONTH('$kw'!$D$13),1,0)</f>
        <v>27.2314127664005</v>
      </c>
      <c r="C39" s="1" t="n">
        <f aca="false">INT(B39/'$kw'!$B$45*'DS sch'!$D$3/1000)*1000</f>
        <v>8577000</v>
      </c>
      <c r="D39" s="1" t="n">
        <f aca="false">C39*$D$4/2+D40</f>
        <v>2309985</v>
      </c>
      <c r="E39" s="19" t="n">
        <f aca="false">C39+D39</f>
        <v>10886985</v>
      </c>
      <c r="F39" s="1" t="n">
        <f aca="false">IF(MONTH(A39)=MONTH('$kw'!$D$13),'DS sch'!C39+'DS sch'!D39+'DS sch'!D38,0)</f>
        <v>13196970</v>
      </c>
      <c r="H39" s="16" t="n">
        <f aca="false">H38-C39</f>
        <v>42768000</v>
      </c>
    </row>
    <row r="40" customFormat="false" ht="12.75" hidden="false" customHeight="false" outlineLevel="0" collapsed="false">
      <c r="A40" s="6" t="n">
        <f aca="false">EDATE(A39,6)</f>
        <v>42826</v>
      </c>
      <c r="B40" s="14" t="n">
        <f aca="false">VLOOKUP(A40,'$kw'!$A$23:$B$43,2)*IF(MONTH(A40)=MONTH('$kw'!$D$13),1,0)</f>
        <v>0</v>
      </c>
      <c r="C40" s="1" t="n">
        <f aca="false">INT(B40/'$kw'!$B$45*'DS sch'!$D$3/1000)*1000</f>
        <v>0</v>
      </c>
      <c r="D40" s="1" t="n">
        <f aca="false">C40*$D$4/2+D41</f>
        <v>1924020</v>
      </c>
      <c r="E40" s="19" t="n">
        <f aca="false">C40+D40</f>
        <v>1924020</v>
      </c>
      <c r="F40" s="1" t="n">
        <f aca="false">IF(MONTH(A40)=MONTH('$kw'!$D$13),'DS sch'!C40+'DS sch'!D40+'DS sch'!D39,0)</f>
        <v>0</v>
      </c>
      <c r="H40" s="16" t="n">
        <f aca="false">H39-C40</f>
        <v>42768000</v>
      </c>
    </row>
    <row r="41" customFormat="false" ht="12.75" hidden="false" customHeight="false" outlineLevel="0" collapsed="false">
      <c r="A41" s="6" t="n">
        <f aca="false">EDATE(A40,6)</f>
        <v>43009</v>
      </c>
      <c r="B41" s="14" t="n">
        <f aca="false">VLOOKUP(A41,'$kw'!$A$23:$B$43,2)*IF(MONTH(A41)=MONTH('$kw'!$D$13),1,0)</f>
        <v>29.6822399153766</v>
      </c>
      <c r="C41" s="1" t="n">
        <f aca="false">INT(B41/'$kw'!$B$45*'DS sch'!$D$3/1000)*1000</f>
        <v>9349000</v>
      </c>
      <c r="D41" s="1" t="n">
        <f aca="false">C41*$D$4/2+D42</f>
        <v>1924020</v>
      </c>
      <c r="E41" s="19" t="n">
        <f aca="false">C41+D41</f>
        <v>11273020</v>
      </c>
      <c r="F41" s="1" t="n">
        <f aca="false">IF(MONTH(A41)=MONTH('$kw'!$D$13),'DS sch'!C41+'DS sch'!D41+'DS sch'!D40,0)</f>
        <v>13197040</v>
      </c>
      <c r="H41" s="16" t="n">
        <f aca="false">H40-C41</f>
        <v>33419000</v>
      </c>
    </row>
    <row r="42" customFormat="false" ht="12.75" hidden="false" customHeight="false" outlineLevel="0" collapsed="false">
      <c r="A42" s="6" t="n">
        <f aca="false">EDATE(A41,6)</f>
        <v>43191</v>
      </c>
      <c r="B42" s="14" t="n">
        <f aca="false">VLOOKUP(A42,'$kw'!$A$23:$B$43,2)*IF(MONTH(A42)=MONTH('$kw'!$D$13),1,0)</f>
        <v>0</v>
      </c>
      <c r="C42" s="1" t="n">
        <f aca="false">INT(B42/'$kw'!$B$45*'DS sch'!$D$3/1000)*1000</f>
        <v>0</v>
      </c>
      <c r="D42" s="1" t="n">
        <f aca="false">C42*$D$4/2+D43</f>
        <v>1503315</v>
      </c>
      <c r="E42" s="19" t="n">
        <f aca="false">C42+D42</f>
        <v>1503315</v>
      </c>
      <c r="F42" s="1" t="n">
        <f aca="false">IF(MONTH(A42)=MONTH('$kw'!$D$13),'DS sch'!C42+'DS sch'!D42+'DS sch'!D41,0)</f>
        <v>0</v>
      </c>
      <c r="H42" s="16" t="n">
        <f aca="false">H41-C42</f>
        <v>33419000</v>
      </c>
    </row>
    <row r="43" customFormat="false" ht="12.75" hidden="false" customHeight="false" outlineLevel="0" collapsed="false">
      <c r="A43" s="6" t="n">
        <f aca="false">EDATE(A42,6)</f>
        <v>43374</v>
      </c>
      <c r="B43" s="14" t="n">
        <f aca="false">VLOOKUP(A43,'$kw'!$A$23:$B$43,2)*IF(MONTH(A43)=MONTH('$kw'!$D$13),1,0)</f>
        <v>32.3536415077605</v>
      </c>
      <c r="C43" s="1" t="n">
        <f aca="false">INT(B43/'$kw'!$B$45*'DS sch'!$D$3/1000)*1000</f>
        <v>10191000</v>
      </c>
      <c r="D43" s="1" t="n">
        <f aca="false">C43*$D$4/2+D44</f>
        <v>1503315</v>
      </c>
      <c r="E43" s="19" t="n">
        <f aca="false">C43+D43</f>
        <v>11694315</v>
      </c>
      <c r="F43" s="1" t="n">
        <f aca="false">IF(MONTH(A43)=MONTH('$kw'!$D$13),'DS sch'!C43+'DS sch'!D43+'DS sch'!D42,0)</f>
        <v>13197630</v>
      </c>
      <c r="H43" s="16" t="n">
        <f aca="false">H42-C43</f>
        <v>23228000</v>
      </c>
    </row>
    <row r="44" customFormat="false" ht="12.75" hidden="false" customHeight="false" outlineLevel="0" collapsed="false">
      <c r="A44" s="6" t="n">
        <f aca="false">EDATE(A43,6)</f>
        <v>43556</v>
      </c>
      <c r="B44" s="14" t="n">
        <f aca="false">VLOOKUP(A44,'$kw'!$A$23:$B$43,2)*IF(MONTH(A44)=MONTH('$kw'!$D$13),1,0)</f>
        <v>0</v>
      </c>
      <c r="C44" s="1" t="n">
        <f aca="false">INT(B44/'$kw'!$B$45*'DS sch'!$D$3/1000)*1000</f>
        <v>0</v>
      </c>
      <c r="D44" s="1" t="n">
        <f aca="false">C44*$D$4/2+D45</f>
        <v>1044720</v>
      </c>
      <c r="E44" s="19" t="n">
        <f aca="false">C44+D44</f>
        <v>1044720</v>
      </c>
      <c r="F44" s="1" t="n">
        <f aca="false">IF(MONTH(A44)=MONTH('$kw'!$D$13),'DS sch'!C44+'DS sch'!D44+'DS sch'!D43,0)</f>
        <v>0</v>
      </c>
      <c r="H44" s="16" t="n">
        <f aca="false">H43-C44</f>
        <v>23228000</v>
      </c>
    </row>
    <row r="45" customFormat="false" ht="12.75" hidden="false" customHeight="false" outlineLevel="0" collapsed="false">
      <c r="A45" s="6" t="n">
        <f aca="false">EDATE(A44,6)</f>
        <v>43739</v>
      </c>
      <c r="B45" s="14" t="n">
        <f aca="false">VLOOKUP(A45,'$kw'!$A$23:$B$43,2)*IF(MONTH(A45)=MONTH('$kw'!$D$13),1,0)</f>
        <v>35.2654692434589</v>
      </c>
      <c r="C45" s="1" t="n">
        <f aca="false">INT(B45/'$kw'!$B$45*'DS sch'!$D$3/1000)*1000</f>
        <v>11108000</v>
      </c>
      <c r="D45" s="1" t="n">
        <f aca="false">C45*$D$4/2+D46</f>
        <v>1044720</v>
      </c>
      <c r="E45" s="19" t="n">
        <f aca="false">C45+D45</f>
        <v>12152720</v>
      </c>
      <c r="F45" s="1" t="n">
        <f aca="false">IF(MONTH(A45)=MONTH('$kw'!$D$13),'DS sch'!C45+'DS sch'!D45+'DS sch'!D44,0)</f>
        <v>13197440</v>
      </c>
      <c r="H45" s="16" t="n">
        <f aca="false">H44-C45</f>
        <v>12120000</v>
      </c>
    </row>
    <row r="46" customFormat="false" ht="12.75" hidden="false" customHeight="false" outlineLevel="0" collapsed="false">
      <c r="A46" s="6" t="n">
        <f aca="false">EDATE(A45,6)</f>
        <v>43922</v>
      </c>
      <c r="B46" s="14" t="n">
        <f aca="false">VLOOKUP(A46,'$kw'!$A$23:$B$43,2)*IF(MONTH(A46)=MONTH('$kw'!$D$13),1,0)</f>
        <v>0</v>
      </c>
      <c r="C46" s="1" t="n">
        <f aca="false">INT(B46/'$kw'!$B$45*'DS sch'!$D$3/1000)*1000</f>
        <v>0</v>
      </c>
      <c r="D46" s="1" t="n">
        <f aca="false">C46*$D$4/2+D47</f>
        <v>544860</v>
      </c>
      <c r="E46" s="19" t="n">
        <f aca="false">C46+D46</f>
        <v>544860</v>
      </c>
      <c r="F46" s="1" t="n">
        <f aca="false">IF(MONTH(A46)=MONTH('$kw'!$D$13),'DS sch'!C46+'DS sch'!D46+'DS sch'!D45,0)</f>
        <v>0</v>
      </c>
      <c r="H46" s="16" t="n">
        <f aca="false">H45-C46</f>
        <v>12120000</v>
      </c>
    </row>
    <row r="47" customFormat="false" ht="12.75" hidden="false" customHeight="false" outlineLevel="0" collapsed="false">
      <c r="A47" s="6" t="n">
        <f aca="false">EDATE(A46,6)</f>
        <v>44105</v>
      </c>
      <c r="B47" s="14" t="n">
        <f aca="false">VLOOKUP(A47,'$kw'!$A$23:$B$43,2)*IF(MONTH(A47)=MONTH('$kw'!$D$13),1,0)</f>
        <v>38.4393614753702</v>
      </c>
      <c r="C47" s="1" t="n">
        <f aca="false">INT(B47/'$kw'!$B$45*'DS sch'!$D$3/1000)*1000</f>
        <v>12108000</v>
      </c>
      <c r="D47" s="1" t="n">
        <f aca="false">C47*$D$4/2+D48</f>
        <v>544860</v>
      </c>
      <c r="E47" s="19" t="n">
        <f aca="false">C47+D47</f>
        <v>12652860</v>
      </c>
      <c r="F47" s="1" t="n">
        <f aca="false">IF(MONTH(A47)=MONTH('$kw'!$D$13),'DS sch'!C47+'DS sch'!D47+'DS sch'!D46,0)</f>
        <v>13197720</v>
      </c>
      <c r="H47" s="16" t="n">
        <f aca="false">H46-C47</f>
        <v>12000</v>
      </c>
    </row>
    <row r="48" customFormat="false" ht="12.75" hidden="false" customHeight="false" outlineLevel="0" collapsed="false">
      <c r="A48" s="6" t="n">
        <f aca="false">EDATE(A47,6)</f>
        <v>44287</v>
      </c>
      <c r="B48" s="14" t="n">
        <f aca="false">VLOOKUP(A48,'$kw'!$A$23:$B$43,2)*IF(MONTH(A48)=MONTH('$kw'!$D$13),1,0)</f>
        <v>0</v>
      </c>
      <c r="C48" s="1" t="n">
        <f aca="false">INT(B48/'$kw'!$B$45*'DS sch'!$D$3/1000)*1000</f>
        <v>0</v>
      </c>
      <c r="D48" s="1" t="n">
        <f aca="false">C48*$D$4/2+D49</f>
        <v>0</v>
      </c>
      <c r="E48" s="19" t="n">
        <f aca="false">C48+D48</f>
        <v>0</v>
      </c>
      <c r="F48" s="1" t="n">
        <f aca="false">IF(MONTH(A48)=MONTH('$kw'!$D$13),'DS sch'!C48+'DS sch'!D48+'DS sch'!D47,0)</f>
        <v>0</v>
      </c>
      <c r="H48" s="16" t="n">
        <f aca="false">H47-C48</f>
        <v>12000</v>
      </c>
    </row>
    <row r="49" customFormat="false" ht="12.75" hidden="false" customHeight="false" outlineLevel="0" collapsed="false">
      <c r="A49" s="6" t="n">
        <f aca="false">EDATE(A48,6)</f>
        <v>44470</v>
      </c>
      <c r="B49" s="14" t="n">
        <f aca="false">VLOOKUP(A49,'$kw'!$A$23:$B$43,2)*IF(MONTH(A49)=MONTH('$kw'!$D$13),1,0)</f>
        <v>0</v>
      </c>
      <c r="C49" s="1" t="n">
        <f aca="false">INT(B49/'$kw'!$B$45*'DS sch'!$D$3/1000)*1000</f>
        <v>0</v>
      </c>
      <c r="D49" s="1" t="n">
        <f aca="false">C49*$D$4/2+D50</f>
        <v>0</v>
      </c>
      <c r="E49" s="19" t="n">
        <f aca="false">C49+D49</f>
        <v>0</v>
      </c>
      <c r="F49" s="1" t="n">
        <f aca="false">IF(MONTH(A49)=MONTH('$kw'!$D$13),'DS sch'!C49+'DS sch'!D49+'DS sch'!D48,0)</f>
        <v>0</v>
      </c>
      <c r="H49" s="16" t="n">
        <f aca="false">H48-C49</f>
        <v>12000</v>
      </c>
    </row>
    <row r="50" customFormat="false" ht="12.75" hidden="false" customHeight="false" outlineLevel="0" collapsed="false">
      <c r="A50" s="6"/>
      <c r="C50" s="19"/>
      <c r="D50" s="19"/>
      <c r="E50" s="19"/>
      <c r="F50" s="19"/>
    </row>
    <row r="51" customFormat="false" ht="12.75" hidden="false" customHeight="false" outlineLevel="0" collapsed="false">
      <c r="A51" s="6"/>
      <c r="B51" s="19" t="n">
        <f aca="false">SUM(B8:B49)</f>
        <v>375</v>
      </c>
      <c r="C51" s="19" t="n">
        <f aca="false">SUM(C8:C49)</f>
        <v>118113000</v>
      </c>
      <c r="D51" s="19" t="n">
        <f aca="false">SUM(D8:D49)</f>
        <v>137944395</v>
      </c>
      <c r="E51" s="19" t="n">
        <f aca="false">SUM(E8:E49)</f>
        <v>256057395</v>
      </c>
      <c r="F51" s="19" t="n">
        <f aca="false">SUM(F8:F49)</f>
        <v>256057395</v>
      </c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1999-10-14T20:08:00Z</dcterms:created>
  <dc:creator>ECT</dc:creator>
  <dc:description/>
  <dc:language>en-US</dc:language>
  <cp:lastModifiedBy>Donald M. Black</cp:lastModifiedBy>
  <cp:lastPrinted>1999-12-15T14:59:55Z</cp:lastPrinted>
  <cp:revision>0</cp:revision>
  <dc:subject/>
  <dc:title/>
</cp:coreProperties>
</file>