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comments3.xml" ContentType="application/vnd.openxmlformats-officedocument.spreadsheetml.comments+xml"/>
  <Override PartName="/xl/styles.xml" ContentType="application/vnd.openxmlformats-officedocument.spreadsheetml.style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xl/drawings/drawing2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Front" sheetId="1" state="visible" r:id="rId3"/>
    <sheet name="Explanation" sheetId="2" state="visible" r:id="rId4"/>
    <sheet name="Optimal" sheetId="3" state="visible" r:id="rId5"/>
    <sheet name="Competitive" sheetId="4" state="visible" r:id="rId6"/>
  </sheets>
  <definedNames>
    <definedName function="false" hidden="false" name="A1on" vbProcedure="false">Competitive!$E$8</definedName>
    <definedName function="false" hidden="false" name="A2on" vbProcedure="false">Competitive!$E$9</definedName>
    <definedName function="false" hidden="false" name="A3on" vbProcedure="false">Competitive!$E$10</definedName>
    <definedName function="false" hidden="false" name="AD_1" vbProcedure="false">Optimal!$E$31</definedName>
    <definedName function="false" hidden="false" name="AD_2" vbProcedure="false">Optimal!$E$32</definedName>
    <definedName function="false" hidden="false" name="AD_3" vbProcedure="false">Optimal!$E$33</definedName>
    <definedName function="false" hidden="false" name="Cap" vbProcedure="false">Front!$B$10</definedName>
    <definedName function="false" hidden="false" name="Flo12" vbProcedure="false">Competitive!$I$6</definedName>
    <definedName function="false" hidden="false" name="Flo23" vbProcedure="false">Competitive!$I$7</definedName>
    <definedName function="false" hidden="false" name="Flow12" vbProcedure="false">Optimal!$E$5</definedName>
    <definedName function="false" hidden="false" name="Flow23" vbProcedure="false">Optimal!$E$6</definedName>
    <definedName function="false" hidden="false" name="G1A" vbProcedure="false">Optimal!$E$7</definedName>
    <definedName function="false" hidden="false" name="G1Aon" vbProcedure="false">Optimal!$E$11</definedName>
    <definedName function="false" hidden="false" name="G2A" vbProcedure="false">Optimal!$E$8</definedName>
    <definedName function="false" hidden="false" name="G2Aon" vbProcedure="false">Optimal!$E$12</definedName>
    <definedName function="false" hidden="false" name="G3A" vbProcedure="false">Optimal!$E$9</definedName>
    <definedName function="false" hidden="false" name="G3Aon" vbProcedure="false">Optimal!$E$13</definedName>
    <definedName function="false" hidden="false" name="G3B" vbProcedure="false">Optimal!$E$10</definedName>
    <definedName function="false" hidden="false" name="Gen1A" vbProcedure="false">Competitive!$J$10</definedName>
    <definedName function="false" hidden="false" name="Gen2A" vbProcedure="false">Competitive!$J$11</definedName>
    <definedName function="false" hidden="false" name="Gen3A" vbProcedure="false">Competitive!$J$12</definedName>
    <definedName function="false" hidden="false" name="Gen3B" vbProcedure="false">Competitive!$E$11</definedName>
    <definedName function="false" hidden="false" name="Inc1" vbProcedure="false">Front!$B$13</definedName>
    <definedName function="false" hidden="false" name="Inc2" vbProcedure="false">Front!$B$14</definedName>
    <definedName function="false" hidden="false" name="Inc3" vbProcedure="false">Front!$B$15</definedName>
    <definedName function="false" hidden="false" name="Load3" vbProcedure="false">Front!$B$11</definedName>
    <definedName function="false" hidden="false" name="Los12" vbProcedure="false">Competitive!$K$6</definedName>
    <definedName function="false" hidden="false" name="Los23" vbProcedure="false">Competitive!$K$7</definedName>
    <definedName function="false" hidden="false" name="Loss12" vbProcedure="false">Optimal!$I$5</definedName>
    <definedName function="false" hidden="false" name="Loss23" vbProcedure="false">Optimal!$I$6</definedName>
    <definedName function="false" hidden="false" name="MCA" vbProcedure="false">Front!$B$8</definedName>
    <definedName function="false" hidden="false" name="MCB" vbProcedure="false">Front!$B$9</definedName>
    <definedName function="false" hidden="false" name="ohm" vbProcedure="false">Front!$B$12</definedName>
    <definedName function="false" hidden="false" name="omComp" vbProcedure="false">Competitive!$G$3</definedName>
    <definedName function="false" hidden="false" name="omOpt" vbProcedure="false">Optimal!$G$3</definedName>
    <definedName function="false" hidden="false" name="P1_P2" vbProcedure="false">Competitive!$G$6</definedName>
    <definedName function="false" hidden="false" name="P2_P3" vbProcedure="false">Competitive!$G$7</definedName>
    <definedName function="false" hidden="false" name="Price1" vbProcedure="false">Competitive!$E$5</definedName>
    <definedName function="false" hidden="false" name="Price2" vbProcedure="false">Competitive!$E$6</definedName>
    <definedName function="false" hidden="false" name="Price3" vbProcedure="false">Competitive!$E$7</definedName>
    <definedName function="false" hidden="false" name="Reps" vbProcedure="false">Front!$B$4</definedName>
    <definedName function="false" hidden="false" name="Reps_Comp" vbProcedure="false">Competitive!$G$2</definedName>
    <definedName function="false" hidden="false" name="Reps_opt" vbProcedure="false">Optimal!$G$2</definedName>
    <definedName function="false" hidden="false" name="StUp1" vbProcedure="false">Front!$B$5</definedName>
    <definedName function="false" hidden="false" name="StUp2" vbProcedure="false">Front!$B$6</definedName>
    <definedName function="false" hidden="false" name="StUp3" vbProcedure="false">Front!$B$7</definedName>
    <definedName function="false" hidden="false" localSheetId="2" name="solver_adj" vbProcedure="false">Optimal!$E$5:$E$13</definedName>
    <definedName function="false" hidden="false" localSheetId="2" name="solver_cvg" vbProcedure="false">0.000000000001</definedName>
    <definedName function="false" hidden="false" localSheetId="2" name="solver_drv" vbProcedure="false">1</definedName>
    <definedName function="false" hidden="false" localSheetId="2" name="solver_est" vbProcedure="false">2</definedName>
    <definedName function="false" hidden="false" localSheetId="2" name="solver_itr" vbProcedure="false">200</definedName>
    <definedName function="false" hidden="false" localSheetId="2" name="solver_lhs1" vbProcedure="false">Optimal!$E$11:$E$13</definedName>
    <definedName function="false" hidden="false" localSheetId="2" name="solver_lhs2" vbProcedure="false">Optimal!$E$7:$E$10</definedName>
    <definedName function="false" hidden="false" localSheetId="2" name="solver_lhs3" vbProcedure="false">Optimal!$E$15:$E$17</definedName>
    <definedName function="false" hidden="false" localSheetId="2" name="solver_lhs4" vbProcedure="false">Optimal!$E$18:$E$25</definedName>
    <definedName function="false" hidden="false" localSheetId="2" name="solver_lhs5" vbProcedure="false">Optimal!$E$5:$E$6</definedName>
    <definedName function="false" hidden="false" localSheetId="2" name="solver_lin" vbProcedure="false">2</definedName>
    <definedName function="false" hidden="false" localSheetId="2" name="solver_neg" vbProcedure="false">2</definedName>
    <definedName function="false" hidden="false" localSheetId="2" name="solver_num" vbProcedure="false">4</definedName>
    <definedName function="false" hidden="false" localSheetId="2" name="solver_nwt" vbProcedure="false">1</definedName>
    <definedName function="false" hidden="false" localSheetId="2" name="solver_opt" vbProcedure="false">Optimal!$K$14</definedName>
    <definedName function="false" hidden="false" localSheetId="2" name="solver_pre" vbProcedure="false">0.0000000001</definedName>
    <definedName function="false" hidden="false" localSheetId="2" name="solver_rel1" vbProcedure="false">4</definedName>
    <definedName function="false" hidden="false" localSheetId="2" name="solver_rel2" vbProcedure="false">3</definedName>
    <definedName function="false" hidden="false" localSheetId="2" name="solver_rel3" vbProcedure="false">2</definedName>
    <definedName function="false" hidden="false" localSheetId="2" name="solver_rel4" vbProcedure="false">1</definedName>
    <definedName function="false" hidden="false" localSheetId="2" name="solver_rel5" vbProcedure="false">1</definedName>
    <definedName function="false" hidden="false" localSheetId="2" name="solver_rhs1" vbProcedure="false">#NAME?</definedName>
    <definedName function="false" hidden="false" localSheetId="2" name="solver_rhs2" vbProcedure="false">0</definedName>
    <definedName function="false" hidden="false" localSheetId="2" name="solver_rhs3" vbProcedure="false">0</definedName>
    <definedName function="false" hidden="false" localSheetId="2" name="solver_rhs4" vbProcedure="false">0</definedName>
    <definedName function="false" hidden="false" localSheetId="2" name="solver_rhs5" vbProcedure="false">1000</definedName>
    <definedName function="false" hidden="false" localSheetId="2" name="solver_scl" vbProcedure="false">1</definedName>
    <definedName function="false" hidden="false" localSheetId="2" name="solver_sho" vbProcedure="false">2</definedName>
    <definedName function="false" hidden="false" localSheetId="2" name="solver_tim" vbProcedure="false">100</definedName>
    <definedName function="false" hidden="false" localSheetId="2" name="solver_tol" vbProcedure="false">0.00000001</definedName>
    <definedName function="false" hidden="false" localSheetId="2" name="solver_typ" vbProcedure="false">2</definedName>
    <definedName function="false" hidden="false" localSheetId="2" name="solver_val" vbProcedure="false">0</definedName>
    <definedName function="false" hidden="false" localSheetId="3" name="solver_adj" vbProcedure="false">Competitive!$E$5:$E$11</definedName>
    <definedName function="false" hidden="false" localSheetId="3" name="solver_cvg" vbProcedure="false">0.00000000001</definedName>
    <definedName function="false" hidden="false" localSheetId="3" name="solver_drv" vbProcedure="false">1</definedName>
    <definedName function="false" hidden="false" localSheetId="3" name="solver_est" vbProcedure="false">2</definedName>
    <definedName function="false" hidden="false" localSheetId="3" name="solver_itr" vbProcedure="false">200</definedName>
    <definedName function="false" hidden="false" localSheetId="3" name="solver_lhs1" vbProcedure="false">Competitive!$E$8:$E$25</definedName>
    <definedName function="false" hidden="false" localSheetId="3" name="solver_lhs2" vbProcedure="false">Competitive!$E$8</definedName>
    <definedName function="false" hidden="false" localSheetId="3" name="solver_lhs3" vbProcedure="false">Competitive!$E$9</definedName>
    <definedName function="false" hidden="false" localSheetId="3" name="solver_lhs4" vbProcedure="false">Competitive!$E$10</definedName>
    <definedName function="false" hidden="false" localSheetId="3" name="solver_lhs5" vbProcedure="false">Competitive!$E$19:$E$25</definedName>
    <definedName function="false" hidden="false" localSheetId="3" name="solver_lin" vbProcedure="false">2</definedName>
    <definedName function="false" hidden="false" localSheetId="3" name="solver_neg" vbProcedure="false">2</definedName>
    <definedName function="false" hidden="false" localSheetId="3" name="solver_num" vbProcedure="false">4</definedName>
    <definedName function="false" hidden="false" localSheetId="3" name="solver_nwt" vbProcedure="false">1</definedName>
    <definedName function="false" hidden="false" localSheetId="3" name="solver_opt" vbProcedure="false">Competitive!$M$15</definedName>
    <definedName function="false" hidden="false" localSheetId="3" name="solver_pre" vbProcedure="false">0.000000001</definedName>
    <definedName function="false" hidden="false" localSheetId="3" name="solver_rel1" vbProcedure="false">3</definedName>
    <definedName function="false" hidden="false" localSheetId="3" name="solver_rel2" vbProcedure="false">4</definedName>
    <definedName function="false" hidden="false" localSheetId="3" name="solver_rel3" vbProcedure="false">4</definedName>
    <definedName function="false" hidden="false" localSheetId="3" name="solver_rel4" vbProcedure="false">4</definedName>
    <definedName function="false" hidden="false" localSheetId="3" name="solver_rel5" vbProcedure="false">3</definedName>
    <definedName function="false" hidden="false" localSheetId="3" name="solver_rhs1" vbProcedure="false">0</definedName>
    <definedName function="false" hidden="false" localSheetId="3" name="solver_rhs2" vbProcedure="false">#NAME?</definedName>
    <definedName function="false" hidden="false" localSheetId="3" name="solver_rhs3" vbProcedure="false">#NAME?</definedName>
    <definedName function="false" hidden="false" localSheetId="3" name="solver_rhs4" vbProcedure="false">#NAME?</definedName>
    <definedName function="false" hidden="false" localSheetId="3" name="solver_rhs5" vbProcedure="false">0</definedName>
    <definedName function="false" hidden="false" localSheetId="3" name="solver_scl" vbProcedure="false">1</definedName>
    <definedName function="false" hidden="false" localSheetId="3" name="solver_sho" vbProcedure="false">2</definedName>
    <definedName function="false" hidden="false" localSheetId="3" name="solver_tim" vbProcedure="false">100</definedName>
    <definedName function="false" hidden="false" localSheetId="3" name="solver_tol" vbProcedure="false">0.000000001</definedName>
    <definedName function="false" hidden="false" localSheetId="3" name="solver_typ" vbProcedure="false">2</definedName>
    <definedName function="false" hidden="false" localSheetId="3" name="solver_val" vbProcedure="false">0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3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F24" authorId="0">
      <text>
        <r>
          <rPr>
            <b val="true"/>
            <sz val="8"/>
            <color rgb="FF000000"/>
            <rFont val="Tahoma"/>
            <family val="0"/>
          </rPr>
          <t xml:space="preserve">Steven:
</t>
        </r>
        <r>
          <rPr>
            <sz val="8"/>
            <color rgb="FF000000"/>
            <rFont val="Tahoma"/>
            <family val="0"/>
          </rPr>
          <t xml:space="preserve">When switching from high reps to low, this value can get stuck in the 8000 range, where loss = flow.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16</xdr:colOff>
                <xdr:row>22</xdr:row>
                <xdr:rowOff>7</xdr:rowOff>
              </xdr:from>
              <xdr:to>
                <xdr:col>8</xdr:col>
                <xdr:colOff>10</xdr:colOff>
                <xdr:row>27</xdr:row>
                <xdr:rowOff>12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<sst xmlns="http://schemas.openxmlformats.org/spreadsheetml/2006/main" count="214" uniqueCount="154">
  <si>
    <t xml:space="preserve">Test Example for Startup Cost Inefficiency</t>
  </si>
  <si>
    <t xml:space="preserve">Reps</t>
  </si>
  <si>
    <t xml:space="preserve">Replications of basic model</t>
  </si>
  <si>
    <t xml:space="preserve">StUp1</t>
  </si>
  <si>
    <t xml:space="preserve">Startup Cost of gen A1</t>
  </si>
  <si>
    <t xml:space="preserve">StUp2</t>
  </si>
  <si>
    <t xml:space="preserve"> ….</t>
  </si>
  <si>
    <t xml:space="preserve">StUp3</t>
  </si>
  <si>
    <t xml:space="preserve">MCA</t>
  </si>
  <si>
    <t xml:space="preserve">Marginal cost of A generators</t>
  </si>
  <si>
    <t xml:space="preserve">MCB</t>
  </si>
  <si>
    <t xml:space="preserve">Cap</t>
  </si>
  <si>
    <t xml:space="preserve">Capacity of A generators (3B unlimited)</t>
  </si>
  <si>
    <t xml:space="preserve">Load3</t>
  </si>
  <si>
    <t xml:space="preserve">Load at bus 3</t>
  </si>
  <si>
    <t xml:space="preserve">ohm</t>
  </si>
  <si>
    <t xml:space="preserve">Line resistace. One-end loss = ohm*Flow^2</t>
  </si>
  <si>
    <t xml:space="preserve">Inc1</t>
  </si>
  <si>
    <t xml:space="preserve">Incremental Cost of Gen 1A</t>
  </si>
  <si>
    <t xml:space="preserve">Inc2</t>
  </si>
  <si>
    <t xml:space="preserve">Inc3</t>
  </si>
  <si>
    <t xml:space="preserve">Replications</t>
  </si>
  <si>
    <t xml:space="preserve">Optimal Cost</t>
  </si>
  <si>
    <t xml:space="preserve">Cmp. Out. tot. Cost</t>
  </si>
  <si>
    <t xml:space="preserve">Cmp. Out. max Cost</t>
  </si>
  <si>
    <t xml:space="preserve">Min Inefficiency</t>
  </si>
  <si>
    <t xml:space="preserve">Max Inefficiency</t>
  </si>
  <si>
    <t xml:space="preserve">Competitive</t>
  </si>
  <si>
    <t xml:space="preserve">Price1</t>
  </si>
  <si>
    <t xml:space="preserve">Outcome</t>
  </si>
  <si>
    <t xml:space="preserve">Price2</t>
  </si>
  <si>
    <t xml:space="preserve">Price3</t>
  </si>
  <si>
    <t xml:space="preserve">GenA1on</t>
  </si>
  <si>
    <t xml:space="preserve">GenA2on</t>
  </si>
  <si>
    <t xml:space="preserve">GenA3on</t>
  </si>
  <si>
    <t xml:space="preserve">Gen3B MW</t>
  </si>
  <si>
    <t xml:space="preserve">Optimal</t>
  </si>
  <si>
    <t xml:space="preserve">This Example Is Discussed in Chapter 3-3 of Power Economics by Steven Stoft</t>
  </si>
  <si>
    <t xml:space="preserve">The Front page list all of the inputs for this example in green.  These can be changed.</t>
  </si>
  <si>
    <t xml:space="preserve">To find the optimal solution run Tools/Sovler on the "Optimal" page.</t>
  </si>
  <si>
    <t xml:space="preserve">To find the Competitive Outcome (C0) run Tools/Sovler on the "Competitive" page.</t>
  </si>
  <si>
    <t xml:space="preserve">(You must have the Solver add-in installed.  Use Tools/Add-Ins.</t>
  </si>
  <si>
    <t xml:space="preserve">Key output variables appear in C17-C34 in red on the front page.</t>
  </si>
  <si>
    <t xml:space="preserve">For various replications, 1 through 102, these have been stored as values to the right.</t>
  </si>
  <si>
    <t xml:space="preserve">Don't change red cells.  They are formulas.  (But hey are not the only formulas.)</t>
  </si>
  <si>
    <t xml:space="preserve">A CO is a competitive equilibrium for the market with augmented demand.</t>
  </si>
  <si>
    <t xml:space="preserve">In particular it is the CE with the smallest possible augmented demand.</t>
  </si>
  <si>
    <t xml:space="preserve">In this exmple, smallest is determined by minimizing either total cost, or total cost with augmented demand sold back at marginal cost.</t>
  </si>
  <si>
    <t xml:space="preserve">The CO is found by enforcing a requirement that prices be competitive and minizing total cost while keeping net injections positive.</t>
  </si>
  <si>
    <t xml:space="preserve">Net injections are then interpreted as augmented demands.</t>
  </si>
  <si>
    <t xml:space="preserve">Competitive prices have several properties.</t>
  </si>
  <si>
    <t xml:space="preserve">Base load generators will all be off if price is below their incremental (full on average) cost.</t>
  </si>
  <si>
    <t xml:space="preserve">They will all be on if price is above this.</t>
  </si>
  <si>
    <t xml:space="preserve">If price is equal to this, any number can be full on. None can be partially on.</t>
  </si>
  <si>
    <t xml:space="preserve">The peaker can produce any amount when price equals its marginal cost</t>
  </si>
  <si>
    <t xml:space="preserve">The price at bus 3 cannot be above the peaker's marginal cost.</t>
  </si>
  <si>
    <t xml:space="preserve">The flow on the lines must be such that marginal losses correspond to the price difference.</t>
  </si>
  <si>
    <t xml:space="preserve">To check that the CO is optimal for a market with the augmented demands (as it must be if it is a CE).</t>
  </si>
  <si>
    <t xml:space="preserve">1. solve for the CO</t>
  </si>
  <si>
    <t xml:space="preserve">2. set E31 = F31 etc. in the Optimal page.</t>
  </si>
  <si>
    <t xml:space="preserve">(this includes the augmented demands in the example market.)</t>
  </si>
  <si>
    <t xml:space="preserve">3. Solve the optimal model.</t>
  </si>
  <si>
    <t xml:space="preserve">4. Check that Optimal:total total Cost = Competitive Max Total cost</t>
  </si>
  <si>
    <t xml:space="preserve">Also check that the optimal distpatch (with augmented demand) has the same generation and flows as the CO.</t>
  </si>
  <si>
    <t xml:space="preserve">5. Check that the same generators have the same outputs.</t>
  </si>
  <si>
    <t xml:space="preserve">6. Check that the line flows are the same.</t>
  </si>
  <si>
    <t xml:space="preserve">Optimal Dispatch</t>
  </si>
  <si>
    <t xml:space="preserve">Reps_opt</t>
  </si>
  <si>
    <t xml:space="preserve">omOpt</t>
  </si>
  <si>
    <t xml:space="preserve">= ohm/Reps_opt</t>
  </si>
  <si>
    <t xml:space="preserve">Controls</t>
  </si>
  <si>
    <t xml:space="preserve">Constraints</t>
  </si>
  <si>
    <t xml:space="preserve">Solver</t>
  </si>
  <si>
    <t xml:space="preserve">Flow12</t>
  </si>
  <si>
    <t xml:space="preserve">none</t>
  </si>
  <si>
    <t xml:space="preserve">Loss12</t>
  </si>
  <si>
    <t xml:space="preserve">One-end loss for line 1-2</t>
  </si>
  <si>
    <t xml:space="preserve">Setup</t>
  </si>
  <si>
    <t xml:space="preserve">Flow23</t>
  </si>
  <si>
    <t xml:space="preserve">Loss23</t>
  </si>
  <si>
    <t xml:space="preserve">One-end loss for line 2-3</t>
  </si>
  <si>
    <t xml:space="preserve">G1A</t>
  </si>
  <si>
    <t xml:space="preserve">&gt;=0</t>
  </si>
  <si>
    <t xml:space="preserve">G2A</t>
  </si>
  <si>
    <t xml:space="preserve">StUp Cst</t>
  </si>
  <si>
    <t xml:space="preserve">MC</t>
  </si>
  <si>
    <t xml:space="preserve">Tot Cost</t>
  </si>
  <si>
    <t xml:space="preserve">G3A</t>
  </si>
  <si>
    <t xml:space="preserve">G3B</t>
  </si>
  <si>
    <t xml:space="preserve">G1Aon</t>
  </si>
  <si>
    <t xml:space="preserve">integer, &gt;= 0</t>
  </si>
  <si>
    <t xml:space="preserve">G2Aon</t>
  </si>
  <si>
    <t xml:space="preserve">G3Aon</t>
  </si>
  <si>
    <t xml:space="preserve">Total Total</t>
  </si>
  <si>
    <t xml:space="preserve">node1</t>
  </si>
  <si>
    <t xml:space="preserve">  =0,  Kirchhoff</t>
  </si>
  <si>
    <t xml:space="preserve">node2</t>
  </si>
  <si>
    <t xml:space="preserve">For Comparison Only</t>
  </si>
  <si>
    <t xml:space="preserve">node3</t>
  </si>
  <si>
    <t xml:space="preserve">Comp.Out</t>
  </si>
  <si>
    <t xml:space="preserve">max Total</t>
  </si>
  <si>
    <t xml:space="preserve">Cap1</t>
  </si>
  <si>
    <t xml:space="preserve">&lt;=0, Gen &lt;= Capacity</t>
  </si>
  <si>
    <t xml:space="preserve">extra</t>
  </si>
  <si>
    <t xml:space="preserve">Cap2</t>
  </si>
  <si>
    <t xml:space="preserve">Cap3</t>
  </si>
  <si>
    <t xml:space="preserve">Reps 1A</t>
  </si>
  <si>
    <t xml:space="preserve">&lt;=0, GiAon &lt;= Reps</t>
  </si>
  <si>
    <t xml:space="preserve">Reps 2A</t>
  </si>
  <si>
    <t xml:space="preserve">Reps 3A</t>
  </si>
  <si>
    <t xml:space="preserve">&lt;0, prevent stuck</t>
  </si>
  <si>
    <t xml:space="preserve">Augmented Demands</t>
  </si>
  <si>
    <t xml:space="preserve">AD_1</t>
  </si>
  <si>
    <t xml:space="preserve">Set E31 equal to F31 etc.</t>
  </si>
  <si>
    <t xml:space="preserve">AD_2</t>
  </si>
  <si>
    <t xml:space="preserve">in order to import augmented demands</t>
  </si>
  <si>
    <t xml:space="preserve">AD_3</t>
  </si>
  <si>
    <t xml:space="preserve">from the Competitive Outcome and check that it is a CE.</t>
  </si>
  <si>
    <t xml:space="preserve">Competitive Outcome</t>
  </si>
  <si>
    <t xml:space="preserve">Reps_comp</t>
  </si>
  <si>
    <t xml:space="preserve">omComp</t>
  </si>
  <si>
    <t xml:space="preserve">= ohm/Reps_comp</t>
  </si>
  <si>
    <t xml:space="preserve">P1:P2</t>
  </si>
  <si>
    <t xml:space="preserve">Flo12</t>
  </si>
  <si>
    <t xml:space="preserve">Los12</t>
  </si>
  <si>
    <t xml:space="preserve">P2:P3</t>
  </si>
  <si>
    <t xml:space="preserve">Flo23</t>
  </si>
  <si>
    <t xml:space="preserve">Los23</t>
  </si>
  <si>
    <t xml:space="preserve">A1on</t>
  </si>
  <si>
    <t xml:space="preserve">A2on</t>
  </si>
  <si>
    <t xml:space="preserve">Suppy</t>
  </si>
  <si>
    <t xml:space="preserve">A3on</t>
  </si>
  <si>
    <t xml:space="preserve">Gen1A</t>
  </si>
  <si>
    <t xml:space="preserve">Gen3B</t>
  </si>
  <si>
    <t xml:space="preserve">Gen2A</t>
  </si>
  <si>
    <t xml:space="preserve">none(P1a)</t>
  </si>
  <si>
    <t xml:space="preserve">&gt;=0, Can't be on with a low price</t>
  </si>
  <si>
    <t xml:space="preserve">Gen3A</t>
  </si>
  <si>
    <t xml:space="preserve">none(P2a)</t>
  </si>
  <si>
    <t xml:space="preserve">(Gen3B)</t>
  </si>
  <si>
    <t xml:space="preserve">none(P3a)</t>
  </si>
  <si>
    <t xml:space="preserve">Resell</t>
  </si>
  <si>
    <t xml:space="preserve">none(P3b)</t>
  </si>
  <si>
    <t xml:space="preserve">Total</t>
  </si>
  <si>
    <t xml:space="preserve">all(P1a)</t>
  </si>
  <si>
    <t xml:space="preserve">&gt;=0, Must be all on with high price</t>
  </si>
  <si>
    <t xml:space="preserve">Max Total</t>
  </si>
  <si>
    <t xml:space="preserve">all(P2a)</t>
  </si>
  <si>
    <t xml:space="preserve">all(P3a)</t>
  </si>
  <si>
    <t xml:space="preserve">Lim on P3</t>
  </si>
  <si>
    <t xml:space="preserve">&gt;=0, Unlimited Gen3B Capacity</t>
  </si>
  <si>
    <t xml:space="preserve">&gt;=0,  Kirchhoff + Cmp. Out.</t>
  </si>
  <si>
    <t xml:space="preserve">&gt;=0, GiAon &lt;= Reps</t>
  </si>
  <si>
    <t xml:space="preserve">Augmented Demands that Produce a Competitive Equilibrium (CE).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</si>
</sst>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0"/>
    <numFmt numFmtId="166" formatCode="0%"/>
    <numFmt numFmtId="167" formatCode="0.00%"/>
    <numFmt numFmtId="168" formatCode="0.00"/>
    <numFmt numFmtId="169" formatCode="0.000"/>
    <numFmt numFmtId="170" formatCode="0.00E+00"/>
    <numFmt numFmtId="171" formatCode="0.E+00"/>
    <numFmt numFmtId="172" formatCode="0.000000"/>
  </numFmts>
  <fonts count="11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</font>
    <font>
      <b val="true"/>
      <sz val="10"/>
      <color rgb="FF008000"/>
      <name val="Arial"/>
      <family val="2"/>
    </font>
    <font>
      <b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name val="Arial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</fonts>
  <fills count="2">
    <fill>
      <patternFill patternType="none"/>
    </fill>
    <fill>
      <patternFill patternType="gray125"/>
    </fill>
  </fills>
  <borders count="19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800080"/>
      </left>
      <right style="medium">
        <color rgb="FF800080"/>
      </right>
      <top style="medium">
        <color rgb="FF800080"/>
      </top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medium">
        <color rgb="FF800080"/>
      </left>
      <right style="medium">
        <color rgb="FF800080"/>
      </right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800080"/>
      </left>
      <right style="medium">
        <color rgb="FF800080"/>
      </right>
      <top/>
      <bottom style="medium">
        <color rgb="FF800080"/>
      </bottom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800080"/>
      </left>
      <right/>
      <top/>
      <bottom/>
      <diagonal/>
    </border>
    <border diagonalUp="false" diagonalDown="false">
      <left/>
      <right style="medium">
        <color rgb="FF800080"/>
      </right>
      <top/>
      <bottom/>
      <diagonal/>
    </border>
    <border diagonalUp="false" diagonalDown="false">
      <left style="medium">
        <color rgb="FF800080"/>
      </left>
      <right/>
      <top/>
      <bottom style="medium">
        <color rgb="FF800080"/>
      </bottom>
      <diagonal/>
    </border>
    <border diagonalUp="false" diagonalDown="false">
      <left/>
      <right style="medium">
        <color rgb="FF800080"/>
      </right>
      <top/>
      <bottom style="medium">
        <color rgb="FF800080"/>
      </bottom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66" fontId="0" fillId="0" borderId="0" applyFont="true" applyBorder="false" applyAlignment="false" applyProtection="false"/>
  </cellStyleXfs>
  <cellXfs count="7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" fillId="0" borderId="0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6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8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0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0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1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1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7</xdr:col>
      <xdr:colOff>508680</xdr:colOff>
      <xdr:row>3</xdr:row>
      <xdr:rowOff>133560</xdr:rowOff>
    </xdr:from>
    <xdr:to>
      <xdr:col>7</xdr:col>
      <xdr:colOff>509400</xdr:colOff>
      <xdr:row>5</xdr:row>
      <xdr:rowOff>105120</xdr:rowOff>
    </xdr:to>
    <xdr:sp>
      <xdr:nvSpPr>
        <xdr:cNvPr id="0" name="Line 2"/>
        <xdr:cNvSpPr/>
      </xdr:nvSpPr>
      <xdr:spPr>
        <a:xfrm>
          <a:off x="5158080" y="619200"/>
          <a:ext cx="720" cy="29556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518400</xdr:colOff>
      <xdr:row>3</xdr:row>
      <xdr:rowOff>133560</xdr:rowOff>
    </xdr:from>
    <xdr:to>
      <xdr:col>9</xdr:col>
      <xdr:colOff>519120</xdr:colOff>
      <xdr:row>5</xdr:row>
      <xdr:rowOff>105120</xdr:rowOff>
    </xdr:to>
    <xdr:sp>
      <xdr:nvSpPr>
        <xdr:cNvPr id="1" name="Line 3"/>
        <xdr:cNvSpPr/>
      </xdr:nvSpPr>
      <xdr:spPr>
        <a:xfrm>
          <a:off x="6444360" y="619200"/>
          <a:ext cx="720" cy="29556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11</xdr:col>
      <xdr:colOff>548280</xdr:colOff>
      <xdr:row>3</xdr:row>
      <xdr:rowOff>133560</xdr:rowOff>
    </xdr:from>
    <xdr:to>
      <xdr:col>11</xdr:col>
      <xdr:colOff>549000</xdr:colOff>
      <xdr:row>5</xdr:row>
      <xdr:rowOff>105120</xdr:rowOff>
    </xdr:to>
    <xdr:sp>
      <xdr:nvSpPr>
        <xdr:cNvPr id="2" name="Line 4"/>
        <xdr:cNvSpPr/>
      </xdr:nvSpPr>
      <xdr:spPr>
        <a:xfrm>
          <a:off x="7750440" y="619200"/>
          <a:ext cx="720" cy="29556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11</xdr:col>
      <xdr:colOff>548280</xdr:colOff>
      <xdr:row>5</xdr:row>
      <xdr:rowOff>28440</xdr:rowOff>
    </xdr:from>
    <xdr:to>
      <xdr:col>12</xdr:col>
      <xdr:colOff>100080</xdr:colOff>
      <xdr:row>6</xdr:row>
      <xdr:rowOff>152280</xdr:rowOff>
    </xdr:to>
    <xdr:sp>
      <xdr:nvSpPr>
        <xdr:cNvPr id="3" name="Freeform 6"/>
        <xdr:cNvSpPr/>
      </xdr:nvSpPr>
      <xdr:spPr>
        <a:xfrm>
          <a:off x="7750440" y="838080"/>
          <a:ext cx="190080" cy="285840"/>
        </a:xfrm>
        <a:custGeom>
          <a:avLst/>
          <a:gdLst/>
          <a:ahLst/>
          <a:rect l="l" t="t" r="r" b="b"/>
          <a:pathLst>
            <a:path w="19" h="30">
              <a:moveTo>
                <a:pt x="0" y="0"/>
              </a:moveTo>
              <a:cubicBezTo>
                <a:pt x="6" y="0"/>
                <a:pt x="13" y="0"/>
                <a:pt x="19" y="0"/>
              </a:cubicBezTo>
              <a:lnTo>
                <a:pt x="19" y="30"/>
              </a:lnTo>
            </a:path>
          </a:pathLst>
        </a:custGeom>
        <a:noFill/>
        <a:ln w="19080">
          <a:solidFill>
            <a:srgbClr val="000000"/>
          </a:solidFill>
          <a:round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11</xdr:col>
      <xdr:colOff>388800</xdr:colOff>
      <xdr:row>6</xdr:row>
      <xdr:rowOff>152280</xdr:rowOff>
    </xdr:from>
    <xdr:to>
      <xdr:col>12</xdr:col>
      <xdr:colOff>339480</xdr:colOff>
      <xdr:row>8</xdr:row>
      <xdr:rowOff>162000</xdr:rowOff>
    </xdr:to>
    <xdr:sp>
      <xdr:nvSpPr>
        <xdr:cNvPr id="4" name="Text 8"/>
        <xdr:cNvSpPr/>
      </xdr:nvSpPr>
      <xdr:spPr>
        <a:xfrm>
          <a:off x="7590960" y="1123920"/>
          <a:ext cx="588960" cy="3333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1000" strike="noStrike" u="none">
              <a:effectLst/>
              <a:uFillTx/>
              <a:latin typeface="Arial"/>
            </a:rPr>
            <a:t>200 MW</a:t>
          </a:r>
          <a:endParaRPr b="0" lang="en-US" sz="1000" strike="noStrike" u="none">
            <a:effectLst/>
            <a:uFillTx/>
            <a:latin typeface="Times New Roman"/>
          </a:endParaRPr>
        </a:p>
        <a:p>
          <a:r>
            <a:rPr b="1" lang="en-US" sz="1000" strike="noStrike" u="none">
              <a:effectLst/>
              <a:uFillTx/>
              <a:latin typeface="Arial"/>
            </a:rPr>
            <a:t>Load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7</xdr:col>
      <xdr:colOff>269280</xdr:colOff>
      <xdr:row>2</xdr:row>
      <xdr:rowOff>152280</xdr:rowOff>
    </xdr:from>
    <xdr:to>
      <xdr:col>7</xdr:col>
      <xdr:colOff>499320</xdr:colOff>
      <xdr:row>4</xdr:row>
      <xdr:rowOff>56880</xdr:rowOff>
    </xdr:to>
    <xdr:sp>
      <xdr:nvSpPr>
        <xdr:cNvPr id="5" name="Freeform 11"/>
        <xdr:cNvSpPr/>
      </xdr:nvSpPr>
      <xdr:spPr>
        <a:xfrm>
          <a:off x="4918680" y="476280"/>
          <a:ext cx="230040" cy="228240"/>
        </a:xfrm>
        <a:custGeom>
          <a:avLst/>
          <a:gdLst/>
          <a:ahLst/>
          <a:rect l="l" t="t" r="r" b="b"/>
          <a:pathLst>
            <a:path w="23" h="13">
              <a:moveTo>
                <a:pt x="1" y="0"/>
              </a:moveTo>
              <a:cubicBezTo>
                <a:pt x="0" y="5"/>
                <a:pt x="1" y="8"/>
                <a:pt x="1" y="13"/>
              </a:cubicBezTo>
              <a:lnTo>
                <a:pt x="23" y="13"/>
              </a:lnTo>
            </a:path>
          </a:pathLst>
        </a:custGeom>
        <a:noFill/>
        <a:ln w="19080">
          <a:solidFill>
            <a:srgbClr val="000000"/>
          </a:solidFill>
          <a:round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289080</xdr:colOff>
      <xdr:row>2</xdr:row>
      <xdr:rowOff>152280</xdr:rowOff>
    </xdr:from>
    <xdr:to>
      <xdr:col>9</xdr:col>
      <xdr:colOff>519120</xdr:colOff>
      <xdr:row>4</xdr:row>
      <xdr:rowOff>56880</xdr:rowOff>
    </xdr:to>
    <xdr:sp>
      <xdr:nvSpPr>
        <xdr:cNvPr id="6" name="Freeform 12"/>
        <xdr:cNvSpPr/>
      </xdr:nvSpPr>
      <xdr:spPr>
        <a:xfrm>
          <a:off x="6215040" y="476280"/>
          <a:ext cx="230040" cy="228240"/>
        </a:xfrm>
        <a:custGeom>
          <a:avLst/>
          <a:gdLst/>
          <a:ahLst/>
          <a:rect l="l" t="t" r="r" b="b"/>
          <a:pathLst>
            <a:path w="23" h="13">
              <a:moveTo>
                <a:pt x="1" y="0"/>
              </a:moveTo>
              <a:cubicBezTo>
                <a:pt x="0" y="5"/>
                <a:pt x="1" y="8"/>
                <a:pt x="1" y="13"/>
              </a:cubicBezTo>
              <a:lnTo>
                <a:pt x="23" y="13"/>
              </a:lnTo>
            </a:path>
          </a:pathLst>
        </a:custGeom>
        <a:noFill/>
        <a:ln w="19080">
          <a:solidFill>
            <a:srgbClr val="000000"/>
          </a:solidFill>
          <a:round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628200</xdr:colOff>
      <xdr:row>1</xdr:row>
      <xdr:rowOff>123840</xdr:rowOff>
    </xdr:from>
    <xdr:to>
      <xdr:col>7</xdr:col>
      <xdr:colOff>569160</xdr:colOff>
      <xdr:row>3</xdr:row>
      <xdr:rowOff>19080</xdr:rowOff>
    </xdr:to>
    <xdr:sp>
      <xdr:nvSpPr>
        <xdr:cNvPr id="7" name="Text 14"/>
        <xdr:cNvSpPr/>
      </xdr:nvSpPr>
      <xdr:spPr>
        <a:xfrm>
          <a:off x="4639320" y="285840"/>
          <a:ext cx="579240" cy="2188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1000" strike="noStrike" u="none">
              <a:effectLst/>
              <a:uFillTx/>
              <a:latin typeface="Arial"/>
            </a:rPr>
            <a:t>Gen 1A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8</xdr:col>
      <xdr:colOff>618120</xdr:colOff>
      <xdr:row>1</xdr:row>
      <xdr:rowOff>123840</xdr:rowOff>
    </xdr:from>
    <xdr:to>
      <xdr:col>9</xdr:col>
      <xdr:colOff>558720</xdr:colOff>
      <xdr:row>3</xdr:row>
      <xdr:rowOff>19080</xdr:rowOff>
    </xdr:to>
    <xdr:sp>
      <xdr:nvSpPr>
        <xdr:cNvPr id="8" name="Text 15"/>
        <xdr:cNvSpPr/>
      </xdr:nvSpPr>
      <xdr:spPr>
        <a:xfrm>
          <a:off x="5905800" y="285840"/>
          <a:ext cx="578880" cy="2188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1000" strike="noStrike" u="none">
              <a:effectLst/>
              <a:uFillTx/>
              <a:latin typeface="Arial"/>
            </a:rPr>
            <a:t>Gen 2A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10</xdr:col>
      <xdr:colOff>398880</xdr:colOff>
      <xdr:row>1</xdr:row>
      <xdr:rowOff>123840</xdr:rowOff>
    </xdr:from>
    <xdr:to>
      <xdr:col>11</xdr:col>
      <xdr:colOff>339840</xdr:colOff>
      <xdr:row>3</xdr:row>
      <xdr:rowOff>19080</xdr:rowOff>
    </xdr:to>
    <xdr:sp>
      <xdr:nvSpPr>
        <xdr:cNvPr id="9" name="Text 16"/>
        <xdr:cNvSpPr/>
      </xdr:nvSpPr>
      <xdr:spPr>
        <a:xfrm>
          <a:off x="6962760" y="285840"/>
          <a:ext cx="579240" cy="2188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1000" strike="noStrike" u="none">
              <a:effectLst/>
              <a:uFillTx/>
              <a:latin typeface="Arial"/>
            </a:rPr>
            <a:t>Gen 3A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11</xdr:col>
      <xdr:colOff>547560</xdr:colOff>
      <xdr:row>2</xdr:row>
      <xdr:rowOff>152280</xdr:rowOff>
    </xdr:from>
    <xdr:to>
      <xdr:col>12</xdr:col>
      <xdr:colOff>139320</xdr:colOff>
      <xdr:row>4</xdr:row>
      <xdr:rowOff>56880</xdr:rowOff>
    </xdr:to>
    <xdr:sp>
      <xdr:nvSpPr>
        <xdr:cNvPr id="10" name="Freeform 17"/>
        <xdr:cNvSpPr/>
      </xdr:nvSpPr>
      <xdr:spPr>
        <a:xfrm flipH="1">
          <a:off x="7749720" y="476280"/>
          <a:ext cx="230040" cy="228240"/>
        </a:xfrm>
        <a:custGeom>
          <a:avLst/>
          <a:gdLst/>
          <a:ahLst/>
          <a:rect l="l" t="t" r="r" b="b"/>
          <a:pathLst>
            <a:path w="23" h="13">
              <a:moveTo>
                <a:pt x="1" y="0"/>
              </a:moveTo>
              <a:cubicBezTo>
                <a:pt x="0" y="5"/>
                <a:pt x="1" y="8"/>
                <a:pt x="1" y="13"/>
              </a:cubicBezTo>
              <a:lnTo>
                <a:pt x="23" y="13"/>
              </a:lnTo>
            </a:path>
          </a:pathLst>
        </a:custGeom>
        <a:noFill/>
        <a:ln w="19080">
          <a:solidFill>
            <a:srgbClr val="000000"/>
          </a:solidFill>
          <a:round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11</xdr:col>
      <xdr:colOff>558360</xdr:colOff>
      <xdr:row>1</xdr:row>
      <xdr:rowOff>123840</xdr:rowOff>
    </xdr:from>
    <xdr:to>
      <xdr:col>12</xdr:col>
      <xdr:colOff>498960</xdr:colOff>
      <xdr:row>3</xdr:row>
      <xdr:rowOff>19080</xdr:rowOff>
    </xdr:to>
    <xdr:sp>
      <xdr:nvSpPr>
        <xdr:cNvPr id="11" name="Text 18"/>
        <xdr:cNvSpPr/>
      </xdr:nvSpPr>
      <xdr:spPr>
        <a:xfrm>
          <a:off x="7760520" y="285840"/>
          <a:ext cx="578880" cy="2188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1000" strike="noStrike" u="none">
              <a:effectLst/>
              <a:uFillTx/>
              <a:latin typeface="Arial"/>
            </a:rPr>
            <a:t>Gen 3B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11</xdr:col>
      <xdr:colOff>69840</xdr:colOff>
      <xdr:row>2</xdr:row>
      <xdr:rowOff>142920</xdr:rowOff>
    </xdr:from>
    <xdr:to>
      <xdr:col>11</xdr:col>
      <xdr:colOff>559080</xdr:colOff>
      <xdr:row>4</xdr:row>
      <xdr:rowOff>66600</xdr:rowOff>
    </xdr:to>
    <xdr:sp>
      <xdr:nvSpPr>
        <xdr:cNvPr id="12" name="Freeform 20"/>
        <xdr:cNvSpPr/>
      </xdr:nvSpPr>
      <xdr:spPr>
        <a:xfrm>
          <a:off x="7272000" y="466920"/>
          <a:ext cx="489240" cy="247320"/>
        </a:xfrm>
        <a:custGeom>
          <a:avLst/>
          <a:gdLst/>
          <a:ahLst/>
          <a:rect l="l" t="t" r="r" b="b"/>
          <a:pathLst>
            <a:path w="49" h="26">
              <a:moveTo>
                <a:pt x="0" y="0"/>
              </a:moveTo>
              <a:lnTo>
                <a:pt x="0" y="26"/>
              </a:lnTo>
              <a:lnTo>
                <a:pt x="49" y="26"/>
              </a:lnTo>
            </a:path>
          </a:pathLst>
        </a:custGeom>
        <a:noFill/>
        <a:ln w="19080">
          <a:solidFill>
            <a:srgbClr val="000000"/>
          </a:solidFill>
          <a:round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498600</xdr:colOff>
      <xdr:row>5</xdr:row>
      <xdr:rowOff>9360</xdr:rowOff>
    </xdr:from>
    <xdr:to>
      <xdr:col>9</xdr:col>
      <xdr:colOff>498960</xdr:colOff>
      <xdr:row>5</xdr:row>
      <xdr:rowOff>9360</xdr:rowOff>
    </xdr:to>
    <xdr:sp>
      <xdr:nvSpPr>
        <xdr:cNvPr id="13" name="Line 21"/>
        <xdr:cNvSpPr/>
      </xdr:nvSpPr>
      <xdr:spPr>
        <a:xfrm>
          <a:off x="5148000" y="819000"/>
          <a:ext cx="1276920" cy="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528480</xdr:colOff>
      <xdr:row>5</xdr:row>
      <xdr:rowOff>9360</xdr:rowOff>
    </xdr:from>
    <xdr:to>
      <xdr:col>11</xdr:col>
      <xdr:colOff>529200</xdr:colOff>
      <xdr:row>5</xdr:row>
      <xdr:rowOff>9360</xdr:rowOff>
    </xdr:to>
    <xdr:sp>
      <xdr:nvSpPr>
        <xdr:cNvPr id="14" name="Line 23"/>
        <xdr:cNvSpPr/>
      </xdr:nvSpPr>
      <xdr:spPr>
        <a:xfrm>
          <a:off x="6454440" y="819000"/>
          <a:ext cx="1276920" cy="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219240</xdr:colOff>
      <xdr:row>5</xdr:row>
      <xdr:rowOff>47520</xdr:rowOff>
    </xdr:from>
    <xdr:to>
      <xdr:col>9</xdr:col>
      <xdr:colOff>160200</xdr:colOff>
      <xdr:row>6</xdr:row>
      <xdr:rowOff>104760</xdr:rowOff>
    </xdr:to>
    <xdr:sp>
      <xdr:nvSpPr>
        <xdr:cNvPr id="15" name="Text 24"/>
        <xdr:cNvSpPr/>
      </xdr:nvSpPr>
      <xdr:spPr>
        <a:xfrm>
          <a:off x="5506920" y="857160"/>
          <a:ext cx="579240" cy="21924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1000" strike="noStrike" u="none">
              <a:effectLst/>
              <a:uFillTx/>
              <a:latin typeface="Arial"/>
            </a:rPr>
            <a:t>Flow12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10</xdr:col>
      <xdr:colOff>179640</xdr:colOff>
      <xdr:row>5</xdr:row>
      <xdr:rowOff>47520</xdr:rowOff>
    </xdr:from>
    <xdr:to>
      <xdr:col>11</xdr:col>
      <xdr:colOff>120240</xdr:colOff>
      <xdr:row>6</xdr:row>
      <xdr:rowOff>104760</xdr:rowOff>
    </xdr:to>
    <xdr:sp>
      <xdr:nvSpPr>
        <xdr:cNvPr id="16" name="Text 25"/>
        <xdr:cNvSpPr/>
      </xdr:nvSpPr>
      <xdr:spPr>
        <a:xfrm>
          <a:off x="6743520" y="857160"/>
          <a:ext cx="578880" cy="21924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1000" strike="noStrike" u="none">
              <a:effectLst/>
              <a:uFillTx/>
              <a:latin typeface="Arial"/>
            </a:rPr>
            <a:t>Flow23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12</xdr:col>
      <xdr:colOff>0</xdr:colOff>
      <xdr:row>0</xdr:row>
      <xdr:rowOff>123840</xdr:rowOff>
    </xdr:from>
    <xdr:to>
      <xdr:col>12</xdr:col>
      <xdr:colOff>578880</xdr:colOff>
      <xdr:row>2</xdr:row>
      <xdr:rowOff>18720</xdr:rowOff>
    </xdr:to>
    <xdr:sp>
      <xdr:nvSpPr>
        <xdr:cNvPr id="17" name="Text 26"/>
        <xdr:cNvSpPr/>
      </xdr:nvSpPr>
      <xdr:spPr>
        <a:xfrm>
          <a:off x="7840440" y="123840"/>
          <a:ext cx="578880" cy="2188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1000" strike="noStrike" u="none">
              <a:effectLst/>
              <a:uFillTx/>
              <a:latin typeface="Arial"/>
            </a:rPr>
            <a:t>$40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4</xdr:col>
      <xdr:colOff>221760</xdr:colOff>
      <xdr:row>18</xdr:row>
      <xdr:rowOff>114480</xdr:rowOff>
    </xdr:from>
    <xdr:to>
      <xdr:col>5</xdr:col>
      <xdr:colOff>61560</xdr:colOff>
      <xdr:row>22</xdr:row>
      <xdr:rowOff>86040</xdr:rowOff>
    </xdr:to>
    <xdr:sp>
      <xdr:nvSpPr>
        <xdr:cNvPr id="18" name="Oval 1"/>
        <xdr:cNvSpPr/>
      </xdr:nvSpPr>
      <xdr:spPr>
        <a:xfrm>
          <a:off x="1889280" y="3048120"/>
          <a:ext cx="493920" cy="619200"/>
        </a:xfrm>
        <a:prstGeom prst="ellipse">
          <a:avLst/>
        </a:prstGeom>
        <a:noFill/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50400</xdr:colOff>
      <xdr:row>21</xdr:row>
      <xdr:rowOff>28440</xdr:rowOff>
    </xdr:from>
    <xdr:to>
      <xdr:col>7</xdr:col>
      <xdr:colOff>578880</xdr:colOff>
      <xdr:row>22</xdr:row>
      <xdr:rowOff>86040</xdr:rowOff>
    </xdr:to>
    <xdr:sp>
      <xdr:nvSpPr>
        <xdr:cNvPr id="19" name="Line 2"/>
        <xdr:cNvSpPr/>
      </xdr:nvSpPr>
      <xdr:spPr>
        <a:xfrm>
          <a:off x="2372040" y="3448080"/>
          <a:ext cx="2218680" cy="21924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vmlDrawing" Target="../drawings/vmlDrawing1.v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N3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1.85"/>
    <col collapsed="false" customWidth="true" hidden="false" outlineLevel="0" max="3" min="3" style="0" width="8.85"/>
  </cols>
  <sheetData>
    <row r="2" customFormat="false" ht="12.75" hidden="false" customHeight="false" outlineLevel="0" collapsed="false">
      <c r="B2" s="1" t="s">
        <v>0</v>
      </c>
    </row>
    <row r="4" customFormat="false" ht="12.75" hidden="false" customHeight="false" outlineLevel="0" collapsed="false">
      <c r="B4" s="2" t="n">
        <v>1</v>
      </c>
      <c r="C4" s="0" t="s">
        <v>1</v>
      </c>
      <c r="D4" s="0" t="s">
        <v>2</v>
      </c>
    </row>
    <row r="5" customFormat="false" ht="12.75" hidden="false" customHeight="false" outlineLevel="0" collapsed="false">
      <c r="B5" s="2" t="n">
        <v>2000</v>
      </c>
      <c r="C5" s="0" t="s">
        <v>3</v>
      </c>
      <c r="D5" s="0" t="s">
        <v>4</v>
      </c>
    </row>
    <row r="6" customFormat="false" ht="12.75" hidden="false" customHeight="false" outlineLevel="0" collapsed="false">
      <c r="B6" s="2" t="n">
        <v>2600</v>
      </c>
      <c r="C6" s="0" t="s">
        <v>5</v>
      </c>
      <c r="D6" s="1" t="s">
        <v>6</v>
      </c>
    </row>
    <row r="7" customFormat="false" ht="12.75" hidden="false" customHeight="false" outlineLevel="0" collapsed="false">
      <c r="B7" s="2" t="n">
        <v>3000</v>
      </c>
      <c r="C7" s="0" t="s">
        <v>7</v>
      </c>
      <c r="D7" s="1" t="s">
        <v>6</v>
      </c>
    </row>
    <row r="8" customFormat="false" ht="12.75" hidden="false" customHeight="false" outlineLevel="0" collapsed="false">
      <c r="B8" s="2" t="n">
        <v>20</v>
      </c>
      <c r="C8" s="0" t="s">
        <v>8</v>
      </c>
      <c r="D8" s="0" t="s">
        <v>9</v>
      </c>
    </row>
    <row r="9" customFormat="false" ht="12.75" hidden="false" customHeight="false" outlineLevel="0" collapsed="false">
      <c r="B9" s="2" t="n">
        <v>40</v>
      </c>
      <c r="C9" s="0" t="s">
        <v>10</v>
      </c>
      <c r="D9" s="1" t="s">
        <v>6</v>
      </c>
    </row>
    <row r="10" customFormat="false" ht="12.75" hidden="false" customHeight="false" outlineLevel="0" collapsed="false">
      <c r="B10" s="2" t="n">
        <v>200</v>
      </c>
      <c r="C10" s="0" t="s">
        <v>11</v>
      </c>
      <c r="D10" s="0" t="s">
        <v>12</v>
      </c>
    </row>
    <row r="11" customFormat="false" ht="12.75" hidden="false" customHeight="false" outlineLevel="0" collapsed="false">
      <c r="B11" s="2" t="n">
        <v>200</v>
      </c>
      <c r="C11" s="0" t="s">
        <v>13</v>
      </c>
      <c r="D11" s="0" t="s">
        <v>14</v>
      </c>
    </row>
    <row r="12" customFormat="false" ht="12.75" hidden="false" customHeight="false" outlineLevel="0" collapsed="false">
      <c r="B12" s="2" t="n">
        <v>0.00025</v>
      </c>
      <c r="C12" s="0" t="s">
        <v>15</v>
      </c>
      <c r="D12" s="0" t="s">
        <v>16</v>
      </c>
    </row>
    <row r="13" customFormat="false" ht="12.75" hidden="false" customHeight="false" outlineLevel="0" collapsed="false">
      <c r="B13" s="3" t="n">
        <f aca="false">(StUp1+MCA*Cap)/Cap</f>
        <v>30</v>
      </c>
      <c r="C13" s="0" t="s">
        <v>17</v>
      </c>
      <c r="D13" s="0" t="s">
        <v>18</v>
      </c>
    </row>
    <row r="14" customFormat="false" ht="12.75" hidden="false" customHeight="false" outlineLevel="0" collapsed="false">
      <c r="B14" s="3" t="n">
        <f aca="false">(StUp2+MCA*Cap)/Cap</f>
        <v>33</v>
      </c>
      <c r="C14" s="0" t="s">
        <v>19</v>
      </c>
      <c r="D14" s="1" t="s">
        <v>6</v>
      </c>
    </row>
    <row r="15" customFormat="false" ht="12.75" hidden="false" customHeight="false" outlineLevel="0" collapsed="false">
      <c r="B15" s="3" t="n">
        <f aca="false">(StUp3+MCA*Cap)/Cap</f>
        <v>35</v>
      </c>
      <c r="C15" s="0" t="s">
        <v>20</v>
      </c>
      <c r="D15" s="1" t="s">
        <v>6</v>
      </c>
    </row>
    <row r="16" customFormat="false" ht="12.75" hidden="false" customHeight="false" outlineLevel="0" collapsed="false">
      <c r="K16" s="4"/>
    </row>
    <row r="17" customFormat="false" ht="12.75" hidden="false" customHeight="false" outlineLevel="0" collapsed="false">
      <c r="A17" s="4"/>
      <c r="B17" s="5" t="s">
        <v>21</v>
      </c>
      <c r="C17" s="6" t="n">
        <f aca="false">Reps</f>
        <v>1</v>
      </c>
      <c r="D17" s="4" t="n">
        <v>1</v>
      </c>
      <c r="E17" s="4" t="n">
        <v>2</v>
      </c>
      <c r="F17" s="4" t="n">
        <v>3</v>
      </c>
      <c r="G17" s="7" t="n">
        <v>4</v>
      </c>
      <c r="H17" s="4" t="n">
        <v>5</v>
      </c>
      <c r="I17" s="4" t="n">
        <v>6</v>
      </c>
      <c r="J17" s="4" t="n">
        <v>50</v>
      </c>
      <c r="K17" s="4" t="n">
        <v>51</v>
      </c>
      <c r="L17" s="4" t="n">
        <v>100</v>
      </c>
      <c r="M17" s="4" t="n">
        <v>101</v>
      </c>
      <c r="N17" s="4" t="n">
        <v>102</v>
      </c>
    </row>
    <row r="18" customFormat="false" ht="12.75" hidden="false" customHeight="false" outlineLevel="0" collapsed="false">
      <c r="A18" s="4"/>
      <c r="B18" s="5" t="s">
        <v>22</v>
      </c>
      <c r="C18" s="6" t="n">
        <f aca="false">Optimal!K14</f>
        <v>13000.0000000002</v>
      </c>
      <c r="D18" s="4" t="n">
        <v>6727.64877373764</v>
      </c>
      <c r="E18" s="4" t="n">
        <v>13381.0063861232</v>
      </c>
      <c r="F18" s="4" t="n">
        <v>20000.2442599736</v>
      </c>
      <c r="G18" s="7" t="n">
        <v>26674.928304154</v>
      </c>
      <c r="H18" s="4" t="n">
        <v>33358.7627117408</v>
      </c>
      <c r="I18" s="4" t="n">
        <v>40000.4885199473</v>
      </c>
      <c r="J18" s="4" t="n">
        <v>330831.938270782</v>
      </c>
      <c r="K18" s="4" t="n">
        <v>337414.985422055</v>
      </c>
      <c r="L18" s="4" t="n">
        <v>661663.876541562</v>
      </c>
      <c r="M18" s="4" t="n">
        <v>668126.576597294</v>
      </c>
      <c r="N18" s="4" t="n">
        <v>674818.904439662</v>
      </c>
    </row>
    <row r="19" customFormat="false" ht="12.75" hidden="false" customHeight="false" outlineLevel="0" collapsed="false">
      <c r="A19" s="4"/>
      <c r="B19" s="5" t="s">
        <v>23</v>
      </c>
      <c r="C19" s="6" t="n">
        <f aca="false">Competitive!M15</f>
        <v>9142.66802979165</v>
      </c>
      <c r="D19" s="4" t="n">
        <v>9142.66802979266</v>
      </c>
      <c r="E19" s="4" t="n">
        <v>15285.336059585</v>
      </c>
      <c r="F19" s="4" t="n">
        <v>21571.6109035385</v>
      </c>
      <c r="G19" s="7" t="n">
        <v>30570.6721191704</v>
      </c>
      <c r="H19" s="4" t="n">
        <v>36766.1525897354</v>
      </c>
      <c r="I19" s="4" t="n">
        <v>41424.8626150539</v>
      </c>
      <c r="J19" s="4" t="n">
        <v>332873.85512545</v>
      </c>
      <c r="K19" s="4" t="n">
        <v>340111.332227959</v>
      </c>
      <c r="L19" s="4" t="n">
        <v>663747.710250899</v>
      </c>
      <c r="M19" s="4" t="n">
        <v>670985.187353408</v>
      </c>
      <c r="N19" s="4" t="n">
        <v>677222.664455917</v>
      </c>
    </row>
    <row r="20" customFormat="false" ht="12.75" hidden="false" customHeight="false" outlineLevel="0" collapsed="false">
      <c r="A20" s="4"/>
      <c r="B20" s="5" t="s">
        <v>24</v>
      </c>
      <c r="C20" s="6" t="n">
        <f aca="false">Competitive!M16</f>
        <v>13000</v>
      </c>
      <c r="D20" s="4" t="n">
        <v>13000</v>
      </c>
      <c r="E20" s="4" t="n">
        <v>19000</v>
      </c>
      <c r="F20" s="4" t="n">
        <v>25000</v>
      </c>
      <c r="G20" s="7" t="n">
        <v>38000</v>
      </c>
      <c r="H20" s="4" t="n">
        <v>44000</v>
      </c>
      <c r="I20" s="4" t="n">
        <v>44000</v>
      </c>
      <c r="J20" s="4" t="n">
        <v>337000</v>
      </c>
      <c r="K20" s="4" t="n">
        <v>344000</v>
      </c>
      <c r="L20" s="4" t="n">
        <v>668000</v>
      </c>
      <c r="M20" s="4" t="n">
        <v>675000</v>
      </c>
      <c r="N20" s="4" t="n">
        <v>681000</v>
      </c>
    </row>
    <row r="21" customFormat="false" ht="12.75" hidden="false" customHeight="false" outlineLevel="0" collapsed="false">
      <c r="A21" s="8"/>
      <c r="B21" s="9" t="s">
        <v>25</v>
      </c>
      <c r="C21" s="10" t="n">
        <f aca="false">(C19-C18)/C18</f>
        <v>-0.296717843862193</v>
      </c>
      <c r="D21" s="8" t="n">
        <v>0.358969282921308</v>
      </c>
      <c r="E21" s="8" t="n">
        <v>0.14231587808199</v>
      </c>
      <c r="F21" s="8" t="n">
        <v>0.0785673726350227</v>
      </c>
      <c r="G21" s="8" t="n">
        <v>0.146045146610934</v>
      </c>
      <c r="H21" s="8" t="n">
        <v>0.102143772760354</v>
      </c>
      <c r="I21" s="8" t="n">
        <v>0.0356089174860032</v>
      </c>
      <c r="J21" s="8" t="n">
        <v>0.00617206689698961</v>
      </c>
      <c r="K21" s="8" t="n">
        <v>0.00799118866203008</v>
      </c>
      <c r="L21" s="8" t="n">
        <v>0.00314938412571198</v>
      </c>
      <c r="M21" s="8" t="n">
        <v>0.0042785466949586</v>
      </c>
      <c r="N21" s="8" t="n">
        <v>0.00356208161988462</v>
      </c>
    </row>
    <row r="22" customFormat="false" ht="12.75" hidden="false" customHeight="false" outlineLevel="0" collapsed="false">
      <c r="A22" s="8"/>
      <c r="B22" s="9" t="s">
        <v>26</v>
      </c>
      <c r="C22" s="10" t="n">
        <f aca="false">(C20-C18)/C20</f>
        <v>-1.65108268937239E-014</v>
      </c>
      <c r="D22" s="8" t="n">
        <v>0.482488555866335</v>
      </c>
      <c r="E22" s="8" t="n">
        <v>0.295736505993516</v>
      </c>
      <c r="F22" s="8" t="n">
        <v>0.199990229601054</v>
      </c>
      <c r="G22" s="8" t="n">
        <v>0.298028202522262</v>
      </c>
      <c r="H22" s="8" t="n">
        <v>0.241846302005891</v>
      </c>
      <c r="I22" s="8" t="n">
        <v>0.0908979881830159</v>
      </c>
      <c r="J22" s="8" t="n">
        <v>0.0183028537959003</v>
      </c>
      <c r="K22" s="8" t="n">
        <v>0.0191424842382127</v>
      </c>
      <c r="L22" s="8" t="n">
        <v>0.0094852147581405</v>
      </c>
      <c r="M22" s="8" t="n">
        <v>0.0101828494854904</v>
      </c>
      <c r="N22" s="8" t="n">
        <v>0.00907649862017327</v>
      </c>
    </row>
    <row r="23" customFormat="false" ht="12.75" hidden="false" customHeight="false" outlineLevel="0" collapsed="false">
      <c r="A23" s="8"/>
      <c r="B23" s="9"/>
      <c r="C23" s="10"/>
    </row>
    <row r="24" customFormat="false" ht="12.75" hidden="false" customHeight="false" outlineLevel="0" collapsed="false">
      <c r="A24" s="11" t="s">
        <v>27</v>
      </c>
      <c r="B24" s="12" t="s">
        <v>28</v>
      </c>
      <c r="C24" s="13" t="n">
        <f aca="false">Price1</f>
        <v>31.0587980633413</v>
      </c>
      <c r="D24" s="14" t="n">
        <v>31.0587980633278</v>
      </c>
      <c r="E24" s="14" t="n">
        <v>31.0587980633297</v>
      </c>
      <c r="F24" s="14" t="n">
        <v>30.486337262723</v>
      </c>
      <c r="G24" s="15" t="n">
        <v>31.0587980633287</v>
      </c>
      <c r="H24" s="14" t="n">
        <v>30.9241370307951</v>
      </c>
      <c r="I24" s="14" t="n">
        <v>30</v>
      </c>
      <c r="J24" s="14" t="n">
        <v>30</v>
      </c>
      <c r="K24" s="14" t="n">
        <v>30</v>
      </c>
      <c r="L24" s="14" t="n">
        <v>30</v>
      </c>
      <c r="M24" s="14" t="n">
        <v>30</v>
      </c>
      <c r="N24" s="14" t="n">
        <v>30</v>
      </c>
    </row>
    <row r="25" customFormat="false" ht="12.75" hidden="false" customHeight="false" outlineLevel="0" collapsed="false">
      <c r="A25" s="11" t="s">
        <v>29</v>
      </c>
      <c r="B25" s="12" t="s">
        <v>30</v>
      </c>
      <c r="C25" s="13" t="n">
        <f aca="false">Price2</f>
        <v>33.0000000000062</v>
      </c>
      <c r="D25" s="14" t="n">
        <v>33</v>
      </c>
      <c r="E25" s="14" t="n">
        <v>33</v>
      </c>
      <c r="F25" s="14" t="n">
        <v>32.7042689615926</v>
      </c>
      <c r="G25" s="15" t="n">
        <v>33</v>
      </c>
      <c r="H25" s="14" t="n">
        <v>32.9305614391597</v>
      </c>
      <c r="I25" s="14" t="n">
        <v>32.4519053898209</v>
      </c>
      <c r="J25" s="14" t="n">
        <v>32.4519053898221</v>
      </c>
      <c r="K25" s="14" t="n">
        <v>32.4519053898221</v>
      </c>
      <c r="L25" s="14" t="n">
        <v>32.4519053898221</v>
      </c>
      <c r="M25" s="14" t="n">
        <v>32.4519053898221</v>
      </c>
      <c r="N25" s="14" t="n">
        <v>32.4519053898221</v>
      </c>
    </row>
    <row r="26" customFormat="false" ht="12.75" hidden="false" customHeight="false" outlineLevel="0" collapsed="false">
      <c r="A26" s="14"/>
      <c r="B26" s="12" t="s">
        <v>31</v>
      </c>
      <c r="C26" s="13" t="n">
        <f aca="false">Price3</f>
        <v>35.0000000000003</v>
      </c>
      <c r="D26" s="14" t="n">
        <v>35</v>
      </c>
      <c r="E26" s="14" t="n">
        <v>35</v>
      </c>
      <c r="F26" s="14" t="n">
        <v>35</v>
      </c>
      <c r="G26" s="15" t="n">
        <v>35</v>
      </c>
      <c r="H26" s="14" t="n">
        <v>35</v>
      </c>
      <c r="I26" s="14" t="n">
        <v>35</v>
      </c>
      <c r="J26" s="14" t="n">
        <v>35</v>
      </c>
      <c r="K26" s="14" t="n">
        <v>35</v>
      </c>
      <c r="L26" s="14" t="n">
        <v>35</v>
      </c>
      <c r="M26" s="14" t="n">
        <v>35</v>
      </c>
      <c r="N26" s="14" t="n">
        <v>35</v>
      </c>
    </row>
    <row r="27" customFormat="false" ht="12.75" hidden="false" customHeight="false" outlineLevel="0" collapsed="false">
      <c r="A27" s="4"/>
      <c r="B27" s="5" t="s">
        <v>32</v>
      </c>
      <c r="C27" s="6" t="n">
        <f aca="false">A1on</f>
        <v>1</v>
      </c>
      <c r="D27" s="4" t="n">
        <v>1</v>
      </c>
      <c r="E27" s="4" t="n">
        <v>2</v>
      </c>
      <c r="F27" s="4" t="n">
        <v>3</v>
      </c>
      <c r="G27" s="7" t="n">
        <v>4</v>
      </c>
      <c r="H27" s="4" t="n">
        <v>5</v>
      </c>
      <c r="I27" s="4" t="n">
        <v>5</v>
      </c>
      <c r="J27" s="4" t="n">
        <v>41</v>
      </c>
      <c r="K27" s="4" t="n">
        <v>41</v>
      </c>
      <c r="L27" s="4" t="n">
        <v>81</v>
      </c>
      <c r="M27" s="4" t="n">
        <v>81</v>
      </c>
      <c r="N27" s="4" t="n">
        <v>82</v>
      </c>
    </row>
    <row r="28" customFormat="false" ht="12.75" hidden="false" customHeight="false" outlineLevel="0" collapsed="false">
      <c r="A28" s="4"/>
      <c r="B28" s="5" t="s">
        <v>33</v>
      </c>
      <c r="C28" s="6" t="n">
        <f aca="false">A2on</f>
        <v>0</v>
      </c>
      <c r="D28" s="4" t="n">
        <v>0</v>
      </c>
      <c r="E28" s="4" t="n">
        <v>0</v>
      </c>
      <c r="F28" s="4" t="n">
        <v>0</v>
      </c>
      <c r="G28" s="7" t="n">
        <v>0</v>
      </c>
      <c r="H28" s="4" t="n">
        <v>0</v>
      </c>
      <c r="I28" s="4" t="n">
        <v>0</v>
      </c>
      <c r="J28" s="4" t="n">
        <v>0</v>
      </c>
      <c r="K28" s="4" t="n">
        <v>0</v>
      </c>
      <c r="L28" s="4" t="n">
        <v>0</v>
      </c>
      <c r="M28" s="4" t="n">
        <v>0</v>
      </c>
      <c r="N28" s="4" t="n">
        <v>0</v>
      </c>
    </row>
    <row r="29" customFormat="false" ht="12.75" hidden="false" customHeight="false" outlineLevel="0" collapsed="false">
      <c r="A29" s="4"/>
      <c r="B29" s="5" t="s">
        <v>34</v>
      </c>
      <c r="C29" s="6" t="n">
        <f aca="false">A3on</f>
        <v>1</v>
      </c>
      <c r="D29" s="4" t="n">
        <v>1</v>
      </c>
      <c r="E29" s="4" t="n">
        <v>1</v>
      </c>
      <c r="F29" s="4" t="n">
        <v>1</v>
      </c>
      <c r="G29" s="7" t="n">
        <v>2</v>
      </c>
      <c r="H29" s="4" t="n">
        <v>2</v>
      </c>
      <c r="I29" s="4" t="n">
        <v>2</v>
      </c>
      <c r="J29" s="4" t="n">
        <v>13</v>
      </c>
      <c r="K29" s="4" t="n">
        <v>14</v>
      </c>
      <c r="L29" s="4" t="n">
        <v>26</v>
      </c>
      <c r="M29" s="4" t="n">
        <v>27</v>
      </c>
      <c r="N29" s="4" t="n">
        <v>27</v>
      </c>
    </row>
    <row r="30" customFormat="false" ht="12.75" hidden="false" customHeight="false" outlineLevel="0" collapsed="false">
      <c r="A30" s="16"/>
      <c r="B30" s="17" t="s">
        <v>35</v>
      </c>
      <c r="C30" s="18" t="n">
        <f aca="false">Gen3B</f>
        <v>0</v>
      </c>
      <c r="D30" s="16" t="n">
        <v>0</v>
      </c>
      <c r="E30" s="16" t="n">
        <v>0</v>
      </c>
      <c r="F30" s="16" t="n">
        <v>0</v>
      </c>
      <c r="G30" s="19" t="n">
        <v>0</v>
      </c>
      <c r="H30" s="16" t="n">
        <v>0</v>
      </c>
      <c r="I30" s="16" t="n">
        <v>0</v>
      </c>
      <c r="J30" s="16" t="n">
        <v>0</v>
      </c>
      <c r="K30" s="16" t="n">
        <v>0</v>
      </c>
      <c r="L30" s="16" t="n">
        <v>0</v>
      </c>
      <c r="M30" s="16" t="n">
        <v>0</v>
      </c>
      <c r="N30" s="16" t="n">
        <v>0</v>
      </c>
    </row>
    <row r="31" customFormat="false" ht="12.75" hidden="false" customHeight="false" outlineLevel="0" collapsed="false">
      <c r="A31" s="20" t="s">
        <v>36</v>
      </c>
      <c r="B31" s="21" t="s">
        <v>32</v>
      </c>
      <c r="C31" s="6" t="n">
        <f aca="false">G1Aon</f>
        <v>1</v>
      </c>
      <c r="D31" s="4" t="n">
        <v>1</v>
      </c>
      <c r="E31" s="4" t="n">
        <v>1</v>
      </c>
      <c r="F31" s="4" t="n">
        <v>2</v>
      </c>
      <c r="G31" s="7" t="n">
        <v>3</v>
      </c>
      <c r="H31" s="4" t="n">
        <v>3</v>
      </c>
      <c r="I31" s="4" t="n">
        <v>4</v>
      </c>
      <c r="J31" s="4" t="n">
        <v>40</v>
      </c>
      <c r="K31" s="4" t="n">
        <v>41</v>
      </c>
      <c r="L31" s="4" t="n">
        <v>80</v>
      </c>
      <c r="M31" s="4" t="n">
        <v>81</v>
      </c>
      <c r="N31" s="4" t="n">
        <v>81</v>
      </c>
    </row>
    <row r="32" customFormat="false" ht="12.75" hidden="false" customHeight="false" outlineLevel="0" collapsed="false">
      <c r="B32" s="21" t="s">
        <v>33</v>
      </c>
      <c r="C32" s="6" t="n">
        <f aca="false">G2Aon</f>
        <v>3.24179519357856E-014</v>
      </c>
      <c r="D32" s="0" t="n">
        <v>0</v>
      </c>
      <c r="E32" s="0" t="n">
        <v>0</v>
      </c>
      <c r="F32" s="0" t="n">
        <v>0</v>
      </c>
      <c r="G32" s="7" t="n">
        <v>0</v>
      </c>
      <c r="H32" s="0" t="n">
        <v>0</v>
      </c>
      <c r="I32" s="0" t="n">
        <v>0</v>
      </c>
      <c r="J32" s="0" t="n">
        <v>0</v>
      </c>
      <c r="K32" s="0" t="n">
        <v>0</v>
      </c>
      <c r="L32" s="4" t="n">
        <v>0</v>
      </c>
      <c r="M32" s="0" t="n">
        <v>0</v>
      </c>
      <c r="N32" s="0" t="n">
        <v>0</v>
      </c>
    </row>
    <row r="33" customFormat="false" ht="12.75" hidden="false" customHeight="false" outlineLevel="0" collapsed="false">
      <c r="B33" s="21" t="s">
        <v>34</v>
      </c>
      <c r="C33" s="6" t="n">
        <f aca="false">G3Aon</f>
        <v>1</v>
      </c>
      <c r="D33" s="0" t="n">
        <v>0</v>
      </c>
      <c r="E33" s="0" t="n">
        <v>1</v>
      </c>
      <c r="F33" s="0" t="n">
        <v>1</v>
      </c>
      <c r="G33" s="7" t="n">
        <v>1</v>
      </c>
      <c r="H33" s="0" t="n">
        <v>2</v>
      </c>
      <c r="I33" s="0" t="n">
        <v>2</v>
      </c>
      <c r="J33" s="0" t="n">
        <v>13</v>
      </c>
      <c r="K33" s="0" t="n">
        <v>13</v>
      </c>
      <c r="L33" s="0" t="n">
        <v>26</v>
      </c>
      <c r="M33" s="0" t="n">
        <v>26</v>
      </c>
      <c r="N33" s="0" t="n">
        <v>27</v>
      </c>
    </row>
    <row r="34" customFormat="false" ht="12.75" hidden="false" customHeight="false" outlineLevel="0" collapsed="false">
      <c r="A34" s="4"/>
      <c r="B34" s="22" t="s">
        <v>35</v>
      </c>
      <c r="C34" s="6" t="n">
        <f aca="false">G3B</f>
        <v>0</v>
      </c>
      <c r="D34" s="4" t="n">
        <v>18.1912193434411</v>
      </c>
      <c r="E34" s="4" t="n">
        <v>9.52515965307989</v>
      </c>
      <c r="F34" s="4" t="n">
        <v>25.0061064993412</v>
      </c>
      <c r="G34" s="7" t="n">
        <v>41.8732076038508</v>
      </c>
      <c r="H34" s="22" t="n">
        <v>33.96906779352</v>
      </c>
      <c r="I34" s="4" t="n">
        <v>50.0122129986824</v>
      </c>
      <c r="J34" s="4" t="n">
        <v>0</v>
      </c>
      <c r="K34" s="4" t="n">
        <v>10.3746355513706</v>
      </c>
      <c r="L34" s="4" t="n">
        <v>0</v>
      </c>
      <c r="M34" s="4" t="n">
        <v>3.16441493235317</v>
      </c>
      <c r="N34" s="4" t="n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C3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>
    <row r="1" customFormat="false" ht="12.75" hidden="false" customHeight="false" outlineLevel="0" collapsed="false">
      <c r="B1" s="1" t="s">
        <v>37</v>
      </c>
    </row>
    <row r="3" customFormat="false" ht="12.75" hidden="false" customHeight="false" outlineLevel="0" collapsed="false">
      <c r="B3" s="0" t="s">
        <v>38</v>
      </c>
    </row>
    <row r="4" customFormat="false" ht="12.75" hidden="false" customHeight="false" outlineLevel="0" collapsed="false">
      <c r="B4" s="0" t="s">
        <v>39</v>
      </c>
    </row>
    <row r="5" customFormat="false" ht="12.75" hidden="false" customHeight="false" outlineLevel="0" collapsed="false">
      <c r="B5" s="0" t="s">
        <v>40</v>
      </c>
    </row>
    <row r="6" customFormat="false" ht="12.75" hidden="false" customHeight="false" outlineLevel="0" collapsed="false">
      <c r="B6" s="0" t="s">
        <v>41</v>
      </c>
    </row>
    <row r="8" customFormat="false" ht="12.75" hidden="false" customHeight="false" outlineLevel="0" collapsed="false">
      <c r="B8" s="0" t="s">
        <v>42</v>
      </c>
    </row>
    <row r="9" customFormat="false" ht="12.75" hidden="false" customHeight="false" outlineLevel="0" collapsed="false">
      <c r="B9" s="0" t="s">
        <v>43</v>
      </c>
    </row>
    <row r="10" customFormat="false" ht="12.75" hidden="false" customHeight="false" outlineLevel="0" collapsed="false">
      <c r="B10" s="0" t="s">
        <v>44</v>
      </c>
    </row>
    <row r="12" customFormat="false" ht="12.75" hidden="false" customHeight="false" outlineLevel="0" collapsed="false">
      <c r="B12" s="0" t="s">
        <v>45</v>
      </c>
    </row>
    <row r="13" customFormat="false" ht="12.75" hidden="false" customHeight="false" outlineLevel="0" collapsed="false">
      <c r="B13" s="0" t="s">
        <v>46</v>
      </c>
    </row>
    <row r="14" customFormat="false" ht="12.75" hidden="false" customHeight="false" outlineLevel="0" collapsed="false">
      <c r="B14" s="0" t="s">
        <v>47</v>
      </c>
    </row>
    <row r="15" customFormat="false" ht="12.75" hidden="false" customHeight="false" outlineLevel="0" collapsed="false">
      <c r="B15" s="0" t="s">
        <v>48</v>
      </c>
    </row>
    <row r="16" customFormat="false" ht="12.75" hidden="false" customHeight="false" outlineLevel="0" collapsed="false">
      <c r="B16" s="0" t="s">
        <v>49</v>
      </c>
    </row>
    <row r="17" customFormat="false" ht="12.75" hidden="false" customHeight="false" outlineLevel="0" collapsed="false">
      <c r="B17" s="0" t="s">
        <v>50</v>
      </c>
    </row>
    <row r="18" customFormat="false" ht="12.75" hidden="false" customHeight="false" outlineLevel="0" collapsed="false">
      <c r="C18" s="0" t="s">
        <v>51</v>
      </c>
    </row>
    <row r="19" customFormat="false" ht="12.75" hidden="false" customHeight="false" outlineLevel="0" collapsed="false">
      <c r="C19" s="0" t="s">
        <v>52</v>
      </c>
    </row>
    <row r="20" customFormat="false" ht="12.75" hidden="false" customHeight="false" outlineLevel="0" collapsed="false">
      <c r="C20" s="0" t="s">
        <v>53</v>
      </c>
    </row>
    <row r="21" customFormat="false" ht="12.75" hidden="false" customHeight="false" outlineLevel="0" collapsed="false">
      <c r="C21" s="0" t="s">
        <v>54</v>
      </c>
    </row>
    <row r="22" customFormat="false" ht="12.75" hidden="false" customHeight="false" outlineLevel="0" collapsed="false">
      <c r="C22" s="0" t="s">
        <v>55</v>
      </c>
    </row>
    <row r="23" customFormat="false" ht="12.75" hidden="false" customHeight="false" outlineLevel="0" collapsed="false">
      <c r="C23" s="0" t="s">
        <v>56</v>
      </c>
    </row>
    <row r="25" customFormat="false" ht="12.75" hidden="false" customHeight="false" outlineLevel="0" collapsed="false">
      <c r="B25" s="0" t="s">
        <v>57</v>
      </c>
    </row>
    <row r="26" customFormat="false" ht="12.75" hidden="false" customHeight="false" outlineLevel="0" collapsed="false">
      <c r="C26" s="0" t="s">
        <v>58</v>
      </c>
    </row>
    <row r="27" customFormat="false" ht="12.75" hidden="false" customHeight="false" outlineLevel="0" collapsed="false">
      <c r="C27" s="0" t="s">
        <v>59</v>
      </c>
    </row>
    <row r="28" customFormat="false" ht="12.75" hidden="false" customHeight="false" outlineLevel="0" collapsed="false">
      <c r="C28" s="0" t="s">
        <v>60</v>
      </c>
    </row>
    <row r="29" customFormat="false" ht="12.75" hidden="false" customHeight="false" outlineLevel="0" collapsed="false">
      <c r="C29" s="0" t="s">
        <v>61</v>
      </c>
    </row>
    <row r="30" customFormat="false" ht="12.75" hidden="false" customHeight="false" outlineLevel="0" collapsed="false">
      <c r="C30" s="0" t="s">
        <v>62</v>
      </c>
    </row>
    <row r="31" customFormat="false" ht="12.75" hidden="false" customHeight="false" outlineLevel="0" collapsed="false">
      <c r="B31" s="0" t="s">
        <v>63</v>
      </c>
    </row>
    <row r="32" customFormat="false" ht="12.75" hidden="false" customHeight="false" outlineLevel="0" collapsed="false">
      <c r="C32" s="0" t="s">
        <v>64</v>
      </c>
    </row>
    <row r="33" customFormat="false" ht="12.75" hidden="false" customHeight="false" outlineLevel="0" collapsed="false">
      <c r="C33" s="0" t="s">
        <v>65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L3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J23" activeCellId="0" sqref="J2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.42"/>
    <col collapsed="false" customWidth="true" hidden="false" outlineLevel="0" max="3" min="3" style="0" width="2.7"/>
    <col collapsed="false" customWidth="true" hidden="false" outlineLevel="0" max="5" min="5" style="0" width="9.56"/>
    <col collapsed="false" customWidth="true" hidden="false" outlineLevel="0" max="6" min="6" style="0" width="15.85"/>
    <col collapsed="false" customWidth="true" hidden="false" outlineLevel="0" max="8" min="8" style="0" width="9.99"/>
    <col collapsed="false" customWidth="true" hidden="false" outlineLevel="0" max="9" min="9" style="0" width="8.41"/>
  </cols>
  <sheetData>
    <row r="1" customFormat="false" ht="12.75" hidden="false" customHeight="false" outlineLevel="0" collapsed="false">
      <c r="G1" s="0" t="n">
        <f aca="false">Reps</f>
        <v>1</v>
      </c>
      <c r="H1" s="0" t="s">
        <v>1</v>
      </c>
    </row>
    <row r="2" customFormat="false" ht="12.75" hidden="false" customHeight="false" outlineLevel="0" collapsed="false">
      <c r="D2" s="1" t="s">
        <v>66</v>
      </c>
      <c r="G2" s="0" t="n">
        <f aca="false">G1</f>
        <v>1</v>
      </c>
      <c r="H2" s="0" t="s">
        <v>67</v>
      </c>
    </row>
    <row r="3" customFormat="false" ht="13.5" hidden="false" customHeight="false" outlineLevel="0" collapsed="false">
      <c r="G3" s="23" t="n">
        <f aca="false">ohm/Reps_opt</f>
        <v>0.00025</v>
      </c>
      <c r="H3" s="0" t="s">
        <v>68</v>
      </c>
      <c r="I3" s="0" t="s">
        <v>69</v>
      </c>
    </row>
    <row r="4" customFormat="false" ht="12.75" hidden="false" customHeight="false" outlineLevel="0" collapsed="false">
      <c r="E4" s="24" t="s">
        <v>70</v>
      </c>
      <c r="F4" s="25" t="s">
        <v>71</v>
      </c>
    </row>
    <row r="5" customFormat="false" ht="12.75" hidden="false" customHeight="false" outlineLevel="0" collapsed="false">
      <c r="B5" s="26" t="s">
        <v>72</v>
      </c>
      <c r="D5" s="0" t="s">
        <v>73</v>
      </c>
      <c r="E5" s="27" t="n">
        <v>121.213759567903</v>
      </c>
      <c r="F5" s="28" t="s">
        <v>74</v>
      </c>
      <c r="H5" s="29" t="s">
        <v>75</v>
      </c>
      <c r="I5" s="15" t="n">
        <f aca="false">omOpt*Flow12^2/2</f>
        <v>1.83659693857319</v>
      </c>
      <c r="J5" s="0" t="s">
        <v>76</v>
      </c>
    </row>
    <row r="6" customFormat="false" ht="12.75" hidden="false" customHeight="false" outlineLevel="0" collapsed="false">
      <c r="B6" s="30" t="s">
        <v>77</v>
      </c>
      <c r="D6" s="0" t="s">
        <v>78</v>
      </c>
      <c r="E6" s="27" t="n">
        <v>117.647058823177</v>
      </c>
      <c r="F6" s="28" t="s">
        <v>74</v>
      </c>
      <c r="H6" s="29" t="s">
        <v>79</v>
      </c>
      <c r="I6" s="15" t="n">
        <f aca="false">omOpt*Flow23^2/2</f>
        <v>1.73010380621802</v>
      </c>
      <c r="J6" s="0" t="s">
        <v>80</v>
      </c>
    </row>
    <row r="7" customFormat="false" ht="12.75" hidden="false" customHeight="false" outlineLevel="0" collapsed="false">
      <c r="B7" s="31" t="n">
        <f aca="false">MIN($K$14)</f>
        <v>13000.0000000002</v>
      </c>
      <c r="D7" s="29" t="s">
        <v>81</v>
      </c>
      <c r="E7" s="27" t="n">
        <v>200</v>
      </c>
      <c r="F7" s="28" t="s">
        <v>82</v>
      </c>
    </row>
    <row r="8" customFormat="false" ht="12.75" hidden="false" customHeight="false" outlineLevel="0" collapsed="false">
      <c r="B8" s="32" t="n">
        <f aca="false">COUNT($E$5:$E$13)</f>
        <v>9</v>
      </c>
      <c r="D8" s="29" t="s">
        <v>83</v>
      </c>
      <c r="E8" s="27" t="n">
        <v>6.48359038715711E-012</v>
      </c>
      <c r="F8" s="28" t="s">
        <v>82</v>
      </c>
      <c r="I8" s="33" t="s">
        <v>84</v>
      </c>
      <c r="J8" s="33" t="s">
        <v>85</v>
      </c>
      <c r="K8" s="33" t="s">
        <v>86</v>
      </c>
    </row>
    <row r="9" customFormat="false" ht="12.75" hidden="false" customHeight="false" outlineLevel="0" collapsed="false">
      <c r="B9" s="32" t="n">
        <f aca="false" t="array" ref="B9:B9">$E$11:$E$13=INT($E$11:$E$13)</f>
        <v>1</v>
      </c>
      <c r="D9" s="29" t="s">
        <v>87</v>
      </c>
      <c r="E9" s="27" t="n">
        <v>200</v>
      </c>
      <c r="F9" s="28" t="s">
        <v>82</v>
      </c>
      <c r="H9" s="34" t="s">
        <v>81</v>
      </c>
      <c r="I9" s="4" t="n">
        <f aca="false">G1Aon*StUp1</f>
        <v>2000</v>
      </c>
      <c r="J9" s="4" t="n">
        <f aca="false">G1A*MCA</f>
        <v>4000</v>
      </c>
      <c r="K9" s="4" t="n">
        <f aca="false">I9+J9</f>
        <v>6000</v>
      </c>
    </row>
    <row r="10" customFormat="false" ht="12.75" hidden="false" customHeight="false" outlineLevel="0" collapsed="false">
      <c r="B10" s="32" t="n">
        <f aca="false" t="array" ref="B10:B10">$E$7:$E$10&gt;=0</f>
        <v>1</v>
      </c>
      <c r="D10" s="29" t="s">
        <v>88</v>
      </c>
      <c r="E10" s="27" t="n">
        <v>0</v>
      </c>
      <c r="F10" s="28" t="s">
        <v>82</v>
      </c>
      <c r="H10" s="34" t="s">
        <v>83</v>
      </c>
      <c r="I10" s="4" t="n">
        <f aca="false">G2Aon*StUp2</f>
        <v>8.42866750330426E-011</v>
      </c>
      <c r="J10" s="4" t="n">
        <f aca="false">G2A*MCA</f>
        <v>1.29671807743142E-010</v>
      </c>
      <c r="K10" s="4" t="n">
        <f aca="false">I10+J10</f>
        <v>2.13958482776185E-010</v>
      </c>
    </row>
    <row r="11" customFormat="false" ht="12.75" hidden="false" customHeight="false" outlineLevel="0" collapsed="false">
      <c r="B11" s="32" t="n">
        <f aca="false" t="array" ref="B11:B11">$E$15:$E$17=0</f>
        <v>0</v>
      </c>
      <c r="D11" s="0" t="s">
        <v>89</v>
      </c>
      <c r="E11" s="27" t="n">
        <v>1</v>
      </c>
      <c r="F11" s="28" t="s">
        <v>90</v>
      </c>
      <c r="H11" s="34" t="s">
        <v>87</v>
      </c>
      <c r="I11" s="4" t="n">
        <f aca="false">G3Aon*StUp3</f>
        <v>3000</v>
      </c>
      <c r="J11" s="4" t="n">
        <f aca="false">G3A*MCA</f>
        <v>4000</v>
      </c>
      <c r="K11" s="4" t="n">
        <f aca="false">I11+J11</f>
        <v>7000</v>
      </c>
    </row>
    <row r="12" customFormat="false" ht="12.75" hidden="false" customHeight="false" outlineLevel="0" collapsed="false">
      <c r="B12" s="32" t="n">
        <f aca="false" t="array" ref="B12:B12">$E$18:$E$25&lt;=0</f>
        <v>1</v>
      </c>
      <c r="D12" s="0" t="s">
        <v>91</v>
      </c>
      <c r="E12" s="27" t="n">
        <v>3.24179519357856E-014</v>
      </c>
      <c r="F12" s="35" t="s">
        <v>6</v>
      </c>
      <c r="H12" s="34" t="s">
        <v>88</v>
      </c>
      <c r="I12" s="4" t="n">
        <v>0</v>
      </c>
      <c r="J12" s="4" t="n">
        <f aca="false">G3B*MCB</f>
        <v>0</v>
      </c>
      <c r="K12" s="4" t="n">
        <f aca="false">I12+J12</f>
        <v>0</v>
      </c>
    </row>
    <row r="13" customFormat="false" ht="13.5" hidden="false" customHeight="false" outlineLevel="0" collapsed="false">
      <c r="B13" s="36" t="n">
        <f aca="false">{100,200,0.0000000001,0.00000001,FALSE,FALSE,TRUE,2,1,1,0.000000000001,FALSE}</f>
        <v>100</v>
      </c>
      <c r="D13" s="0" t="s">
        <v>92</v>
      </c>
      <c r="E13" s="37" t="n">
        <v>1</v>
      </c>
      <c r="F13" s="35" t="s">
        <v>6</v>
      </c>
    </row>
    <row r="14" customFormat="false" ht="12.75" hidden="false" customHeight="false" outlineLevel="0" collapsed="false">
      <c r="B14" s="38"/>
      <c r="F14" s="39"/>
      <c r="H14" s="34" t="s">
        <v>36</v>
      </c>
      <c r="I14" s="4" t="n">
        <f aca="false">SUM(I9:I12)</f>
        <v>5000.00000000009</v>
      </c>
      <c r="J14" s="4" t="n">
        <f aca="false">SUM(J9:J12)</f>
        <v>8000.00000000013</v>
      </c>
      <c r="K14" s="20" t="n">
        <f aca="false">SUM(K9:K12)</f>
        <v>13000.0000000002</v>
      </c>
      <c r="L14" s="1" t="s">
        <v>93</v>
      </c>
    </row>
    <row r="15" customFormat="false" ht="12.75" hidden="false" customHeight="false" outlineLevel="0" collapsed="false">
      <c r="D15" s="0" t="s">
        <v>94</v>
      </c>
      <c r="E15" s="40" t="n">
        <f aca="false">G1A-Flow12-Loss12-AD_1</f>
        <v>76.9496434935234</v>
      </c>
      <c r="F15" s="39" t="s">
        <v>95</v>
      </c>
    </row>
    <row r="16" customFormat="false" ht="12.75" hidden="false" customHeight="false" outlineLevel="0" collapsed="false">
      <c r="D16" s="0" t="s">
        <v>96</v>
      </c>
      <c r="E16" s="40" t="n">
        <f aca="false">G2A+Flow12-Flow23-(Loss12+Loss23)-AD_2</f>
        <v>-5.87192516832147E-011</v>
      </c>
      <c r="F16" s="41" t="s">
        <v>6</v>
      </c>
      <c r="H16" s="42" t="s">
        <v>97</v>
      </c>
      <c r="I16" s="43"/>
      <c r="J16" s="43"/>
      <c r="K16" s="43"/>
      <c r="L16" s="44"/>
    </row>
    <row r="17" customFormat="false" ht="12.75" hidden="false" customHeight="false" outlineLevel="0" collapsed="false">
      <c r="D17" s="0" t="s">
        <v>98</v>
      </c>
      <c r="E17" s="40" t="n">
        <f aca="false">G3A+G3B+Flow23-Loss23-(Load3*Reps_opt)-AD_3</f>
        <v>115.916955016959</v>
      </c>
      <c r="F17" s="41" t="s">
        <v>6</v>
      </c>
      <c r="H17" s="45" t="s">
        <v>99</v>
      </c>
      <c r="I17" s="46" t="n">
        <f aca="false">Competitive!K17</f>
        <v>5000</v>
      </c>
      <c r="J17" s="46" t="n">
        <f aca="false">Competitive!L17</f>
        <v>8000</v>
      </c>
      <c r="K17" s="46" t="n">
        <f aca="false">Competitive!M16</f>
        <v>13000</v>
      </c>
      <c r="L17" s="28" t="s">
        <v>100</v>
      </c>
    </row>
    <row r="18" customFormat="false" ht="12.75" hidden="false" customHeight="false" outlineLevel="0" collapsed="false">
      <c r="D18" s="0" t="s">
        <v>101</v>
      </c>
      <c r="E18" s="0" t="n">
        <f aca="false">G1A-G1Aon*Cap</f>
        <v>0</v>
      </c>
      <c r="F18" s="39" t="s">
        <v>102</v>
      </c>
      <c r="H18" s="47" t="s">
        <v>103</v>
      </c>
      <c r="I18" s="48" t="n">
        <f aca="false">I17-I14</f>
        <v>-8.45830072648823E-011</v>
      </c>
      <c r="J18" s="48" t="n">
        <f aca="false">J17-J14</f>
        <v>-1.29148247651756E-010</v>
      </c>
      <c r="K18" s="48" t="n">
        <f aca="false">K17-K14</f>
        <v>-2.14640749618411E-010</v>
      </c>
      <c r="L18" s="49"/>
    </row>
    <row r="19" customFormat="false" ht="12.75" hidden="false" customHeight="false" outlineLevel="0" collapsed="false">
      <c r="D19" s="0" t="s">
        <v>104</v>
      </c>
      <c r="E19" s="0" t="n">
        <f aca="false">G2A-G2Aon*Cap</f>
        <v>0</v>
      </c>
      <c r="F19" s="41" t="s">
        <v>6</v>
      </c>
      <c r="H19" s="4"/>
      <c r="I19" s="4"/>
      <c r="J19" s="4"/>
    </row>
    <row r="20" customFormat="false" ht="12.75" hidden="false" customHeight="false" outlineLevel="0" collapsed="false">
      <c r="D20" s="0" t="s">
        <v>105</v>
      </c>
      <c r="E20" s="0" t="n">
        <f aca="false">G3A-G3Aon*Cap</f>
        <v>0</v>
      </c>
      <c r="F20" s="41" t="s">
        <v>6</v>
      </c>
    </row>
    <row r="21" customFormat="false" ht="12.75" hidden="false" customHeight="false" outlineLevel="0" collapsed="false">
      <c r="D21" s="0" t="s">
        <v>106</v>
      </c>
      <c r="E21" s="0" t="n">
        <f aca="false">G1Aon-Reps_opt</f>
        <v>0</v>
      </c>
      <c r="F21" s="50" t="s">
        <v>107</v>
      </c>
    </row>
    <row r="22" customFormat="false" ht="12.75" hidden="false" customHeight="false" outlineLevel="0" collapsed="false">
      <c r="D22" s="0" t="s">
        <v>108</v>
      </c>
      <c r="E22" s="0" t="n">
        <f aca="false">G2Aon-Reps_opt</f>
        <v>-0.999999999999968</v>
      </c>
      <c r="F22" s="41" t="s">
        <v>6</v>
      </c>
    </row>
    <row r="23" customFormat="false" ht="12.75" hidden="false" customHeight="false" outlineLevel="0" collapsed="false">
      <c r="D23" s="0" t="s">
        <v>109</v>
      </c>
      <c r="E23" s="0" t="n">
        <f aca="false">G3Aon-Reps_opt</f>
        <v>0</v>
      </c>
      <c r="F23" s="41" t="s">
        <v>6</v>
      </c>
    </row>
    <row r="24" customFormat="false" ht="12.75" hidden="false" customHeight="false" outlineLevel="0" collapsed="false">
      <c r="E24" s="0" t="n">
        <f aca="false">Flow12-Reps*200</f>
        <v>-78.7862404320966</v>
      </c>
      <c r="F24" s="39" t="s">
        <v>110</v>
      </c>
    </row>
    <row r="25" customFormat="false" ht="12.75" hidden="false" customHeight="false" outlineLevel="0" collapsed="false">
      <c r="E25" s="0" t="n">
        <f aca="false">Flow23-Reps*200</f>
        <v>-82.3529411768226</v>
      </c>
      <c r="F25" s="51" t="s">
        <v>6</v>
      </c>
    </row>
    <row r="30" customFormat="false" ht="12.75" hidden="false" customHeight="false" outlineLevel="0" collapsed="false">
      <c r="E30" s="1" t="s">
        <v>111</v>
      </c>
    </row>
    <row r="31" customFormat="false" ht="12.75" hidden="false" customHeight="false" outlineLevel="0" collapsed="false">
      <c r="D31" s="34" t="s">
        <v>112</v>
      </c>
      <c r="E31" s="4" t="n">
        <v>0</v>
      </c>
      <c r="F31" s="4" t="n">
        <f aca="false">Competitive!E20</f>
        <v>76.9496434935234</v>
      </c>
      <c r="G31" s="0" t="s">
        <v>113</v>
      </c>
    </row>
    <row r="32" customFormat="false" ht="12.75" hidden="false" customHeight="false" outlineLevel="0" collapsed="false">
      <c r="D32" s="34" t="s">
        <v>114</v>
      </c>
      <c r="E32" s="4" t="n">
        <v>0</v>
      </c>
      <c r="F32" s="4" t="n">
        <f aca="false">Competitive!E21</f>
        <v>-6.18651796457925E-011</v>
      </c>
      <c r="G32" s="0" t="s">
        <v>115</v>
      </c>
    </row>
    <row r="33" customFormat="false" ht="12.75" hidden="false" customHeight="false" outlineLevel="0" collapsed="false">
      <c r="D33" s="34" t="s">
        <v>116</v>
      </c>
      <c r="E33" s="4" t="n">
        <v>0</v>
      </c>
      <c r="F33" s="4" t="n">
        <f aca="false">Competitive!E22</f>
        <v>115.916955016956</v>
      </c>
      <c r="G33" s="0" t="s">
        <v>117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O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F30" activeCellId="0" sqref="F3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.7"/>
    <col collapsed="false" customWidth="true" hidden="false" outlineLevel="0" max="3" min="3" style="0" width="2.84"/>
    <col collapsed="false" customWidth="true" hidden="false" outlineLevel="0" max="5" min="5" style="0" width="9.28"/>
    <col collapsed="false" customWidth="true" hidden="false" outlineLevel="0" max="6" min="6" style="0" width="14.7"/>
    <col collapsed="false" customWidth="true" hidden="false" outlineLevel="0" max="7" min="7" style="0" width="9.28"/>
    <col collapsed="false" customWidth="true" hidden="false" outlineLevel="0" max="9" min="9" style="0" width="9.56"/>
    <col collapsed="false" customWidth="true" hidden="false" outlineLevel="0" max="12" min="12" style="0" width="8.28"/>
    <col collapsed="false" customWidth="true" hidden="false" outlineLevel="0" max="15" min="15" style="0" width="4.7"/>
  </cols>
  <sheetData>
    <row r="1" customFormat="false" ht="12.75" hidden="false" customHeight="false" outlineLevel="0" collapsed="false">
      <c r="G1" s="0" t="n">
        <f aca="false">Reps</f>
        <v>1</v>
      </c>
      <c r="H1" s="0" t="s">
        <v>1</v>
      </c>
    </row>
    <row r="2" customFormat="false" ht="12.75" hidden="false" customHeight="false" outlineLevel="0" collapsed="false">
      <c r="D2" s="1" t="s">
        <v>118</v>
      </c>
      <c r="G2" s="29" t="n">
        <f aca="false">G1</f>
        <v>1</v>
      </c>
      <c r="H2" s="0" t="s">
        <v>119</v>
      </c>
    </row>
    <row r="3" customFormat="false" ht="13.5" hidden="false" customHeight="false" outlineLevel="0" collapsed="false">
      <c r="G3" s="23" t="n">
        <f aca="false">ohm/Reps_Comp</f>
        <v>0.00025</v>
      </c>
      <c r="H3" s="0" t="s">
        <v>120</v>
      </c>
      <c r="I3" s="0" t="s">
        <v>121</v>
      </c>
    </row>
    <row r="4" customFormat="false" ht="12.75" hidden="false" customHeight="false" outlineLevel="0" collapsed="false">
      <c r="D4" s="24" t="s">
        <v>70</v>
      </c>
      <c r="E4" s="24"/>
      <c r="F4" s="25" t="s">
        <v>71</v>
      </c>
    </row>
    <row r="5" customFormat="false" ht="12.75" hidden="false" customHeight="false" outlineLevel="0" collapsed="false">
      <c r="B5" s="26" t="s">
        <v>72</v>
      </c>
      <c r="D5" s="52" t="s">
        <v>28</v>
      </c>
      <c r="E5" s="53" t="n">
        <v>31.0587980633413</v>
      </c>
      <c r="F5" s="28" t="s">
        <v>74</v>
      </c>
    </row>
    <row r="6" customFormat="false" ht="12.75" hidden="false" customHeight="false" outlineLevel="0" collapsed="false">
      <c r="B6" s="30" t="s">
        <v>77</v>
      </c>
      <c r="D6" s="52" t="s">
        <v>30</v>
      </c>
      <c r="E6" s="53" t="n">
        <v>33.0000000000062</v>
      </c>
      <c r="F6" s="28" t="s">
        <v>74</v>
      </c>
      <c r="G6" s="14" t="n">
        <f aca="false">Price1/Price2</f>
        <v>0.941175698888954</v>
      </c>
      <c r="H6" s="0" t="s">
        <v>122</v>
      </c>
      <c r="I6" s="14" t="n">
        <f aca="false">(1-P1_P2)/(omComp*(1+P1_P2))</f>
        <v>121.213759567903</v>
      </c>
      <c r="J6" s="0" t="s">
        <v>123</v>
      </c>
      <c r="K6" s="15" t="n">
        <f aca="false">omComp*Flo12^2/2</f>
        <v>1.83659693857319</v>
      </c>
      <c r="L6" s="29" t="s">
        <v>124</v>
      </c>
      <c r="M6" s="0" t="s">
        <v>76</v>
      </c>
    </row>
    <row r="7" customFormat="false" ht="12.75" hidden="false" customHeight="false" outlineLevel="0" collapsed="false">
      <c r="B7" s="54" t="n">
        <f aca="false">MIN($M$15)</f>
        <v>9142.66802979165</v>
      </c>
      <c r="D7" s="52" t="s">
        <v>31</v>
      </c>
      <c r="E7" s="53" t="n">
        <v>35.0000000000003</v>
      </c>
      <c r="F7" s="28" t="s">
        <v>74</v>
      </c>
      <c r="G7" s="14" t="n">
        <f aca="false">Price2/Price3</f>
        <v>0.942857142857311</v>
      </c>
      <c r="H7" s="0" t="s">
        <v>125</v>
      </c>
      <c r="I7" s="14" t="n">
        <f aca="false">(1-P2_P3)/(omComp*(1+P2_P3))</f>
        <v>117.647058823174</v>
      </c>
      <c r="J7" s="55" t="s">
        <v>126</v>
      </c>
      <c r="K7" s="56" t="n">
        <f aca="false">omComp*Flo23^2/2</f>
        <v>1.73010380621792</v>
      </c>
      <c r="L7" s="57" t="s">
        <v>127</v>
      </c>
      <c r="M7" s="55" t="s">
        <v>80</v>
      </c>
    </row>
    <row r="8" customFormat="false" ht="12.75" hidden="false" customHeight="false" outlineLevel="0" collapsed="false">
      <c r="B8" s="32" t="n">
        <f aca="false">COUNT($E$5:$E$11)</f>
        <v>7</v>
      </c>
      <c r="D8" s="52" t="s">
        <v>128</v>
      </c>
      <c r="E8" s="58" t="n">
        <v>1</v>
      </c>
      <c r="F8" s="28" t="s">
        <v>90</v>
      </c>
      <c r="G8" s="55"/>
    </row>
    <row r="9" customFormat="false" ht="12.75" hidden="false" customHeight="false" outlineLevel="0" collapsed="false">
      <c r="B9" s="32" t="n">
        <f aca="false" t="array" ref="B9:B9">$E$8:$E$25&gt;=0</f>
        <v>1</v>
      </c>
      <c r="D9" s="52" t="s">
        <v>129</v>
      </c>
      <c r="E9" s="58" t="n">
        <v>0</v>
      </c>
      <c r="F9" s="35" t="s">
        <v>6</v>
      </c>
      <c r="G9" s="55"/>
      <c r="I9" s="59"/>
      <c r="J9" s="60" t="s">
        <v>130</v>
      </c>
      <c r="K9" s="60" t="s">
        <v>84</v>
      </c>
      <c r="L9" s="60" t="s">
        <v>85</v>
      </c>
      <c r="M9" s="60" t="s">
        <v>86</v>
      </c>
      <c r="N9" s="43"/>
      <c r="O9" s="44"/>
    </row>
    <row r="10" customFormat="false" ht="12.75" hidden="false" customHeight="false" outlineLevel="0" collapsed="false">
      <c r="B10" s="32" t="n">
        <f aca="false">$E$8=INT($E$8)</f>
        <v>1</v>
      </c>
      <c r="D10" s="52" t="s">
        <v>131</v>
      </c>
      <c r="E10" s="58" t="n">
        <v>1</v>
      </c>
      <c r="F10" s="35" t="s">
        <v>6</v>
      </c>
      <c r="G10" s="55"/>
      <c r="I10" s="45" t="s">
        <v>132</v>
      </c>
      <c r="J10" s="55" t="n">
        <f aca="false">A1on*Cap</f>
        <v>200</v>
      </c>
      <c r="K10" s="46" t="n">
        <f aca="false">A1on*StUp1</f>
        <v>2000</v>
      </c>
      <c r="L10" s="46" t="n">
        <f aca="false">Gen1A*MCA</f>
        <v>4000</v>
      </c>
      <c r="M10" s="46" t="n">
        <f aca="false">K10+L10</f>
        <v>6000</v>
      </c>
      <c r="N10" s="55"/>
      <c r="O10" s="28"/>
    </row>
    <row r="11" customFormat="false" ht="13.5" hidden="false" customHeight="false" outlineLevel="0" collapsed="false">
      <c r="B11" s="32" t="n">
        <f aca="false">$E$9=INT($E$9)</f>
        <v>1</v>
      </c>
      <c r="D11" s="61" t="s">
        <v>133</v>
      </c>
      <c r="E11" s="62" t="n">
        <v>0</v>
      </c>
      <c r="F11" s="63" t="s">
        <v>82</v>
      </c>
      <c r="I11" s="45" t="s">
        <v>134</v>
      </c>
      <c r="J11" s="55" t="n">
        <f aca="false">A2on*Cap</f>
        <v>0</v>
      </c>
      <c r="K11" s="46" t="n">
        <f aca="false">A2on*StUp2</f>
        <v>0</v>
      </c>
      <c r="L11" s="46" t="n">
        <f aca="false">Gen2A*MCA</f>
        <v>0</v>
      </c>
      <c r="M11" s="46" t="n">
        <f aca="false">K11+L11</f>
        <v>0</v>
      </c>
      <c r="N11" s="55"/>
      <c r="O11" s="28"/>
    </row>
    <row r="12" customFormat="false" ht="12.75" hidden="false" customHeight="false" outlineLevel="0" collapsed="false">
      <c r="B12" s="32" t="n">
        <f aca="false">$E$10=INT($E$10)</f>
        <v>1</v>
      </c>
      <c r="D12" s="0" t="s">
        <v>135</v>
      </c>
      <c r="E12" s="64" t="n">
        <f aca="false">(Price1-Inc1)*(A1on-0.5)</f>
        <v>0.529399031670646</v>
      </c>
      <c r="F12" s="39" t="s">
        <v>136</v>
      </c>
      <c r="I12" s="45" t="s">
        <v>137</v>
      </c>
      <c r="J12" s="55" t="n">
        <f aca="false">A3on*Cap</f>
        <v>200</v>
      </c>
      <c r="K12" s="46" t="n">
        <f aca="false">A3on*StUp3</f>
        <v>3000</v>
      </c>
      <c r="L12" s="46" t="n">
        <f aca="false">Gen3A*MCA</f>
        <v>4000</v>
      </c>
      <c r="M12" s="46" t="n">
        <f aca="false">K12+L12</f>
        <v>7000</v>
      </c>
      <c r="N12" s="55"/>
      <c r="O12" s="28"/>
    </row>
    <row r="13" customFormat="false" ht="12.75" hidden="false" customHeight="false" outlineLevel="0" collapsed="false">
      <c r="B13" s="36" t="n">
        <f aca="false">{100,200,0.000000001,0.000000001,FALSE,FALSE,TRUE,2,1,1,0.00000000001,FALSE}</f>
        <v>100</v>
      </c>
      <c r="D13" s="0" t="s">
        <v>138</v>
      </c>
      <c r="E13" s="64" t="n">
        <f aca="false">(Price2-Inc2)*(A2on-0.5)</f>
        <v>-3.08020275952003E-012</v>
      </c>
      <c r="F13" s="41" t="s">
        <v>6</v>
      </c>
      <c r="I13" s="45" t="s">
        <v>139</v>
      </c>
      <c r="J13" s="55" t="n">
        <f aca="false">Gen3B</f>
        <v>0</v>
      </c>
      <c r="K13" s="46" t="n">
        <v>0</v>
      </c>
      <c r="L13" s="46" t="n">
        <f aca="false">Gen3B*MCB</f>
        <v>0</v>
      </c>
      <c r="M13" s="46" t="n">
        <f aca="false">K13+L13</f>
        <v>0</v>
      </c>
      <c r="N13" s="55"/>
      <c r="O13" s="28"/>
    </row>
    <row r="14" customFormat="false" ht="12.75" hidden="false" customHeight="false" outlineLevel="0" collapsed="false">
      <c r="D14" s="0" t="s">
        <v>140</v>
      </c>
      <c r="E14" s="64" t="n">
        <f aca="false">(Price3-Inc3)*(A3on-0.5)</f>
        <v>1.56319401867222E-013</v>
      </c>
      <c r="F14" s="41" t="s">
        <v>6</v>
      </c>
      <c r="I14" s="45" t="s">
        <v>141</v>
      </c>
      <c r="J14" s="46" t="n">
        <f aca="false">-(E20+E21+E22)</f>
        <v>-192.866598510418</v>
      </c>
      <c r="K14" s="55"/>
      <c r="L14" s="55" t="n">
        <f aca="false">MCA</f>
        <v>20</v>
      </c>
      <c r="M14" s="22" t="n">
        <f aca="false">J14*L14</f>
        <v>-3857.33197020836</v>
      </c>
      <c r="N14" s="55"/>
      <c r="O14" s="28"/>
    </row>
    <row r="15" customFormat="false" ht="12.75" hidden="false" customHeight="false" outlineLevel="0" collapsed="false">
      <c r="D15" s="0" t="s">
        <v>142</v>
      </c>
      <c r="E15" s="64" t="n">
        <f aca="false">(Price3-MCB)*Gen3B</f>
        <v>-0</v>
      </c>
      <c r="F15" s="41" t="s">
        <v>6</v>
      </c>
      <c r="I15" s="65"/>
      <c r="J15" s="55"/>
      <c r="K15" s="55"/>
      <c r="L15" s="55"/>
      <c r="M15" s="66" t="n">
        <f aca="false">SUM(M10:M14)</f>
        <v>9142.66802979165</v>
      </c>
      <c r="N15" s="67" t="s">
        <v>143</v>
      </c>
      <c r="O15" s="28"/>
    </row>
    <row r="16" customFormat="false" ht="12.75" hidden="false" customHeight="false" outlineLevel="0" collapsed="false">
      <c r="D16" s="0" t="s">
        <v>144</v>
      </c>
      <c r="E16" s="0" t="n">
        <f aca="false">(Price1-Inc1)*(A1on-Reps_Comp+0.5)</f>
        <v>0.529399031670646</v>
      </c>
      <c r="F16" s="39" t="s">
        <v>145</v>
      </c>
      <c r="I16" s="68"/>
      <c r="J16" s="16"/>
      <c r="M16" s="69" t="n">
        <f aca="false">SUM(M10:M13)</f>
        <v>13000</v>
      </c>
      <c r="N16" s="70" t="s">
        <v>146</v>
      </c>
      <c r="O16" s="49"/>
    </row>
    <row r="17" customFormat="false" ht="12.75" hidden="false" customHeight="false" outlineLevel="0" collapsed="false">
      <c r="D17" s="0" t="s">
        <v>147</v>
      </c>
      <c r="E17" s="0" t="n">
        <f aca="false">(Price2-Inc2)*(A2on-Reps_Comp+0.5)</f>
        <v>-3.08020275952003E-012</v>
      </c>
      <c r="F17" s="39"/>
      <c r="K17" s="71" t="n">
        <f aca="false">SUM(K10:K13)</f>
        <v>5000</v>
      </c>
      <c r="L17" s="71" t="n">
        <f aca="false">SUM(L10:L13)</f>
        <v>8000</v>
      </c>
    </row>
    <row r="18" customFormat="false" ht="12.75" hidden="false" customHeight="false" outlineLevel="0" collapsed="false">
      <c r="D18" s="0" t="s">
        <v>148</v>
      </c>
      <c r="E18" s="0" t="n">
        <f aca="false">(Price3-Inc3)*(A2on-Reps_Comp+0.5)</f>
        <v>-1.56319401867222E-013</v>
      </c>
      <c r="F18" s="39"/>
      <c r="K18" s="55"/>
      <c r="L18" s="55"/>
    </row>
    <row r="19" customFormat="false" ht="12.75" hidden="false" customHeight="false" outlineLevel="0" collapsed="false">
      <c r="D19" s="0" t="s">
        <v>149</v>
      </c>
      <c r="E19" s="64" t="n">
        <f aca="false">MCB-Price3</f>
        <v>4.99999999999969</v>
      </c>
      <c r="F19" s="39" t="s">
        <v>150</v>
      </c>
    </row>
    <row r="20" customFormat="false" ht="12.75" hidden="false" customHeight="false" outlineLevel="0" collapsed="false">
      <c r="D20" s="0" t="s">
        <v>94</v>
      </c>
      <c r="E20" s="20" t="n">
        <f aca="false">Gen1A-Flo12-Los12</f>
        <v>76.9496434935234</v>
      </c>
      <c r="F20" s="39" t="s">
        <v>151</v>
      </c>
    </row>
    <row r="21" customFormat="false" ht="12.75" hidden="false" customHeight="false" outlineLevel="0" collapsed="false">
      <c r="D21" s="0" t="s">
        <v>96</v>
      </c>
      <c r="E21" s="20" t="n">
        <f aca="false">Gen2A+Flo12-Flo23-(Los12+Los23)</f>
        <v>-6.18651796457925E-011</v>
      </c>
      <c r="F21" s="41" t="s">
        <v>6</v>
      </c>
    </row>
    <row r="22" customFormat="false" ht="12.75" hidden="false" customHeight="false" outlineLevel="0" collapsed="false">
      <c r="D22" s="0" t="s">
        <v>98</v>
      </c>
      <c r="E22" s="20" t="n">
        <f aca="false">Gen3A+Gen3B+Flo23-Los23-(Load3*Reps_Comp)</f>
        <v>115.916955016956</v>
      </c>
      <c r="F22" s="41" t="s">
        <v>6</v>
      </c>
    </row>
    <row r="23" customFormat="false" ht="12.75" hidden="false" customHeight="false" outlineLevel="0" collapsed="false">
      <c r="D23" s="0" t="s">
        <v>106</v>
      </c>
      <c r="E23" s="0" t="n">
        <f aca="false">Reps_Comp-A1on+0.5</f>
        <v>0.5</v>
      </c>
      <c r="F23" s="50" t="s">
        <v>152</v>
      </c>
      <c r="I23" s="0" t="s">
        <v>153</v>
      </c>
    </row>
    <row r="24" customFormat="false" ht="12.75" hidden="false" customHeight="false" outlineLevel="0" collapsed="false">
      <c r="D24" s="0" t="s">
        <v>108</v>
      </c>
      <c r="E24" s="0" t="n">
        <f aca="false">Reps_Comp-A2on+0.5</f>
        <v>1.5</v>
      </c>
      <c r="F24" s="41" t="s">
        <v>6</v>
      </c>
    </row>
    <row r="25" customFormat="false" ht="12.75" hidden="false" customHeight="false" outlineLevel="0" collapsed="false">
      <c r="D25" s="0" t="s">
        <v>109</v>
      </c>
      <c r="E25" s="0" t="n">
        <f aca="false">Reps_Comp-A3on+0.5</f>
        <v>0.5</v>
      </c>
      <c r="F25" s="51" t="s">
        <v>6</v>
      </c>
    </row>
    <row r="27" customFormat="false" ht="12.75" hidden="false" customHeight="false" outlineLevel="0" collapsed="false">
      <c r="E27" s="64"/>
    </row>
    <row r="29" customFormat="false" ht="12.75" hidden="false" customHeight="false" outlineLevel="0" collapsed="false">
      <c r="E29" s="64"/>
    </row>
    <row r="31" customFormat="false" ht="12.75" hidden="false" customHeight="false" outlineLevel="0" collapsed="false">
      <c r="E31" s="64"/>
    </row>
  </sheetData>
  <mergeCells count="1">
    <mergeCell ref="D4:E4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2000-10-24T12:29:39Z</dcterms:created>
  <dc:creator>Steven</dc:creator>
  <dc:description/>
  <dc:language>en-US</dc:language>
  <cp:lastModifiedBy>Steven</cp:lastModifiedBy>
  <dcterms:modified xsi:type="dcterms:W3CDTF">2000-10-27T22:32:18Z</dcterms:modified>
  <cp:revision>0</cp:revision>
  <dc:subject/>
  <dc:title/>
</cp:coreProperties>
</file>