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ctrlProps/ctrlProps2.xml" ContentType="application/vnd.ms-excel.controlproperties+xml"/>
  <Override PartName="/xl/ctrlProps/ctrlProps3.xml" ContentType="application/vnd.ms-excel.controlproperties+xml"/>
  <Override PartName="/xl/ctrlProps/ctrlProps12.xml" ContentType="application/vnd.ms-excel.controlproperties+xml"/>
  <Override PartName="/xl/ctrlProps/ctrlProps4.xml" ContentType="application/vnd.ms-excel.controlproperties+xml"/>
  <Override PartName="/xl/ctrlProps/ctrlProps5.xml" ContentType="application/vnd.ms-excel.controlproperties+xml"/>
  <Override PartName="/xl/ctrlProps/ctrlProps6.xml" ContentType="application/vnd.ms-excel.controlproperties+xml"/>
  <Override PartName="/xl/ctrlProps/ctrlProps7.xml" ContentType="application/vnd.ms-excel.controlproperties+xml"/>
  <Override PartName="/xl/ctrlProps/ctrlProps8.xml" ContentType="application/vnd.ms-excel.controlproperties+xml"/>
  <Override PartName="/xl/ctrlProps/ctrlProps9.xml" ContentType="application/vnd.ms-excel.controlproperties+xml"/>
  <Override PartName="/xl/ctrlProps/ctrlProps10.xml" ContentType="application/vnd.ms-excel.controlproperties+xml"/>
  <Override PartName="/xl/comments1.xml" ContentType="application/vnd.openxmlformats-officedocument.spreadsheetml.comments+xml"/>
  <Override PartName="/xl/drawings/_rels/drawing1.xml.rels" ContentType="application/vnd.openxmlformats-package.relationship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vmlDrawing2.vml" ContentType="application/vnd.openxmlformats-officedocument.vmlDrawing"/>
  <Override PartName="/xl/drawings/drawing11.xml" ContentType="application/vnd.openxmlformats-officedocument.drawing+xml"/>
  <Override PartName="/xl/drawings/vmlDrawing4.vml" ContentType="application/vnd.openxmlformats-officedocument.vmlDrawing"/>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omments2.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ront" sheetId="1" state="visible" r:id="rId3"/>
    <sheet name="G.data" sheetId="2" state="visible" r:id="rId4"/>
    <sheet name="calcs" sheetId="3" state="visible" r:id="rId5"/>
    <sheet name="Title" sheetId="4" state="visible" r:id="rId6"/>
  </sheets>
  <definedNames>
    <definedName function="false" hidden="false" localSheetId="0" name="_xlnm.Print_Area" vbProcedure="false">Front!$A$1:$J$30</definedName>
    <definedName function="false" hidden="false" name="alph" vbProcedure="false">calcs!$C$11</definedName>
    <definedName function="false" hidden="false" name="AvailableCapacity" vbProcedure="false">'G.data'!$T$6</definedName>
    <definedName function="false" hidden="false" name="a_1" vbProcedure="false">calcs!$L1</definedName>
    <definedName function="false" hidden="false" name="a_3" vbProcedure="false">calcs!$AI$29</definedName>
    <definedName function="false" hidden="false" name="BEDur" vbProcedure="false">'G.data'!$X$14</definedName>
    <definedName function="false" hidden="false" name="beta" vbProcedure="false">calcs!$C$14</definedName>
    <definedName function="false" hidden="false" name="b_1" vbProcedure="false">calcs!$M1</definedName>
    <definedName function="false" hidden="false" name="b_2" vbProcedure="false">calcs!$Q1</definedName>
    <definedName function="false" hidden="false" name="b_3" vbProcedure="false">calcs!$AI1</definedName>
    <definedName function="false" hidden="false" name="CapacityOfBaseLoad" vbProcedure="false">'G.data'!$T$5</definedName>
    <definedName function="false" hidden="false" name="CU" vbProcedure="false">calcs!$C$24</definedName>
    <definedName function="false" hidden="false" name="CUopt" vbProcedure="false">calcs!$C$28</definedName>
    <definedName function="false" hidden="false" name="c_1" vbProcedure="false">calcs!$N1</definedName>
    <definedName function="false" hidden="false" name="c_2" vbProcedure="false">calcs!$R1</definedName>
    <definedName function="false" hidden="false" name="c_3" vbProcedure="false">calcs!$AJ1</definedName>
    <definedName function="false" hidden="false" name="D0g" vbProcedure="false">calcs!$C$23</definedName>
    <definedName function="false" hidden="false" name="D0opt" vbProcedure="false">calcs!$C$27</definedName>
    <definedName function="false" hidden="false" name="D0_3" vbProcedure="false">calcs!$AK1</definedName>
    <definedName function="false" hidden="false" name="DDc" vbProcedure="false">calcs!$S1</definedName>
    <definedName function="false" hidden="false" name="DDg" vbProcedure="false">calcs!$O1</definedName>
    <definedName function="false" hidden="false" name="Example1" vbProcedure="false">'G.data'!$U$29</definedName>
    <definedName function="false" hidden="false" name="Example2" vbProcedure="false">'G.data'!$V$29</definedName>
    <definedName function="false" hidden="false" name="Example3" vbProcedure="false">'G.data'!$W$29</definedName>
    <definedName function="false" hidden="false" name="Example4" vbProcedure="false">'G.data'!$X$29</definedName>
    <definedName function="false" hidden="false" name="Example5" vbProcedure="false">'G.data'!$Y$29</definedName>
    <definedName function="false" hidden="false" name="ExTitle1" vbProcedure="false">'G.data'!$U$22</definedName>
    <definedName function="false" hidden="false" name="ExTitle2" vbProcedure="false">'G.data'!$U$23</definedName>
    <definedName function="false" hidden="false" name="ExTitle3" vbProcedure="false">'G.data'!$U$24</definedName>
    <definedName function="false" hidden="false" name="ExTitle4" vbProcedure="false">'G.data'!$U$25</definedName>
    <definedName function="false" hidden="false" name="ExTitle5" vbProcedure="false">'G.data'!$U$26</definedName>
    <definedName function="false" hidden="false" name="F" vbProcedure="false">calcs!$C$6</definedName>
    <definedName function="false" hidden="false" name="FCPopt" vbProcedure="false">calcs!$C$29</definedName>
    <definedName function="false" hidden="false" name="FF" vbProcedure="false">calcs!$T5</definedName>
    <definedName function="false" hidden="false" name="FixedCostofPeaker" vbProcedure="false">'G.data'!$T$9</definedName>
    <definedName function="false" hidden="false" name="f_3" vbProcedure="false">calcs!$AL1</definedName>
    <definedName function="false" hidden="false" name="g" vbProcedure="false">calcs!$C$17</definedName>
    <definedName function="false" hidden="false" name="GovCap" vbProcedure="false">Front!$E$28</definedName>
    <definedName function="false" hidden="false" name="GovPrice" vbProcedure="false">Front!$E$27</definedName>
    <definedName function="false" hidden="false" name="GovRR" vbProcedure="false">Front!$E$26</definedName>
    <definedName function="false" hidden="false" name="g_3" vbProcedure="false">calcs!$AL$29</definedName>
    <definedName function="false" hidden="false" name="helpText" vbProcedure="false">'G.data'!$X$3</definedName>
    <definedName function="false" hidden="false" name="h_3" vbProcedure="false">calcs!$AM$29</definedName>
    <definedName function="false" hidden="false" name="j_3" vbProcedure="false">calcs!$AM1</definedName>
    <definedName function="false" hidden="false" name="K" vbProcedure="false">calcs!$C$19</definedName>
    <definedName function="false" hidden="false" name="KK" vbProcedure="false">calcs!$J1</definedName>
    <definedName function="false" hidden="false" name="KK_3" vbProcedure="false">calcs!$AG1</definedName>
    <definedName function="false" hidden="false" name="KofBaseLoad" vbProcedure="false">'G.data'!$T$5</definedName>
    <definedName function="false" hidden="false" name="Kopt" vbProcedure="false">calcs!$C$26</definedName>
    <definedName function="false" hidden="false" name="k_3" vbProcedure="false">calcs!$AN$29</definedName>
    <definedName function="false" hidden="false" name="L0" vbProcedure="false">calcs!$C$7</definedName>
    <definedName function="false" hidden="false" name="Ldif" vbProcedure="false">calcs!$C$10</definedName>
    <definedName function="false" hidden="false" name="LoadMax" vbProcedure="false">Front!$B$29</definedName>
    <definedName function="false" hidden="false" name="LoadShape" vbProcedure="false">Front!$B$30</definedName>
    <definedName function="false" hidden="false" name="l_3" vbProcedure="false">calcs!$AO$29</definedName>
    <definedName function="false" hidden="false" name="M0" vbProcedure="false">calcs!$C$12</definedName>
    <definedName function="false" hidden="false" name="m_3" vbProcedure="false">calcs!$AN1</definedName>
    <definedName function="false" hidden="false" name="n_3" vbProcedure="false">calcs!$AO1</definedName>
    <definedName function="false" hidden="false" name="P0" vbProcedure="false">calcs!$C$15</definedName>
    <definedName function="false" hidden="false" name="Pcap" vbProcedure="false">calcs!$C$18</definedName>
    <definedName function="false" hidden="false" name="PeakLoad" vbProcedure="false">'G.data'!$T$8</definedName>
    <definedName function="false" hidden="false" name="p_3" vbProcedure="false">calcs!$AP1</definedName>
    <definedName function="false" hidden="false" name="q_3" vbProcedure="false">calcs!$AQ1</definedName>
    <definedName function="false" hidden="false" name="R0" vbProcedure="false">calcs!$C$13</definedName>
    <definedName function="false" hidden="false" name="R0g" vbProcedure="false">calcs!$C$16</definedName>
    <definedName function="false" hidden="false" name="ResPrcnt" vbProcedure="false">Front!$B$26</definedName>
    <definedName function="false" hidden="false" name="ResShape" vbProcedure="false">Front!$B$28</definedName>
    <definedName function="false" hidden="false" name="ResValue" vbProcedure="false">Front!$B$27</definedName>
    <definedName function="false" hidden="false" name="ropt" vbProcedure="false">calcs!$AC1</definedName>
    <definedName function="false" hidden="false" name="r_1" vbProcedure="false">calcs!$Z1</definedName>
    <definedName function="false" hidden="false" name="r_3" vbProcedure="false">calcs!$AR1</definedName>
    <definedName function="false" hidden="false" name="S_1" vbProcedure="false">calcs!$K1</definedName>
    <definedName function="false" hidden="false" name="S_2" vbProcedure="false">calcs!$P1</definedName>
    <definedName function="false" hidden="false" name="S_3" vbProcedure="false">calcs!$AH1</definedName>
    <definedName function="false" hidden="false" name="TCU" vbProcedure="false">calcs!$C$30</definedName>
    <definedName function="false" hidden="false" name="Title" vbProcedure="false">Front!$B$24</definedName>
    <definedName function="false" hidden="false" name="TotalPeakerFixedCost" vbProcedure="false">Front!$H$29</definedName>
    <definedName function="false" hidden="false" name="UnReliabilityLoss" vbProcedure="false">Front!$H$28</definedName>
    <definedName function="false" hidden="false" localSheetId="2" name="D0" vbProcedure="false">calcs!$C$22</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C26" authorId="0">
      <text>
        <r>
          <rPr>
            <b val="true"/>
            <sz val="10"/>
            <color rgb="FF000000"/>
            <rFont val="Tahoma"/>
            <family val="2"/>
          </rPr>
          <t xml:space="preserve">
   This is the amount of reserves that is needed for reliability purposes.  More reserves won't help, fewer will hurt.</t>
        </r>
      </text>
      <mc:AlternateContent>
        <mc:Choice Requires="v2">
          <commentPr autoFill="true" autoScale="false" colHidden="false" locked="false" rowHidden="false" textHAlign="justify" textVAlign="top">
            <anchor moveWithCells="false" sizeWithCells="false">
              <xdr:from>
                <xdr:col>3</xdr:col>
                <xdr:colOff>16</xdr:colOff>
                <xdr:row>24</xdr:row>
                <xdr:rowOff>17</xdr:rowOff>
              </xdr:from>
              <xdr:to>
                <xdr:col>5</xdr:col>
                <xdr:colOff>206</xdr:colOff>
                <xdr:row>28</xdr:row>
                <xdr:rowOff>14</xdr:rowOff>
              </xdr:to>
            </anchor>
          </commentPr>
        </mc:Choice>
        <mc:Fallback/>
      </mc:AlternateContent>
    </comment>
    <comment ref="C27" authorId="0">
      <text>
        <r>
          <rPr>
            <b val="true"/>
            <sz val="10"/>
            <color rgb="FF000000"/>
            <rFont val="Tahoma"/>
            <family val="2"/>
          </rPr>
          <t xml:space="preserve">
   This is the value of 1 MWh or reserves when the reserve level reach 0.  This may be higher than the value of a MWh of lost load because at this reserve level, system stability may be jeoparized.</t>
        </r>
      </text>
      <mc:AlternateContent>
        <mc:Choice Requires="v2">
          <commentPr autoFill="true" autoScale="false" colHidden="false" locked="false" rowHidden="false" textHAlign="justify" textVAlign="top">
            <anchor moveWithCells="false" sizeWithCells="false">
              <xdr:from>
                <xdr:col>3</xdr:col>
                <xdr:colOff>16</xdr:colOff>
                <xdr:row>25</xdr:row>
                <xdr:rowOff>8</xdr:rowOff>
              </xdr:from>
              <xdr:to>
                <xdr:col>5</xdr:col>
                <xdr:colOff>206</xdr:colOff>
                <xdr:row>31</xdr:row>
                <xdr:rowOff>9</xdr:rowOff>
              </xdr:to>
            </anchor>
          </commentPr>
        </mc:Choice>
        <mc:Fallback/>
      </mc:AlternateContent>
    </comment>
    <comment ref="C28" authorId="0">
      <text>
        <r>
          <rPr>
            <b val="true"/>
            <sz val="10"/>
            <color rgb="FF000000"/>
            <rFont val="Tahoma"/>
            <family val="2"/>
          </rPr>
          <t xml:space="preserve">
   Zero indicates the marginal value of reserves increases linearly as reserves decrease.
   Higher values indicate the marginal value of reserves increase more slowly at first and more rapidly a reserves decrease towards zero.</t>
        </r>
      </text>
      <mc:AlternateContent>
        <mc:Choice Requires="v2">
          <commentPr autoFill="true" autoScale="false" colHidden="false" locked="false" rowHidden="false" textHAlign="justify" textVAlign="top">
            <anchor moveWithCells="false" sizeWithCells="false">
              <xdr:from>
                <xdr:col>3</xdr:col>
                <xdr:colOff>16</xdr:colOff>
                <xdr:row>26</xdr:row>
                <xdr:rowOff>8</xdr:rowOff>
              </xdr:from>
              <xdr:to>
                <xdr:col>5</xdr:col>
                <xdr:colOff>206</xdr:colOff>
                <xdr:row>34</xdr:row>
                <xdr:rowOff>11</xdr:rowOff>
              </xdr:to>
            </anchor>
          </commentPr>
        </mc:Choice>
        <mc:Fallback/>
      </mc:AlternateContent>
    </comment>
    <comment ref="C29" authorId="0">
      <text>
        <r>
          <rPr>
            <b val="true"/>
            <sz val="10"/>
            <color rgb="FF000000"/>
            <rFont val="Tahoma"/>
            <family val="2"/>
          </rPr>
          <t xml:space="preserve">
   Maximum annual load.</t>
        </r>
      </text>
      <mc:AlternateContent>
        <mc:Choice Requires="v2">
          <commentPr autoFill="true" autoScale="false" colHidden="false" locked="false" rowHidden="false" textHAlign="justify" textVAlign="top">
            <anchor moveWithCells="false" sizeWithCells="false">
              <xdr:from>
                <xdr:col>3</xdr:col>
                <xdr:colOff>16</xdr:colOff>
                <xdr:row>27</xdr:row>
                <xdr:rowOff>8</xdr:rowOff>
              </xdr:from>
              <xdr:to>
                <xdr:col>5</xdr:col>
                <xdr:colOff>206</xdr:colOff>
                <xdr:row>29</xdr:row>
                <xdr:rowOff>19</xdr:rowOff>
              </xdr:to>
            </anchor>
          </commentPr>
        </mc:Choice>
        <mc:Fallback/>
      </mc:AlternateContent>
    </comment>
    <comment ref="C30" authorId="0">
      <text>
        <r>
          <rPr>
            <b val="true"/>
            <sz val="10"/>
            <color rgb="FF000000"/>
            <rFont val="Tahoma"/>
            <family val="2"/>
          </rPr>
          <t xml:space="preserve">
   Zero means linear.
   For any greater value, the L-D becomes vertical at zero duration.  Greater values increase the height of the load spike relative to the peak load</t>
        </r>
      </text>
      <mc:AlternateContent>
        <mc:Choice Requires="v2">
          <commentPr autoFill="true" autoScale="false" colHidden="false" locked="false" rowHidden="false" textHAlign="justify" textVAlign="top">
            <anchor moveWithCells="false" sizeWithCells="false">
              <xdr:from>
                <xdr:col>3</xdr:col>
                <xdr:colOff>16</xdr:colOff>
                <xdr:row>28</xdr:row>
                <xdr:rowOff>7</xdr:rowOff>
              </xdr:from>
              <xdr:to>
                <xdr:col>5</xdr:col>
                <xdr:colOff>206</xdr:colOff>
                <xdr:row>34</xdr:row>
                <xdr:rowOff>15</xdr:rowOff>
              </xdr:to>
            </anchor>
          </commentPr>
        </mc:Choice>
        <mc:Fallback/>
      </mc:AlternateContent>
    </comment>
    <comment ref="F24" authorId="0">
      <text>
        <r>
          <rPr>
            <b val="true"/>
            <sz val="10"/>
            <color rgb="FF000000"/>
            <rFont val="Tahoma"/>
            <family val="2"/>
          </rPr>
          <t xml:space="preserve">
   Economic theory says that if the ISO pays the marginal value of reserves this will induce the efficient level of generation entry.  
   You can check that it does by changing any of the the 3 policy variables and watching to see if the total cost of unriliability goes up or down.
   The policy is efficient except for the fact that the demand side of the market is not playing its role.  In this model and in most present markets, demand is not give any price signal and so does not respond.
   See example E, for consideration of demand elasticity.
</t>
        </r>
      </text>
      <mc:AlternateContent>
        <mc:Choice Requires="v2">
          <commentPr autoFill="true" autoScale="false" colHidden="false" locked="false" rowHidden="false" textHAlign="justify" textVAlign="top">
            <anchor moveWithCells="false" sizeWithCells="false">
              <xdr:from>
                <xdr:col>6</xdr:col>
                <xdr:colOff>16</xdr:colOff>
                <xdr:row>22</xdr:row>
                <xdr:rowOff>36</xdr:rowOff>
              </xdr:from>
              <xdr:to>
                <xdr:col>9</xdr:col>
                <xdr:colOff>5</xdr:colOff>
                <xdr:row>36</xdr:row>
                <xdr:rowOff>5</xdr:rowOff>
              </xdr:to>
            </anchor>
          </commentPr>
        </mc:Choice>
        <mc:Fallback/>
      </mc:AlternateContent>
    </comment>
    <comment ref="F26" authorId="0">
      <text>
        <r>
          <rPr>
            <b val="true"/>
            <sz val="10"/>
            <color rgb="FF000000"/>
            <rFont val="Tahoma"/>
            <family val="2"/>
          </rPr>
          <t xml:space="preserve">
   If reserves fall below this level the system operator begins to purchase reserves.
   How much the operator will pay is often not specified, but depends instead on the operator's desperation.  Typically an operators that is only 10 MW short will not pay $10,000/MWh.
   This model can be used to test most plausible payment functions.</t>
        </r>
      </text>
      <mc:AlternateContent>
        <mc:Choice Requires="v2">
          <commentPr autoFill="true" autoScale="false" colHidden="false" locked="false" rowHidden="false" textHAlign="justify" textVAlign="top">
            <anchor moveWithCells="false" sizeWithCells="false">
              <xdr:from>
                <xdr:col>6</xdr:col>
                <xdr:colOff>16</xdr:colOff>
                <xdr:row>24</xdr:row>
                <xdr:rowOff>17</xdr:rowOff>
              </xdr:from>
              <xdr:to>
                <xdr:col>8</xdr:col>
                <xdr:colOff>206</xdr:colOff>
                <xdr:row>35</xdr:row>
                <xdr:rowOff>2</xdr:rowOff>
              </xdr:to>
            </anchor>
          </commentPr>
        </mc:Choice>
        <mc:Fallback/>
      </mc:AlternateContent>
    </comment>
    <comment ref="F27" authorId="0">
      <text>
        <r>
          <rPr>
            <b val="true"/>
            <sz val="10"/>
            <color rgb="FF000000"/>
            <rFont val="Tahoma"/>
            <family val="2"/>
          </rPr>
          <t xml:space="preserve">
   The shorter the system is, the more the operator is willing to pay.  The value indicates the willingness to pay when the system is completely out of reserves.</t>
        </r>
      </text>
      <mc:AlternateContent>
        <mc:Choice Requires="v2">
          <commentPr autoFill="true" autoScale="false" colHidden="false" locked="false" rowHidden="false" textHAlign="justify" textVAlign="top">
            <anchor moveWithCells="false" sizeWithCells="false">
              <xdr:from>
                <xdr:col>6</xdr:col>
                <xdr:colOff>16</xdr:colOff>
                <xdr:row>25</xdr:row>
                <xdr:rowOff>8</xdr:rowOff>
              </xdr:from>
              <xdr:to>
                <xdr:col>8</xdr:col>
                <xdr:colOff>206</xdr:colOff>
                <xdr:row>30</xdr:row>
                <xdr:rowOff>14</xdr:rowOff>
              </xdr:to>
            </anchor>
          </commentPr>
        </mc:Choice>
        <mc:Fallback/>
      </mc:AlternateContent>
    </comment>
    <comment ref="F28" authorId="0">
      <text>
        <r>
          <rPr>
            <b val="true"/>
            <sz val="10"/>
            <color rgb="FF000000"/>
            <rFont val="Tahoma"/>
            <family val="2"/>
          </rPr>
          <t xml:space="preserve">
   A typical regulatory approach to reserve purchases might call for paying anything up to X if reserves fall below the "required" reserve level.  X is the cap on reserve-price.
   Because the cap will override the price at zero, it may be used in conjuction with an extremely high price at zero to simulate the above approach.</t>
        </r>
      </text>
      <mc:AlternateContent>
        <mc:Choice Requires="v2">
          <commentPr autoFill="true" autoScale="false" colHidden="false" locked="false" rowHidden="false" textHAlign="justify" textVAlign="top">
            <anchor moveWithCells="false" sizeWithCells="false">
              <xdr:from>
                <xdr:col>6</xdr:col>
                <xdr:colOff>16</xdr:colOff>
                <xdr:row>26</xdr:row>
                <xdr:rowOff>8</xdr:rowOff>
              </xdr:from>
              <xdr:to>
                <xdr:col>8</xdr:col>
                <xdr:colOff>206</xdr:colOff>
                <xdr:row>36</xdr:row>
                <xdr:rowOff>12</xdr:rowOff>
              </xdr:to>
            </anchor>
          </commentPr>
        </mc:Choice>
        <mc:Fallback/>
      </mc:AlternateContent>
    </comment>
    <comment ref="F29" authorId="0">
      <text>
        <r>
          <rPr>
            <b val="true"/>
            <sz val="10"/>
            <color rgb="FF000000"/>
            <rFont val="Tahoma"/>
            <family val="2"/>
          </rPr>
          <t xml:space="preserve">
   The minimum possible cost of unreliability divided by the actual cost.
   The cost of unreliability includes both the damage caused by load curtailment and the cost of providing excess capacity to prevent this.</t>
        </r>
      </text>
      <mc:AlternateContent>
        <mc:Choice Requires="v2">
          <commentPr autoFill="true" autoScale="false" colHidden="false" locked="false" rowHidden="false" textHAlign="justify" textVAlign="top">
            <anchor moveWithCells="false" sizeWithCells="false">
              <xdr:from>
                <xdr:col>6</xdr:col>
                <xdr:colOff>16</xdr:colOff>
                <xdr:row>27</xdr:row>
                <xdr:rowOff>8</xdr:rowOff>
              </xdr:from>
              <xdr:to>
                <xdr:col>8</xdr:col>
                <xdr:colOff>206</xdr:colOff>
                <xdr:row>34</xdr:row>
                <xdr:rowOff>14</xdr:rowOff>
              </xdr:to>
            </anchor>
          </commentPr>
        </mc:Choice>
        <mc:Fallback/>
      </mc:AlternateContent>
    </comment>
    <comment ref="F30" authorId="0">
      <text>
        <r>
          <rPr>
            <b val="true"/>
            <sz val="10"/>
            <color rgb="FF000000"/>
            <rFont val="Tahoma"/>
            <family val="2"/>
          </rPr>
          <t xml:space="preserve">
   Some unreliability is not worth the cost of preventing.  If the the cost of unserved load is half the optimal cost, "Reliability" = 200%.</t>
        </r>
      </text>
      <mc:AlternateContent>
        <mc:Choice Requires="v2">
          <commentPr autoFill="true" autoScale="false" colHidden="false" locked="false" rowHidden="false" textHAlign="justify" textVAlign="top">
            <anchor moveWithCells="false" sizeWithCells="false">
              <xdr:from>
                <xdr:col>6</xdr:col>
                <xdr:colOff>16</xdr:colOff>
                <xdr:row>28</xdr:row>
                <xdr:rowOff>7</xdr:rowOff>
              </xdr:from>
              <xdr:to>
                <xdr:col>8</xdr:col>
                <xdr:colOff>206</xdr:colOff>
                <xdr:row>34</xdr:row>
                <xdr:rowOff>2</xdr:rowOff>
              </xdr:to>
            </anchor>
          </commentPr>
        </mc:Choice>
        <mc:Fallback/>
      </mc:AlternateContent>
    </comment>
    <comment ref="H26" authorId="0">
      <text>
        <r>
          <rPr>
            <b val="true"/>
            <sz val="10"/>
            <color rgb="FF000000"/>
            <rFont val="Tahoma"/>
            <family val="2"/>
          </rPr>
          <t xml:space="preserve">
  The highest price paid due to low reserves during the price spike.</t>
        </r>
      </text>
      <mc:AlternateContent>
        <mc:Choice Requires="v2">
          <commentPr autoFill="true" autoScale="false" colHidden="false" locked="false" rowHidden="false" textHAlign="justify" textVAlign="top">
            <anchor moveWithCells="false" sizeWithCells="false">
              <xdr:from>
                <xdr:col>5</xdr:col>
                <xdr:colOff>80</xdr:colOff>
                <xdr:row>19</xdr:row>
                <xdr:rowOff>9</xdr:rowOff>
              </xdr:from>
              <xdr:to>
                <xdr:col>7</xdr:col>
                <xdr:colOff>51</xdr:colOff>
                <xdr:row>22</xdr:row>
                <xdr:rowOff>31</xdr:rowOff>
              </xdr:to>
            </anchor>
          </commentPr>
        </mc:Choice>
        <mc:Fallback/>
      </mc:AlternateContent>
    </comment>
    <comment ref="H27" authorId="0">
      <text>
        <r>
          <rPr>
            <b val="true"/>
            <sz val="10"/>
            <color rgb="FF000000"/>
            <rFont val="Tahoma"/>
            <family val="2"/>
          </rPr>
          <t xml:space="preserve">
   The number of hours during which reserves fall below "required" reserves.  These are the hours during which all peaker recover their fixed costs.</t>
        </r>
      </text>
      <mc:AlternateContent>
        <mc:Choice Requires="v2">
          <commentPr autoFill="true" autoScale="false" colHidden="false" locked="false" rowHidden="false" textHAlign="justify" textVAlign="top">
            <anchor moveWithCells="false" sizeWithCells="false">
              <xdr:from>
                <xdr:col>8</xdr:col>
                <xdr:colOff>16</xdr:colOff>
                <xdr:row>25</xdr:row>
                <xdr:rowOff>8</xdr:rowOff>
              </xdr:from>
              <xdr:to>
                <xdr:col>9</xdr:col>
                <xdr:colOff>14</xdr:colOff>
                <xdr:row>31</xdr:row>
                <xdr:rowOff>10</xdr:rowOff>
              </xdr:to>
            </anchor>
          </commentPr>
        </mc:Choice>
        <mc:Fallback/>
      </mc:AlternateContent>
    </comment>
    <comment ref="H28" authorId="0">
      <text>
        <r>
          <rPr>
            <b val="true"/>
            <sz val="10"/>
            <color rgb="FF000000"/>
            <rFont val="Tahoma"/>
            <family val="2"/>
          </rPr>
          <t xml:space="preserve">
   The cost of unserved load.
   The "Value of Reserves" is exactly the average cost of unserved load caused by having a MW less of reserves.  This allows the calculation of this cost. </t>
        </r>
      </text>
      <mc:AlternateContent>
        <mc:Choice Requires="v2">
          <commentPr autoFill="true" autoScale="false" colHidden="false" locked="false" rowHidden="false" textHAlign="justify" textVAlign="top">
            <anchor moveWithCells="false" sizeWithCells="false">
              <xdr:from>
                <xdr:col>8</xdr:col>
                <xdr:colOff>16</xdr:colOff>
                <xdr:row>26</xdr:row>
                <xdr:rowOff>8</xdr:rowOff>
              </xdr:from>
              <xdr:to>
                <xdr:col>9</xdr:col>
                <xdr:colOff>14</xdr:colOff>
                <xdr:row>33</xdr:row>
                <xdr:rowOff>14</xdr:rowOff>
              </xdr:to>
            </anchor>
          </commentPr>
        </mc:Choice>
        <mc:Fallback/>
      </mc:AlternateContent>
    </comment>
    <comment ref="H29" authorId="0">
      <text>
        <r>
          <rPr>
            <b val="true"/>
            <sz val="10"/>
            <color rgb="FF000000"/>
            <rFont val="Tahoma"/>
            <family val="2"/>
          </rPr>
          <t xml:space="preserve">
   The total hourly fixed costs of peakers that are in excess of the capacity required to serve the peak load.</t>
        </r>
      </text>
      <mc:AlternateContent>
        <mc:Choice Requires="v2">
          <commentPr autoFill="true" autoScale="false" colHidden="false" locked="false" rowHidden="false" textHAlign="justify" textVAlign="top">
            <anchor moveWithCells="false" sizeWithCells="false">
              <xdr:from>
                <xdr:col>8</xdr:col>
                <xdr:colOff>16</xdr:colOff>
                <xdr:row>27</xdr:row>
                <xdr:rowOff>8</xdr:rowOff>
              </xdr:from>
              <xdr:to>
                <xdr:col>9</xdr:col>
                <xdr:colOff>14</xdr:colOff>
                <xdr:row>32</xdr:row>
                <xdr:rowOff>13</xdr:rowOff>
              </xdr:to>
            </anchor>
          </commentPr>
        </mc:Choice>
        <mc:Fallback/>
      </mc:AlternateContent>
    </comment>
    <comment ref="H30" authorId="0">
      <text>
        <r>
          <rPr>
            <b val="true"/>
            <sz val="10"/>
            <color rgb="FF000000"/>
            <rFont val="Tahoma"/>
            <family val="2"/>
          </rPr>
          <t xml:space="preserve">
   The sum of the cost of unserved load and the cost of the extra peakers that prevent the cost of unserved load from being higher.</t>
        </r>
      </text>
      <mc:AlternateContent>
        <mc:Choice Requires="v2">
          <commentPr autoFill="true" autoScale="false" colHidden="false" locked="false" rowHidden="false" textHAlign="justify" textVAlign="top">
            <anchor moveWithCells="false" sizeWithCells="false">
              <xdr:from>
                <xdr:col>8</xdr:col>
                <xdr:colOff>16</xdr:colOff>
                <xdr:row>28</xdr:row>
                <xdr:rowOff>7</xdr:rowOff>
              </xdr:from>
              <xdr:to>
                <xdr:col>9</xdr:col>
                <xdr:colOff>14</xdr:colOff>
                <xdr:row>33</xdr:row>
                <xdr:rowOff>17</xdr:rowOff>
              </xdr:to>
            </anchor>
          </commentPr>
        </mc:Choice>
        <mc:Fallback/>
      </mc:AlternateContent>
    </comment>
  </commentList>
</comments>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U22" authorId="0">
      <text>
        <r>
          <rPr>
            <b val="true"/>
            <sz val="10"/>
            <color rgb="FF000000"/>
            <rFont val="Tahoma"/>
            <family val="2"/>
          </rPr>
          <t xml:space="preserve">
   Economic theory says that if the ISO pays the marginal value of reserves this will induce the efficient level of generation entry.  
   You can check that it does by changing any of the the 3 policy variables and watching to see if the total cost of unriliability goes up or down.
   The policy is efficient except for the fact that the demand side of the market is not playing its role.  In this model and in most present markets, demand is not give any price signal and so does not respond.
   See example E, for consideration of demand elasticity.
</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26</xdr:col>
                <xdr:colOff>11</xdr:colOff>
                <xdr:row>36</xdr:row>
                <xdr:rowOff>13</xdr:rowOff>
              </xdr:to>
            </anchor>
          </commentPr>
        </mc:Choice>
        <mc:Fallback/>
      </mc:AlternateContent>
    </comment>
    <comment ref="U23" authorId="0">
      <text>
        <r>
          <rPr>
            <b val="true"/>
            <sz val="10"/>
            <color rgb="FF000000"/>
            <rFont val="Tahoma"/>
            <family val="2"/>
          </rPr>
          <t xml:space="preserve">
   This example Price Caps Reserves.
   This holds down the price of Energy.
   This reduces generator profits temporarily and causes a decline in generation investment.
   This cause a decrease in generating capacity, which raises price and restores profits.
   But with less capacity the system is much less reliable.
   [ Note that if Load&gt;Capacity then Reserves are negative.  The marginal value of reserve curve actually extends into this negative region in order to estimate the damage from loss of load due to negative reserves. ]
</t>
        </r>
      </text>
      <mc:AlternateContent>
        <mc:Choice Requires="v2">
          <commentPr autoFill="true" autoScale="false" colHidden="false" locked="false" rowHidden="false" textHAlign="justify" textVAlign="top">
            <anchor moveWithCells="false" sizeWithCells="false">
              <xdr:from>
                <xdr:col>21</xdr:col>
                <xdr:colOff>14</xdr:colOff>
                <xdr:row>16</xdr:row>
                <xdr:rowOff>12</xdr:rowOff>
              </xdr:from>
              <xdr:to>
                <xdr:col>25</xdr:col>
                <xdr:colOff>63</xdr:colOff>
                <xdr:row>34</xdr:row>
                <xdr:rowOff>16</xdr:rowOff>
              </xdr:to>
            </anchor>
          </commentPr>
        </mc:Choice>
        <mc:Fallback/>
      </mc:AlternateContent>
    </comment>
    <comment ref="U24" authorId="0">
      <text>
        <r>
          <rPr>
            <b val="true"/>
            <sz val="10"/>
            <color rgb="FF000000"/>
            <rFont val="Tahoma"/>
            <family val="2"/>
          </rPr>
          <t xml:space="preserve">
   This example shows how a much lower but wider price function for reserves can induce exactly as much reliability with a much lower price spike.
   A single variable, total available capacity that determines generation adequacy and this part of reliability.  But 3 policy variables  effect this outcome.  Consequently there are many different policies that give the same result.
   This demonstrates the regulators have a choice.
   Currently they default on this choice by following vague pricing policies for reserves that derive from engineering rules of thumb that were adequate in a regulated regime, but which make no sense in a market.
   That default is itself a form of choice.  It is a thoughtless choice for very high price spikes.
</t>
        </r>
      </text>
      <mc:AlternateContent>
        <mc:Choice Requires="v2">
          <commentPr autoFill="true" autoScale="false" colHidden="false" locked="false" rowHidden="false" textHAlign="justify" textVAlign="top">
            <anchor moveWithCells="false" sizeWithCells="false">
              <xdr:from>
                <xdr:col>21</xdr:col>
                <xdr:colOff>16</xdr:colOff>
                <xdr:row>18</xdr:row>
                <xdr:rowOff>15</xdr:rowOff>
              </xdr:from>
              <xdr:to>
                <xdr:col>25</xdr:col>
                <xdr:colOff>62</xdr:colOff>
                <xdr:row>40</xdr:row>
                <xdr:rowOff>14</xdr:rowOff>
              </xdr:to>
            </anchor>
          </commentPr>
        </mc:Choice>
        <mc:Fallback/>
      </mc:AlternateContent>
    </comment>
    <comment ref="U25" authorId="0">
      <text>
        <r>
          <rPr>
            <b val="true"/>
            <sz val="10"/>
            <color rgb="FF000000"/>
            <rFont val="Tahoma"/>
            <family val="2"/>
          </rPr>
          <t xml:space="preserve">
   Currently, the lack of demand elasticity is the biggest problem in the new U.S. electricity markets.  The two primary curbs to market power are divestiture and demand elasticty.  Current electricity market have esentially no demand elasticity and are consequently ideal for the exercise of market power during the conditions that cause price spikes.
   Aditionally, demand elasticity will reduce the cost of providing capacity to cover load spikes.  This is not shown in the present model.
   The model does show a striking reduction in price spikes that would be cause by the flattening of the load duration curve.
</t>
        </r>
      </text>
      <mc:AlternateContent>
        <mc:Choice Requires="v2">
          <commentPr autoFill="true" autoScale="false" colHidden="false" locked="false" rowHidden="false" textHAlign="justify" textVAlign="top">
            <anchor moveWithCells="false" sizeWithCells="false">
              <xdr:from>
                <xdr:col>21</xdr:col>
                <xdr:colOff>14</xdr:colOff>
                <xdr:row>19</xdr:row>
                <xdr:rowOff>6</xdr:rowOff>
              </xdr:from>
              <xdr:to>
                <xdr:col>25</xdr:col>
                <xdr:colOff>63</xdr:colOff>
                <xdr:row>37</xdr:row>
                <xdr:rowOff>15</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C10" authorId="0">
      <text>
        <r>
          <rPr>
            <b val="true"/>
            <sz val="8"/>
            <color rgb="FF000000"/>
            <rFont val="Tahoma"/>
            <family val="0"/>
          </rPr>
          <t xml:space="preserve">Steven:
</t>
        </r>
        <r>
          <rPr>
            <sz val="8"/>
            <color rgb="FF000000"/>
            <rFont val="Tahoma"/>
            <family val="0"/>
          </rPr>
          <t xml:space="preserve">When Ldif = 0, there is a divide by zero problem.</t>
        </r>
      </text>
      <mc:AlternateContent>
        <mc:Choice Requires="v2">
          <commentPr autoFill="true" autoScale="false" colHidden="false" locked="false" rowHidden="false" textHAlign="justify" textVAlign="top">
            <anchor moveWithCells="false" sizeWithCells="false">
              <xdr:from>
                <xdr:col>3</xdr:col>
                <xdr:colOff>16</xdr:colOff>
                <xdr:row>8</xdr:row>
                <xdr:rowOff>4</xdr:rowOff>
              </xdr:from>
              <xdr:to>
                <xdr:col>5</xdr:col>
                <xdr:colOff>18</xdr:colOff>
                <xdr:row>11</xdr:row>
                <xdr:rowOff>2</xdr:rowOff>
              </xdr:to>
            </anchor>
          </commentPr>
        </mc:Choice>
        <mc:Fallback/>
      </mc:AlternateContent>
    </comment>
    <comment ref="C11" authorId="0">
      <text>
        <r>
          <rPr>
            <b val="true"/>
            <sz val="8"/>
            <color rgb="FF000000"/>
            <rFont val="Tahoma"/>
            <family val="0"/>
          </rPr>
          <t xml:space="preserve">A subtle rounding error problem sometimes arises when alph=0.  (b.1^2-4a.1c1)&lt;0 by a very small amount when solving for D0g as if load were quadratic when it is not.  I think this discrimate should be exactly zero in this </t>
        </r>
        <r>
          <rPr>
            <b val="true"/>
            <sz val="8"/>
            <color rgb="FF000000"/>
            <rFont val="Tahoma"/>
            <family val="2"/>
          </rPr>
          <t xml:space="preserve">case.
Keeping alph&gt;.1 seems to be very safe.</t>
        </r>
      </text>
      <mc:AlternateContent>
        <mc:Choice Requires="v2">
          <commentPr autoFill="true" autoScale="false" colHidden="false" locked="false" rowHidden="false" textHAlign="justify" textVAlign="top">
            <anchor moveWithCells="false" sizeWithCells="false">
              <xdr:from>
                <xdr:col>3</xdr:col>
                <xdr:colOff>18</xdr:colOff>
                <xdr:row>9</xdr:row>
                <xdr:rowOff>4</xdr:rowOff>
              </xdr:from>
              <xdr:to>
                <xdr:col>7</xdr:col>
                <xdr:colOff>5</xdr:colOff>
                <xdr:row>15</xdr:row>
                <xdr:rowOff>14</xdr:rowOff>
              </xdr:to>
            </anchor>
          </commentPr>
        </mc:Choice>
        <mc:Fallback/>
      </mc:AlternateContent>
    </comment>
    <comment ref="K88" authorId="0">
      <text>
        <r>
          <rPr>
            <b val="true"/>
            <sz val="8"/>
            <color rgb="FF000000"/>
            <rFont val="Tahoma"/>
            <family val="0"/>
          </rPr>
          <t xml:space="preserve">Steven:
</t>
        </r>
        <r>
          <rPr>
            <sz val="8"/>
            <color rgb="FF000000"/>
            <rFont val="Tahoma"/>
            <family val="0"/>
          </rPr>
          <t xml:space="preserve">Based on R0, not R0g.
Computes the duration at which extra reserves do not add to reliability</t>
        </r>
      </text>
      <mc:AlternateContent>
        <mc:Choice Requires="v2">
          <commentPr autoFill="true" autoScale="false" colHidden="false" locked="false" rowHidden="false" textHAlign="justify" textVAlign="top">
            <anchor moveWithCells="false" sizeWithCells="false">
              <xdr:from>
                <xdr:col>11</xdr:col>
                <xdr:colOff>1</xdr:colOff>
                <xdr:row>84</xdr:row>
                <xdr:rowOff>11</xdr:rowOff>
              </xdr:from>
              <xdr:to>
                <xdr:col>13</xdr:col>
                <xdr:colOff>10</xdr:colOff>
                <xdr:row>88</xdr:row>
                <xdr:rowOff>11</xdr:rowOff>
              </xdr:to>
            </anchor>
          </commentPr>
        </mc:Choice>
        <mc:Fallback/>
      </mc:AlternateContent>
    </comment>
    <comment ref="O87" authorId="0">
      <text>
        <r>
          <rPr>
            <b val="true"/>
            <sz val="8"/>
            <color rgb="FF000000"/>
            <rFont val="Tahoma"/>
            <family val="0"/>
          </rPr>
          <t xml:space="preserve">Steven:
</t>
        </r>
        <r>
          <rPr>
            <sz val="8"/>
            <color rgb="FF000000"/>
            <rFont val="Tahoma"/>
            <family val="0"/>
          </rPr>
          <t xml:space="preserve">The duration where the market-determined K intersect reserve zero-value point.</t>
        </r>
      </text>
      <mc:AlternateContent>
        <mc:Choice Requires="v2">
          <commentPr autoFill="true" autoScale="false" colHidden="false" locked="false" rowHidden="false" textHAlign="justify" textVAlign="top">
            <anchor moveWithCells="false" sizeWithCells="false">
              <xdr:from>
                <xdr:col>15</xdr:col>
                <xdr:colOff>16</xdr:colOff>
                <xdr:row>85</xdr:row>
                <xdr:rowOff>7</xdr:rowOff>
              </xdr:from>
              <xdr:to>
                <xdr:col>17</xdr:col>
                <xdr:colOff>35</xdr:colOff>
                <xdr:row>89</xdr:row>
                <xdr:rowOff>5</xdr:rowOff>
              </xdr:to>
            </anchor>
          </commentPr>
        </mc:Choice>
        <mc:Fallback/>
      </mc:AlternateContent>
    </comment>
    <comment ref="Z18" authorId="0">
      <text>
        <r>
          <rPr>
            <b val="true"/>
            <sz val="8"/>
            <color rgb="FF000000"/>
            <rFont val="Tahoma"/>
            <family val="0"/>
          </rPr>
          <t xml:space="preserve">Steven:
</t>
        </r>
        <r>
          <rPr>
            <sz val="8"/>
            <color rgb="FF000000"/>
            <rFont val="Tahoma"/>
            <family val="0"/>
          </rPr>
          <t xml:space="preserve">Reserve level relative to R0,
the level where additional reserves become worthless.</t>
        </r>
      </text>
      <mc:AlternateContent>
        <mc:Choice Requires="v2">
          <commentPr autoFill="true" autoScale="false" colHidden="false" locked="false" rowHidden="false" textHAlign="justify" textVAlign="top">
            <anchor moveWithCells="false" sizeWithCells="false">
              <xdr:from>
                <xdr:col>26</xdr:col>
                <xdr:colOff>16</xdr:colOff>
                <xdr:row>16</xdr:row>
                <xdr:rowOff>8</xdr:rowOff>
              </xdr:from>
              <xdr:to>
                <xdr:col>27</xdr:col>
                <xdr:colOff>50</xdr:colOff>
                <xdr:row>22</xdr:row>
                <xdr:rowOff>5</xdr:rowOff>
              </xdr:to>
            </anchor>
          </commentPr>
        </mc:Choice>
        <mc:Fallback/>
      </mc:AlternateContent>
    </comment>
    <comment ref="AC18" authorId="0">
      <text>
        <r>
          <rPr>
            <b val="true"/>
            <sz val="8"/>
            <color rgb="FF000000"/>
            <rFont val="Tahoma"/>
            <family val="0"/>
          </rPr>
          <t xml:space="preserve">Steven:
</t>
        </r>
        <r>
          <rPr>
            <sz val="8"/>
            <color rgb="FF000000"/>
            <rFont val="Tahoma"/>
            <family val="0"/>
          </rPr>
          <t xml:space="preserve">Reserve level relative to R0,
the level where additional reserves become worthless.</t>
        </r>
      </text>
      <mc:AlternateContent>
        <mc:Choice Requires="v2">
          <commentPr autoFill="true" autoScale="false" colHidden="false" locked="false" rowHidden="false" textHAlign="justify" textVAlign="top">
            <anchor moveWithCells="false" sizeWithCells="false">
              <xdr:from>
                <xdr:col>29</xdr:col>
                <xdr:colOff>13</xdr:colOff>
                <xdr:row>16</xdr:row>
                <xdr:rowOff>8</xdr:rowOff>
              </xdr:from>
              <xdr:to>
                <xdr:col>31</xdr:col>
                <xdr:colOff>0</xdr:colOff>
                <xdr:row>22</xdr:row>
                <xdr:rowOff>5</xdr:rowOff>
              </xdr:to>
            </anchor>
          </commentPr>
        </mc:Choice>
        <mc:Fallback/>
      </mc:AlternateContent>
    </comment>
    <comment ref="AI31" authorId="0">
      <text>
        <r>
          <rPr>
            <b val="true"/>
            <sz val="8"/>
            <color rgb="FF000000"/>
            <rFont val="Tahoma"/>
            <family val="0"/>
          </rPr>
          <t xml:space="preserve">Steven:
</t>
        </r>
        <r>
          <rPr>
            <sz val="8"/>
            <color rgb="FF000000"/>
            <rFont val="Tahoma"/>
            <family val="0"/>
          </rPr>
          <t xml:space="preserve">Parenthesis needed!</t>
        </r>
      </text>
      <mc:AlternateContent>
        <mc:Choice Requires="v2">
          <commentPr autoFill="true" autoScale="false" colHidden="false" locked="false" rowHidden="false" textHAlign="justify" textVAlign="top">
            <anchor moveWithCells="false" sizeWithCells="false">
              <xdr:from>
                <xdr:col>34</xdr:col>
                <xdr:colOff>29</xdr:colOff>
                <xdr:row>29</xdr:row>
                <xdr:rowOff>8</xdr:rowOff>
              </xdr:from>
              <xdr:to>
                <xdr:col>36</xdr:col>
                <xdr:colOff>42</xdr:colOff>
                <xdr:row>31</xdr:row>
                <xdr:rowOff>13</xdr:rowOff>
              </xdr:to>
            </anchor>
          </commentPr>
        </mc:Choice>
        <mc:Fallback/>
      </mc:AlternateContent>
    </comment>
  </commentList>
</comments>
</file>

<file path=xl/sharedStrings.xml><?xml version="1.0" encoding="utf-8"?>
<sst xmlns="http://schemas.openxmlformats.org/spreadsheetml/2006/main" count="344" uniqueCount="253">
  <si>
    <t xml:space="preserve">Price of Reserves = Value of Reserves</t>
  </si>
  <si>
    <t xml:space="preserve">Market Parameters</t>
  </si>
  <si>
    <t xml:space="preserve">Regulatory Parameters</t>
  </si>
  <si>
    <t xml:space="preserve">Market Results</t>
  </si>
  <si>
    <t xml:space="preserve">Reserves when Value = 0</t>
  </si>
  <si>
    <t xml:space="preserve">"Required" Reserves</t>
  </si>
  <si>
    <t xml:space="preserve">Max Price ($/MWh)</t>
  </si>
  <si>
    <t xml:space="preserve">Value when Reserves = 0</t>
  </si>
  <si>
    <t xml:space="preserve">Price when Res. = 0</t>
  </si>
  <si>
    <t xml:space="preserve">Duration of Spike (hours)</t>
  </si>
  <si>
    <t xml:space="preserve">Shape of Value Curve (0--100)</t>
  </si>
  <si>
    <t xml:space="preserve">Reserve-Price Cap</t>
  </si>
  <si>
    <t xml:space="preserve">Cost of Unreliability ($/h)</t>
  </si>
  <si>
    <t xml:space="preserve">Max Load (MW)</t>
  </si>
  <si>
    <t xml:space="preserve">Inefficiency</t>
  </si>
  <si>
    <t xml:space="preserve">Fixed Cost of Reliability ($/h)</t>
  </si>
  <si>
    <t xml:space="preserve">Load Spike Height (0--100)</t>
  </si>
  <si>
    <t xml:space="preserve">Reliability (100% = optimal)</t>
  </si>
  <si>
    <t xml:space="preserve">C of U + FC of R</t>
  </si>
  <si>
    <t xml:space="preserve">Push Buttons for Examples:</t>
  </si>
  <si>
    <r>
      <rPr>
        <b val="true"/>
        <sz val="10"/>
        <rFont val="Arial"/>
        <family val="2"/>
      </rPr>
      <t xml:space="preserve">Or, enter your own value over the </t>
    </r>
    <r>
      <rPr>
        <b val="true"/>
        <sz val="10"/>
        <color rgb="FF008000"/>
        <rFont val="Arial"/>
        <family val="2"/>
      </rPr>
      <t xml:space="preserve">green</t>
    </r>
    <r>
      <rPr>
        <b val="true"/>
        <sz val="10"/>
        <rFont val="Arial"/>
        <family val="2"/>
      </rPr>
      <t xml:space="preserve">.</t>
    </r>
  </si>
  <si>
    <t xml:space="preserve">Scratch Pad</t>
  </si>
  <si>
    <t xml:space="preserve">Steven Stoft (c) 2000</t>
  </si>
  <si>
    <t xml:space="preserve">Available from www.stoft.com</t>
  </si>
  <si>
    <t xml:space="preserve">helpText</t>
  </si>
  <si>
    <t xml:space="preserve">Duration</t>
  </si>
  <si>
    <t xml:space="preserve">Load</t>
  </si>
  <si>
    <t xml:space="preserve">Load +R0g</t>
  </si>
  <si>
    <t xml:space="preserve">K</t>
  </si>
  <si>
    <t xml:space="preserve">Reserves as % of L0</t>
  </si>
  <si>
    <t xml:space="preserve">Reserves</t>
  </si>
  <si>
    <t xml:space="preserve">R/R0</t>
  </si>
  <si>
    <t xml:space="preserve">Value</t>
  </si>
  <si>
    <t xml:space="preserve">Price</t>
  </si>
  <si>
    <t xml:space="preserve">scaled reserves</t>
  </si>
  <si>
    <t xml:space="preserve">Dur</t>
  </si>
  <si>
    <t xml:space="preserve">R0</t>
  </si>
  <si>
    <t xml:space="preserve">Variables for Market Outcomes</t>
  </si>
  <si>
    <t xml:space="preserve">Push the example buttons and then point to the Center of the Example's title for an explanation.  ...........................    Or, enter values into cells with green numbers.  ...............  For explanations of variables point below and to the left of the little red comment triangles. ................   For newest version of the model and the book that it accompanies see     www.Stoft.com</t>
  </si>
  <si>
    <t xml:space="preserve">CapacityOfBaseLoad</t>
  </si>
  <si>
    <t xml:space="preserve">AvailableCapacity</t>
  </si>
  <si>
    <t xml:space="preserve">Indefinite Integral of Load-Duration Curve, L(D) = L0 - D*Ldif - alph * D^.5</t>
  </si>
  <si>
    <t xml:space="preserve">OptCapacity</t>
  </si>
  <si>
    <t xml:space="preserve">PeakLoad</t>
  </si>
  <si>
    <t xml:space="preserve">Indef Integ = X(D) = L0*D - (D^2)*Ldif/2 - alph*(D^1.5)/1.5</t>
  </si>
  <si>
    <t xml:space="preserve">FixedCostofPeaker</t>
  </si>
  <si>
    <t xml:space="preserve">X(0)</t>
  </si>
  <si>
    <t xml:space="preserve">FixedCostofBase</t>
  </si>
  <si>
    <t xml:space="preserve">X(BEDur)</t>
  </si>
  <si>
    <t xml:space="preserve">VCofPeak</t>
  </si>
  <si>
    <t xml:space="preserve">X(1)</t>
  </si>
  <si>
    <t xml:space="preserve">Average Load</t>
  </si>
  <si>
    <t xml:space="preserve">VCofBase</t>
  </si>
  <si>
    <t xml:space="preserve">X(1)-X(BEDur)</t>
  </si>
  <si>
    <t xml:space="preserve">Total Variable cost of Base</t>
  </si>
  <si>
    <t xml:space="preserve">Total Variable cost of Peak</t>
  </si>
  <si>
    <t xml:space="preserve">BEDur</t>
  </si>
  <si>
    <t xml:space="preserve">Break-Even Duration</t>
  </si>
  <si>
    <t xml:space="preserve">Total Fixed cost of Base</t>
  </si>
  <si>
    <t xml:space="preserve">Optimal Cost of Unreliability</t>
  </si>
  <si>
    <t xml:space="preserve">Total Optimal Cost of Power / h</t>
  </si>
  <si>
    <t xml:space="preserve">Reliability</t>
  </si>
  <si>
    <t xml:space="preserve">ExTitle1</t>
  </si>
  <si>
    <t xml:space="preserve">ExTitle2</t>
  </si>
  <si>
    <t xml:space="preserve">Price Cap on Reserves Damages Reliability</t>
  </si>
  <si>
    <t xml:space="preserve">ExTitle3</t>
  </si>
  <si>
    <t xml:space="preserve">Price Cap Plus is Optimal</t>
  </si>
  <si>
    <t xml:space="preserve">ExTitle4</t>
  </si>
  <si>
    <t xml:space="preserve">Increased Demand Elasticity Reduces Height of Price Spike</t>
  </si>
  <si>
    <t xml:space="preserve">ExTitle5</t>
  </si>
  <si>
    <t xml:space="preserve">Example1</t>
  </si>
  <si>
    <t xml:space="preserve">Example2</t>
  </si>
  <si>
    <t xml:space="preserve">Example3</t>
  </si>
  <si>
    <t xml:space="preserve">Example4</t>
  </si>
  <si>
    <t xml:space="preserve">Example5</t>
  </si>
  <si>
    <t xml:space="preserve">ResPrcnt</t>
  </si>
  <si>
    <t xml:space="preserve">ResValue</t>
  </si>
  <si>
    <t xml:space="preserve">ResShape</t>
  </si>
  <si>
    <t xml:space="preserve">LoadMax</t>
  </si>
  <si>
    <t xml:space="preserve">LoadShape</t>
  </si>
  <si>
    <t xml:space="preserve">GovRR</t>
  </si>
  <si>
    <t xml:space="preserve">GovPrice</t>
  </si>
  <si>
    <t xml:space="preserve">GovCap</t>
  </si>
  <si>
    <t xml:space="preserve">L(D) = L0 - D*Ldif - alph * D^.5</t>
  </si>
  <si>
    <t xml:space="preserve">Load duratation curve</t>
  </si>
  <si>
    <t xml:space="preserve">A.  Finding the total available capacity, K, that results from Reserves Pricing Policy</t>
  </si>
  <si>
    <t xml:space="preserve">B.  Finding the Unreliability Cost of K and Kopt</t>
  </si>
  <si>
    <t xml:space="preserve">M(R) =  M0*(1-r)(1- beta *r),  r = R/R0</t>
  </si>
  <si>
    <t xml:space="preserve">Marginal value of reserves</t>
  </si>
  <si>
    <t xml:space="preserve">P(R) = P0*(1 - rg) rg&lt;1, else 0, rg=R/R0g</t>
  </si>
  <si>
    <t xml:space="preserve">Price of reserves</t>
  </si>
  <si>
    <t xml:space="preserve">(1) Find D0g given K</t>
  </si>
  <si>
    <t xml:space="preserve">(2) Find D0c given K</t>
  </si>
  <si>
    <t xml:space="preserve">Find Total Reliability Loss from R shortfall, T(R), from M(R)</t>
  </si>
  <si>
    <t xml:space="preserve">Total capacity</t>
  </si>
  <si>
    <t xml:space="preserve">K - L(D0g) = R0g</t>
  </si>
  <si>
    <t xml:space="preserve">P( R( D0c ) ) = Pcap</t>
  </si>
  <si>
    <t xml:space="preserve">L(D0g) = z, where z = K - R0g</t>
  </si>
  <si>
    <t xml:space="preserve">P0 - g*(K - L(D0g)) = Pcap</t>
  </si>
  <si>
    <t xml:space="preserve">T(R1) = Int fm R1 to R0 [ M(R) ] dR</t>
  </si>
  <si>
    <t xml:space="preserve">Solve  K = L(D)+R0, ==&gt; L(D) = z, where z = K - R0.</t>
  </si>
  <si>
    <t xml:space="preserve">Supply</t>
  </si>
  <si>
    <t xml:space="preserve">F</t>
  </si>
  <si>
    <t xml:space="preserve">Fixed cost of peakers</t>
  </si>
  <si>
    <t xml:space="preserve">L(D0g) = z, where z = K - (P0-Pcap)/g</t>
  </si>
  <si>
    <t xml:space="preserve">M(R) = M0*(1-beta)(1-r) + beta*(1-r)^2,   r = R/R0</t>
  </si>
  <si>
    <t xml:space="preserve">From Panel A, the solution is the quadradic equation with</t>
  </si>
  <si>
    <t xml:space="preserve">L0</t>
  </si>
  <si>
    <t xml:space="preserve">Load at D = 0  (except for spike)</t>
  </si>
  <si>
    <t xml:space="preserve">Now Solve L(D) = z.  where D = D0g</t>
  </si>
  <si>
    <t xml:space="preserve">M(R) = M0*(1-r)(1-beta*r) = 1 - (1+beta)*r + beta*r^2</t>
  </si>
  <si>
    <t xml:space="preserve">a = Ldif^2</t>
  </si>
  <si>
    <t xml:space="preserve">Load ratio (min/max)</t>
  </si>
  <si>
    <t xml:space="preserve">L0 - D*Ldif - alph*D^.5 = z</t>
  </si>
  <si>
    <t xml:space="preserve">T(R1) = M0* Int fm R1 to R0 [ 1 - (1+beta)*R/R0 + beta*R^2/R0^2 ] dR</t>
  </si>
  <si>
    <t xml:space="preserve">b = - (alph^2) - 2*S*Ldif,     S = (L0 - z)</t>
  </si>
  <si>
    <t xml:space="preserve">Lmin</t>
  </si>
  <si>
    <t xml:space="preserve">alph*D^.5 = (L0-z) - D*Ldif</t>
  </si>
  <si>
    <t xml:space="preserve">T(R1) = M0*[(R0-R1) - (1+beta)*(R0^2-R1^2)/(2R0) + beta*(R0^3-R1^3)/(3R0^2) ]</t>
  </si>
  <si>
    <t xml:space="preserve">c = S^2 </t>
  </si>
  <si>
    <t xml:space="preserve">Use Minus the discriminant</t>
  </si>
  <si>
    <t xml:space="preserve">Ldif</t>
  </si>
  <si>
    <t xml:space="preserve">Drop in Load fm D=0 to 1  (except for spike)</t>
  </si>
  <si>
    <t xml:space="preserve">alph*D^.5 = S - D*Ldif,                                      S = (L0-z)</t>
  </si>
  <si>
    <t xml:space="preserve">T(R1) = M0*R0*[(1-r1) - .5*(1+beta)*(1-r1^2) +( beta/3)*(1-r1^3) ]  r1 = R1/R0</t>
  </si>
  <si>
    <t xml:space="preserve">Determines D0, the upper limit of integration</t>
  </si>
  <si>
    <t xml:space="preserve">alph</t>
  </si>
  <si>
    <t xml:space="preserve">spike parameter, 0 = no spike</t>
  </si>
  <si>
    <t xml:space="preserve">(alph^2)*D = S^2 -2*S*Ldif*D + Ldif^2 * D^2</t>
  </si>
  <si>
    <t xml:space="preserve">Note: (in one example)</t>
  </si>
  <si>
    <t xml:space="preserve">Reserve</t>
  </si>
  <si>
    <t xml:space="preserve">M0</t>
  </si>
  <si>
    <t xml:space="preserve">Maxium Margin-value of reserves at D=0</t>
  </si>
  <si>
    <t xml:space="preserve">(Ldif^2)*D^2 + (-alph^2- 2*S*Ldif)*D + (S^2) = 0     Solve for D ==&gt; D0g</t>
  </si>
  <si>
    <t xml:space="preserve">dCU/dK = F     determines optimal K</t>
  </si>
  <si>
    <t xml:space="preserve">R0(D0(K,R0)) had a rounding error</t>
  </si>
  <si>
    <t xml:space="preserve">Reserve level where M(R) = 0</t>
  </si>
  <si>
    <t xml:space="preserve">M0*R0</t>
  </si>
  <si>
    <t xml:space="preserve">(1+beta)/2</t>
  </si>
  <si>
    <t xml:space="preserve">beta/3</t>
  </si>
  <si>
    <t xml:space="preserve">dCU/dK = Integral of M(R(D)) from 0 to D0</t>
  </si>
  <si>
    <t xml:space="preserve">of 1 in 8 million.  I.e. R0 != R0.</t>
  </si>
  <si>
    <t xml:space="preserve">beta</t>
  </si>
  <si>
    <t xml:space="preserve">Shape of Reserve marginal-value.  0 = straight</t>
  </si>
  <si>
    <t xml:space="preserve">b = - (alph^2) - 2*S*Ldif</t>
  </si>
  <si>
    <t xml:space="preserve">Kopt</t>
  </si>
  <si>
    <t xml:space="preserve">M(R) = M0*(1 - R/R0)*(1 - beta*R/R0)</t>
  </si>
  <si>
    <t xml:space="preserve">This seems extraordinarily large.</t>
  </si>
  <si>
    <t xml:space="preserve">Gov</t>
  </si>
  <si>
    <t xml:space="preserve">P0</t>
  </si>
  <si>
    <t xml:space="preserve">Price of Reserves when R = 0</t>
  </si>
  <si>
    <t xml:space="preserve">Optimal</t>
  </si>
  <si>
    <t xml:space="preserve">R(D) = K - L(D) = (K - L0) + alpha*D^.5 + Ldif*D</t>
  </si>
  <si>
    <t xml:space="preserve">Policy</t>
  </si>
  <si>
    <t xml:space="preserve">R0g</t>
  </si>
  <si>
    <t xml:space="preserve">Reserve level where P(R) = 0</t>
  </si>
  <si>
    <t xml:space="preserve">D0/n</t>
  </si>
  <si>
    <t xml:space="preserve">CU</t>
  </si>
  <si>
    <t xml:space="preserve">D0opt</t>
  </si>
  <si>
    <t xml:space="preserve">M(R(D))=M0*(f+g*D^.5+h*D)(j+k*D^.5+l*D)</t>
  </si>
  <si>
    <t xml:space="preserve">g</t>
  </si>
  <si>
    <t xml:space="preserve">Reserve Price Factor (RPF) = P0/R0g</t>
  </si>
  <si>
    <t xml:space="preserve">D0 = </t>
  </si>
  <si>
    <t xml:space="preserve">f=1-(K-L0)/R0</t>
  </si>
  <si>
    <t xml:space="preserve">g=-alph/R0</t>
  </si>
  <si>
    <t xml:space="preserve">h = -Ldif/R0</t>
  </si>
  <si>
    <t xml:space="preserve">Pcap</t>
  </si>
  <si>
    <t xml:space="preserve">Price Cap on Reserve Purchases</t>
  </si>
  <si>
    <t xml:space="preserve">Search for K that Makes Fs = F =</t>
  </si>
  <si>
    <t xml:space="preserve">D</t>
  </si>
  <si>
    <t xml:space="preserve">r.1</t>
  </si>
  <si>
    <t xml:space="preserve">T(R1)</t>
  </si>
  <si>
    <t xml:space="preserve">ropt</t>
  </si>
  <si>
    <t xml:space="preserve">j=1-beta*(K-L0)/R0</t>
  </si>
  <si>
    <t xml:space="preserve">k=beta*g</t>
  </si>
  <si>
    <t xml:space="preserve">l = beta*h</t>
  </si>
  <si>
    <t xml:space="preserve">Market</t>
  </si>
  <si>
    <t xml:space="preserve">Competitive Capacity</t>
  </si>
  <si>
    <t xml:space="preserve">KK</t>
  </si>
  <si>
    <t xml:space="preserve">S.1</t>
  </si>
  <si>
    <t xml:space="preserve">a.1</t>
  </si>
  <si>
    <t xml:space="preserve">b.1</t>
  </si>
  <si>
    <t xml:space="preserve">c.1</t>
  </si>
  <si>
    <t xml:space="preserve">DDg</t>
  </si>
  <si>
    <t xml:space="preserve">S.2</t>
  </si>
  <si>
    <t xml:space="preserve">b.2</t>
  </si>
  <si>
    <t xml:space="preserve">c.2</t>
  </si>
  <si>
    <t xml:space="preserve">DDc</t>
  </si>
  <si>
    <t xml:space="preserve">Fs</t>
  </si>
  <si>
    <t xml:space="preserve">Outcome</t>
  </si>
  <si>
    <t xml:space="preserve">Rmin</t>
  </si>
  <si>
    <t xml:space="preserve">Reserve Peak</t>
  </si>
  <si>
    <t xml:space="preserve">M(R(D)) = M0*[ m +n*D^.5 +p*D +q*D^1.5 +r*D^2]</t>
  </si>
  <si>
    <t xml:space="preserve">Pmax</t>
  </si>
  <si>
    <t xml:space="preserve">Maxium price paid for reserves.</t>
  </si>
  <si>
    <t xml:space="preserve">m=f*j</t>
  </si>
  <si>
    <t xml:space="preserve">N=f*k+j*g</t>
  </si>
  <si>
    <t xml:space="preserve">p=g*k+j*h+f*l</t>
  </si>
  <si>
    <t xml:space="preserve">q=g*l+h*k</t>
  </si>
  <si>
    <t xml:space="preserve">r=h*l</t>
  </si>
  <si>
    <t xml:space="preserve">D0</t>
  </si>
  <si>
    <t xml:space="preserve">Duration at which R = R0.   R0 = K - L(D0)</t>
  </si>
  <si>
    <t xml:space="preserve">D0g</t>
  </si>
  <si>
    <t xml:space="preserve">Duration at which R = R0g. R0g = K - L(D0g)</t>
  </si>
  <si>
    <t xml:space="preserve">dCU/dK= M0*D0[m +(n*D0^.5)/1.5 +P*D0/2 +(q*D0^1.5)/2.5 +(r^D0^2)/3 ]</t>
  </si>
  <si>
    <t xml:space="preserve">Cost of Unreliability</t>
  </si>
  <si>
    <t xml:space="preserve">Kbase</t>
  </si>
  <si>
    <t xml:space="preserve">Capacity of Base-Load plants (D = .5)</t>
  </si>
  <si>
    <t xml:space="preserve">Optimal Capacity</t>
  </si>
  <si>
    <t xml:space="preserve">Duration at which R = R0 for Kopt</t>
  </si>
  <si>
    <t xml:space="preserve">CUopt</t>
  </si>
  <si>
    <t xml:space="preserve">Optimla Cost of Unreliability</t>
  </si>
  <si>
    <t xml:space="preserve">a.3</t>
  </si>
  <si>
    <t xml:space="preserve">g.3</t>
  </si>
  <si>
    <t xml:space="preserve">h.3</t>
  </si>
  <si>
    <t xml:space="preserve">k.3</t>
  </si>
  <si>
    <t xml:space="preserve">l.3</t>
  </si>
  <si>
    <t xml:space="preserve">FCPopt</t>
  </si>
  <si>
    <t xml:space="preserve">Fixed Cost of Optimal Peakers</t>
  </si>
  <si>
    <t xml:space="preserve">TCU</t>
  </si>
  <si>
    <t xml:space="preserve">Total Cost of Unreliability problem</t>
  </si>
  <si>
    <t xml:space="preserve">KK.3</t>
  </si>
  <si>
    <t xml:space="preserve">S.3</t>
  </si>
  <si>
    <t xml:space="preserve">b.3</t>
  </si>
  <si>
    <t xml:space="preserve">c.3</t>
  </si>
  <si>
    <t xml:space="preserve">D0.3</t>
  </si>
  <si>
    <t xml:space="preserve">f.3</t>
  </si>
  <si>
    <t xml:space="preserve">j.3</t>
  </si>
  <si>
    <t xml:space="preserve">m.3</t>
  </si>
  <si>
    <t xml:space="preserve">n.3</t>
  </si>
  <si>
    <t xml:space="preserve">p.3</t>
  </si>
  <si>
    <t xml:space="preserve">q.3</t>
  </si>
  <si>
    <t xml:space="preserve">r.3</t>
  </si>
  <si>
    <t xml:space="preserve">Find F given K, D0g and D0c</t>
  </si>
  <si>
    <t xml:space="preserve">F = Pcap*D0c + Int fm D0c to D0g [ P(R) ] dD </t>
  </si>
  <si>
    <t xml:space="preserve">P(R) = P(K - L(D)) = P0*(1 - (K - L(D))/R0g)</t>
  </si>
  <si>
    <t xml:space="preserve">P(R) = P0*(1 - K/R0g)  + P0*L(D))/R0g</t>
  </si>
  <si>
    <t xml:space="preserve">F = Pcap*D0c + (P0 - g*K)*(D0g-D0c) </t>
  </si>
  <si>
    <t xml:space="preserve">      + g * Integral fm D0c to D0g [ L(D) ] dD</t>
  </si>
  <si>
    <t xml:space="preserve">Int [ L(D)] dD = L0*(D0g-D0c) - Int[ D*Ldif - alph * D^.5 ] dD</t>
  </si>
  <si>
    <t xml:space="preserve">Int= L0*(D0g-D0c) - (D0g^2-D0c^2)*Ldif/2 - alph*(D0g^1.5-D0c^1.5)/1.5</t>
  </si>
  <si>
    <t xml:space="preserve">F = Pcap*D0c + (P0+g*(L0-K))*(D0g-D0c) </t>
  </si>
  <si>
    <t xml:space="preserve">      - g*[ (D0g^2-D0c^2)*Ldif/2 + alph*(D0g^1.5-D0c^1.5)/1.5]</t>
  </si>
  <si>
    <t xml:space="preserve">Government / Policy variables</t>
  </si>
  <si>
    <t xml:space="preserve">k*</t>
  </si>
  <si>
    <t xml:space="preserve">Accurate to 1 part in</t>
  </si>
  <si>
    <t xml:space="preserve">Optimal market S and D0 given policy-determined K</t>
  </si>
  <si>
    <t xml:space="preserve">S</t>
  </si>
  <si>
    <t xml:space="preserve">The Price-Spike Calculator </t>
  </si>
  <si>
    <t xml:space="preserve">Ver. 0.6</t>
  </si>
  <si>
    <t xml:space="preserve">Steven Stoft</t>
  </si>
  <si>
    <t xml:space="preserve">This calculator allows regulators to consider their policy options with regard to the inducement of price spikes for the purpose of securing generation adequacy.  It also shows one reason that current price spikes, which are the side effect of antiquated reserves policies, are needlessly high and sharp.</t>
  </si>
  <si>
    <t xml:space="preserve">This calculator only calculates competitive price spikes, and does not take market power into account.</t>
  </si>
</sst>
</file>

<file path=xl/styles.xml><?xml version="1.0" encoding="utf-8"?>
<styleSheet xmlns="http://schemas.openxmlformats.org/spreadsheetml/2006/main">
  <numFmts count="23">
    <numFmt numFmtId="164" formatCode="General"/>
    <numFmt numFmtId="165" formatCode="0%"/>
    <numFmt numFmtId="166" formatCode="0.00%"/>
    <numFmt numFmtId="167" formatCode="0.0"/>
    <numFmt numFmtId="168" formatCode="\$#,##0_);[RED]&quot;($&quot;#,##0\)"/>
    <numFmt numFmtId="169" formatCode="\$#,##0.00_);[RED]&quot;($&quot;#,##0.00\)"/>
    <numFmt numFmtId="170" formatCode="0.0%"/>
    <numFmt numFmtId="171" formatCode="\$#,##0"/>
    <numFmt numFmtId="172" formatCode="0"/>
    <numFmt numFmtId="173" formatCode="#,##0"/>
    <numFmt numFmtId="174" formatCode="0.000"/>
    <numFmt numFmtId="175" formatCode="0.00"/>
    <numFmt numFmtId="176" formatCode="_(\$* #,##0.00_);_(\$* \(#,##0.00\);_(\$* \-??_);_(@_)"/>
    <numFmt numFmtId="177" formatCode="_(\$* #,##0_);_(\$* \(#,##0\);_(\$* \-??_);_(@_)"/>
    <numFmt numFmtId="178" formatCode="0.E+00"/>
    <numFmt numFmtId="179" formatCode="\$#,##0.00"/>
    <numFmt numFmtId="180" formatCode="0E+00"/>
    <numFmt numFmtId="181" formatCode="#,##0.000"/>
    <numFmt numFmtId="182" formatCode="0.00000"/>
    <numFmt numFmtId="183" formatCode="#,##0.00"/>
    <numFmt numFmtId="184" formatCode="#,##0.0"/>
    <numFmt numFmtId="185" formatCode="\$#,##0.000"/>
    <numFmt numFmtId="186" formatCode="\$#,##0.000000"/>
  </numFmts>
  <fonts count="24">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sz val="12"/>
      <name val="Arial"/>
      <family val="2"/>
    </font>
    <font>
      <b val="true"/>
      <sz val="11"/>
      <color rgb="FF008000"/>
      <name val="Arial"/>
      <family val="2"/>
    </font>
    <font>
      <b val="true"/>
      <sz val="11"/>
      <name val="Arial"/>
      <family val="2"/>
    </font>
    <font>
      <b val="true"/>
      <sz val="11"/>
      <color rgb="FFFF0000"/>
      <name val="Arial"/>
      <family val="2"/>
    </font>
    <font>
      <b val="true"/>
      <sz val="10"/>
      <color rgb="FF008000"/>
      <name val="Arial"/>
      <family val="2"/>
    </font>
    <font>
      <b val="true"/>
      <sz val="10"/>
      <color rgb="FFFF0000"/>
      <name val="Arial"/>
      <family val="2"/>
    </font>
    <font>
      <b val="true"/>
      <sz val="10"/>
      <color rgb="FF000000"/>
      <name val="Tahoma"/>
      <family val="2"/>
    </font>
    <font>
      <sz val="9"/>
      <color rgb="FF000000"/>
      <name val="Arial"/>
      <family val="2"/>
    </font>
    <font>
      <sz val="8.75"/>
      <color rgb="FF000000"/>
      <name val="Arial"/>
      <family val="2"/>
    </font>
    <font>
      <b val="true"/>
      <sz val="10"/>
      <color rgb="FF0000FF"/>
      <name val="Arial"/>
      <family val="2"/>
    </font>
    <font>
      <b val="true"/>
      <sz val="10"/>
      <color rgb="FF000000"/>
      <name val="Arial"/>
      <family val="2"/>
    </font>
    <font>
      <b val="true"/>
      <sz val="16"/>
      <name val="Arial"/>
      <family val="2"/>
    </font>
    <font>
      <b val="true"/>
      <u val="single"/>
      <sz val="10"/>
      <name val="Arial"/>
      <family val="2"/>
    </font>
    <font>
      <sz val="10"/>
      <name val="Courier New"/>
      <family val="3"/>
    </font>
    <font>
      <b val="true"/>
      <sz val="8"/>
      <color rgb="FF000000"/>
      <name val="Tahoma"/>
      <family val="0"/>
    </font>
    <font>
      <sz val="8"/>
      <color rgb="FF000000"/>
      <name val="Tahoma"/>
      <family val="0"/>
    </font>
    <font>
      <b val="true"/>
      <sz val="8"/>
      <color rgb="FF000000"/>
      <name val="Tahoma"/>
      <family val="2"/>
    </font>
    <font>
      <b val="true"/>
      <sz val="26"/>
      <name val="Arial"/>
      <family val="2"/>
    </font>
  </fonts>
  <fills count="4">
    <fill>
      <patternFill patternType="none"/>
    </fill>
    <fill>
      <patternFill patternType="gray125"/>
    </fill>
    <fill>
      <patternFill patternType="solid">
        <fgColor rgb="FFFFFF00"/>
        <bgColor rgb="FFFFFF00"/>
      </patternFill>
    </fill>
    <fill>
      <patternFill patternType="solid">
        <fgColor rgb="FF9999FF"/>
        <bgColor rgb="FFCC99FF"/>
      </patternFill>
    </fill>
  </fills>
  <borders count="22">
    <border diagonalUp="false" diagonalDown="false">
      <left/>
      <right/>
      <top/>
      <bottom/>
      <diagonal/>
    </border>
    <border diagonalUp="false" diagonalDown="false">
      <left/>
      <right/>
      <top/>
      <bottom style="medium"/>
      <diagonal/>
    </border>
    <border diagonalUp="false" diagonalDown="false">
      <left style="thin"/>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top style="thick"/>
      <bottom/>
      <diagonal/>
    </border>
    <border diagonalUp="false" diagonalDown="false">
      <left/>
      <right style="thin"/>
      <top style="thick"/>
      <bottom/>
      <diagonal/>
    </border>
    <border diagonalUp="false" diagonalDown="false">
      <left style="thin"/>
      <right style="thin"/>
      <top/>
      <bottom/>
      <diagonal/>
    </border>
    <border diagonalUp="false" diagonalDown="false">
      <left style="hair"/>
      <right style="hair"/>
      <top style="hair"/>
      <bottom style="hair"/>
      <diagonal/>
    </border>
    <border diagonalUp="false" diagonalDown="false">
      <left style="thick"/>
      <right/>
      <top/>
      <bottom/>
      <diagonal/>
    </border>
    <border diagonalUp="false" diagonalDown="false">
      <left style="medium"/>
      <right/>
      <top/>
      <bottom/>
      <diagonal/>
    </border>
    <border diagonalUp="false" diagonalDown="false">
      <left/>
      <right style="medium"/>
      <top/>
      <bottom/>
      <diagonal/>
    </border>
    <border diagonalUp="false" diagonalDown="false">
      <left style="medium"/>
      <right/>
      <top style="thick"/>
      <bottom style="thick"/>
      <diagonal/>
    </border>
    <border diagonalUp="false" diagonalDown="false">
      <left style="medium"/>
      <right style="medium"/>
      <top style="thick">
        <color rgb="FF003300"/>
      </top>
      <bottom style="thick">
        <color rgb="FF003300"/>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top style="thin"/>
      <bottom/>
      <diagonal/>
    </border>
    <border diagonalUp="false" diagonalDown="false">
      <left/>
      <right/>
      <top/>
      <bottom style="thin"/>
      <diagonal/>
    </border>
    <border diagonalUp="false" diagonalDown="false">
      <left/>
      <right style="thick"/>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6" fontId="0" fillId="0" borderId="0" applyFont="true" applyBorder="false" applyAlignment="false" applyProtection="false"/>
    <xf numFmtId="42" fontId="1" fillId="0" borderId="0" applyFont="true" applyBorder="false" applyAlignment="false" applyProtection="false"/>
    <xf numFmtId="165" fontId="0" fillId="0" borderId="0" applyFont="true" applyBorder="false" applyAlignment="false" applyProtection="false"/>
  </cellStyleXfs>
  <cellXfs count="18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6" fontId="0" fillId="0" borderId="0" xfId="19" applyFont="true" applyBorder="true" applyAlignment="true" applyProtection="true">
      <alignment horizontal="center" vertical="bottom" textRotation="0" wrapText="false" indent="0" shrinkToFit="false"/>
      <protection locked="true" hidden="false"/>
    </xf>
    <xf numFmtId="167"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true" applyProtection="false">
      <alignment horizontal="center" vertical="bottom" textRotation="0" wrapText="false" indent="0" shrinkToFit="false"/>
      <protection locked="true" hidden="false"/>
    </xf>
    <xf numFmtId="169" fontId="0" fillId="0" borderId="0" xfId="0" applyFont="false" applyBorder="false" applyAlignment="true" applyProtection="false">
      <alignment horizontal="center"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true"/>
      <protection locked="false" hidden="false"/>
    </xf>
    <xf numFmtId="164" fontId="6" fillId="0" borderId="0" xfId="0" applyFont="true" applyBorder="true" applyAlignment="true" applyProtection="false">
      <alignment horizontal="center" vertical="bottom" textRotation="0" wrapText="false" indent="0" shrinkToFit="false"/>
      <protection locked="true" hidden="false"/>
    </xf>
    <xf numFmtId="170" fontId="7" fillId="0" borderId="2" xfId="19" applyFont="true" applyBorder="true" applyAlignment="true" applyProtection="true">
      <alignment horizontal="right" vertical="bottom" textRotation="0" wrapText="false" indent="0" shrinkToFit="true"/>
      <protection locked="false" hidden="false"/>
    </xf>
    <xf numFmtId="164" fontId="8" fillId="0" borderId="3"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71" fontId="9" fillId="0" borderId="2" xfId="0" applyFont="true" applyBorder="true" applyAlignment="true" applyProtection="false">
      <alignment horizontal="right" vertical="bottom" textRotation="0" wrapText="false" indent="0" shrinkToFit="true"/>
      <protection locked="true" hidden="false"/>
    </xf>
    <xf numFmtId="171" fontId="7" fillId="0" borderId="4" xfId="0" applyFont="true" applyBorder="true" applyAlignment="true" applyProtection="true">
      <alignment horizontal="right" vertical="bottom" textRotation="0" wrapText="false" indent="0" shrinkToFit="true"/>
      <protection locked="false" hidden="false"/>
    </xf>
    <xf numFmtId="164" fontId="8" fillId="0" borderId="5" xfId="0" applyFont="true" applyBorder="true" applyAlignment="false" applyProtection="false">
      <alignment horizontal="general" vertical="bottom" textRotation="0" wrapText="false" indent="0" shrinkToFit="false"/>
      <protection locked="true" hidden="false"/>
    </xf>
    <xf numFmtId="172" fontId="9" fillId="0" borderId="6" xfId="19" applyFont="true" applyBorder="true" applyAlignment="true" applyProtection="true">
      <alignment horizontal="right" vertical="bottom" textRotation="0" wrapText="false" indent="0" shrinkToFit="true"/>
      <protection locked="true" hidden="false"/>
    </xf>
    <xf numFmtId="164" fontId="8" fillId="0" borderId="7" xfId="0" applyFont="true" applyBorder="true" applyAlignment="false" applyProtection="false">
      <alignment horizontal="general" vertical="bottom" textRotation="0" wrapText="false" indent="0" shrinkToFit="false"/>
      <protection locked="true" hidden="false"/>
    </xf>
    <xf numFmtId="172" fontId="7" fillId="0" borderId="6" xfId="19" applyFont="true" applyBorder="true" applyAlignment="true" applyProtection="true">
      <alignment horizontal="right" vertical="bottom" textRotation="0" wrapText="false" indent="0" shrinkToFit="false"/>
      <protection locked="false" hidden="false"/>
    </xf>
    <xf numFmtId="173" fontId="7" fillId="0" borderId="4" xfId="0" applyFont="true" applyBorder="true" applyAlignment="true" applyProtection="true">
      <alignment horizontal="right" vertical="bottom" textRotation="0" wrapText="false" indent="0" shrinkToFit="true"/>
      <protection locked="false" hidden="false"/>
    </xf>
    <xf numFmtId="166" fontId="9" fillId="0" borderId="8" xfId="19" applyFont="true" applyBorder="true" applyAlignment="true" applyProtection="true">
      <alignment horizontal="general" vertical="bottom" textRotation="0" wrapText="false" indent="0" shrinkToFit="false"/>
      <protection locked="true" hidden="false"/>
    </xf>
    <xf numFmtId="164" fontId="8" fillId="0" borderId="9" xfId="0" applyFont="true" applyBorder="true" applyAlignment="false" applyProtection="false">
      <alignment horizontal="general" vertical="bottom" textRotation="0" wrapText="false" indent="0" shrinkToFit="false"/>
      <protection locked="true" hidden="false"/>
    </xf>
    <xf numFmtId="171" fontId="9" fillId="0" borderId="4" xfId="0" applyFont="true" applyBorder="true" applyAlignment="true" applyProtection="false">
      <alignment horizontal="right" vertical="bottom" textRotation="0" wrapText="false" indent="0" shrinkToFit="true"/>
      <protection locked="true" hidden="false"/>
    </xf>
    <xf numFmtId="164" fontId="7" fillId="0" borderId="6" xfId="0" applyFont="true" applyBorder="true" applyAlignment="true" applyProtection="true">
      <alignment horizontal="right" vertical="bottom" textRotation="0" wrapText="false" indent="0" shrinkToFit="true"/>
      <protection locked="false" hidden="false"/>
    </xf>
    <xf numFmtId="165" fontId="9" fillId="0" borderId="6" xfId="0" applyFont="true" applyBorder="true" applyAlignment="true" applyProtection="false">
      <alignment horizontal="right" vertical="bottom" textRotation="0" wrapText="false" indent="0" shrinkToFit="false"/>
      <protection locked="true" hidden="false"/>
    </xf>
    <xf numFmtId="164" fontId="8" fillId="0" borderId="7" xfId="0" applyFont="true" applyBorder="true" applyAlignment="false" applyProtection="false">
      <alignment horizontal="general" vertical="bottom" textRotation="0" wrapText="false" indent="0" shrinkToFit="false"/>
      <protection locked="true" hidden="false"/>
    </xf>
    <xf numFmtId="164" fontId="8" fillId="0" borderId="10" xfId="0" applyFont="true" applyBorder="true" applyAlignment="false" applyProtection="false">
      <alignment horizontal="general" vertical="bottom" textRotation="0" wrapText="false" indent="0" shrinkToFit="false"/>
      <protection locked="true" hidden="false"/>
    </xf>
    <xf numFmtId="171" fontId="9" fillId="0" borderId="6" xfId="0" applyFont="true" applyBorder="true" applyAlignment="true" applyProtection="false">
      <alignment horizontal="right" vertical="bottom" textRotation="0" wrapText="false" indent="0" shrinkToFit="tru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1" xfId="0" applyFont="false" applyBorder="true" applyAlignment="false" applyProtection="true">
      <alignment horizontal="general" vertical="bottom" textRotation="0" wrapText="false" indent="0" shrinkToFit="false"/>
      <protection locked="false" hidden="false"/>
    </xf>
    <xf numFmtId="173" fontId="0" fillId="0" borderId="0" xfId="0" applyFont="false" applyBorder="true" applyAlignment="false" applyProtection="false">
      <alignment horizontal="general" vertical="bottom" textRotation="0" wrapText="false" indent="0" shrinkToFit="false"/>
      <protection locked="true" hidden="false"/>
    </xf>
    <xf numFmtId="173" fontId="11" fillId="0" borderId="11" xfId="0" applyFont="true" applyBorder="true" applyAlignment="true" applyProtection="true">
      <alignment horizontal="right" vertical="bottom" textRotation="0" wrapText="false" indent="0" shrinkToFit="true"/>
      <protection locked="false" hidden="false"/>
    </xf>
    <xf numFmtId="174" fontId="0" fillId="0" borderId="0" xfId="0" applyFont="false" applyBorder="false" applyAlignment="true" applyProtection="false">
      <alignment horizontal="center" vertical="bottom" textRotation="0" wrapText="false" indent="0" shrinkToFit="false"/>
      <protection locked="true" hidden="false"/>
    </xf>
    <xf numFmtId="172" fontId="0" fillId="0" borderId="0" xfId="0" applyFont="false" applyBorder="true" applyAlignment="true" applyProtection="false">
      <alignment horizontal="center" vertical="bottom" textRotation="0" wrapText="false" indent="0" shrinkToFit="false"/>
      <protection locked="true" hidden="false"/>
    </xf>
    <xf numFmtId="170" fontId="0" fillId="0" borderId="0" xfId="19" applyFont="true" applyBorder="true" applyAlignment="true" applyProtection="true">
      <alignment horizontal="center" vertical="bottom" textRotation="0" wrapText="false" indent="0" shrinkToFit="false"/>
      <protection locked="true" hidden="false"/>
    </xf>
    <xf numFmtId="172" fontId="0" fillId="0" borderId="0" xfId="19" applyFont="true" applyBorder="true" applyAlignment="true" applyProtection="true">
      <alignment horizontal="center" vertical="bottom" textRotation="0" wrapText="false" indent="0" shrinkToFit="false"/>
      <protection locked="true" hidden="false"/>
    </xf>
    <xf numFmtId="173" fontId="0" fillId="0" borderId="0" xfId="19" applyFont="true" applyBorder="true" applyAlignment="true" applyProtection="true">
      <alignment horizontal="center" vertical="bottom" textRotation="0" wrapText="false" indent="0" shrinkToFit="false"/>
      <protection locked="true" hidden="false"/>
    </xf>
    <xf numFmtId="172" fontId="0" fillId="0" borderId="0" xfId="0" applyFont="false" applyBorder="false" applyAlignment="true" applyProtection="false">
      <alignment horizontal="center"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70" fontId="0" fillId="0" borderId="0" xfId="19" applyFont="true" applyBorder="true" applyAlignment="true" applyProtection="tru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right" vertical="bottom" textRotation="0" wrapText="true" indent="0" shrinkToFit="false"/>
      <protection locked="true" hidden="false"/>
    </xf>
    <xf numFmtId="170" fontId="0" fillId="0" borderId="0" xfId="19" applyFont="true" applyBorder="true" applyAlignment="true" applyProtection="true">
      <alignment horizontal="general" vertical="bottom" textRotation="0" wrapText="true" indent="0" shrinkToFit="false"/>
      <protection locked="true" hidden="false"/>
    </xf>
    <xf numFmtId="173" fontId="0"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75" fontId="0" fillId="0" borderId="0" xfId="0" applyFont="fals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5" fillId="0" borderId="0" xfId="0" applyFont="true" applyBorder="false" applyAlignment="false" applyProtection="true">
      <alignment horizontal="general" vertical="bottom" textRotation="0" wrapText="false" indent="0" shrinkToFit="false"/>
      <protection locked="true" hidden="true"/>
    </xf>
    <xf numFmtId="176" fontId="0" fillId="0" borderId="0" xfId="17" applyFont="true" applyBorder="true" applyAlignment="true" applyProtection="true">
      <alignment horizontal="general" vertical="bottom" textRotation="0" wrapText="false" indent="0" shrinkToFit="false"/>
      <protection locked="true" hidden="false"/>
    </xf>
    <xf numFmtId="176" fontId="10" fillId="0" borderId="0" xfId="17" applyFont="true" applyBorder="true" applyAlignment="true" applyProtection="true">
      <alignment horizontal="general" vertical="bottom" textRotation="0" wrapText="false" indent="0" shrinkToFit="false"/>
      <protection locked="true" hidden="false"/>
    </xf>
    <xf numFmtId="177" fontId="0" fillId="0" borderId="0" xfId="17" applyFont="true" applyBorder="true" applyAlignment="true" applyProtection="true">
      <alignment horizontal="general" vertical="bottom" textRotation="0" wrapText="false" indent="0" shrinkToFit="false"/>
      <protection locked="true" hidden="false"/>
    </xf>
    <xf numFmtId="165" fontId="0" fillId="0" borderId="0" xfId="19" applyFont="true" applyBorder="true" applyAlignment="true" applyProtection="true">
      <alignment horizontal="general" vertical="bottom" textRotation="0" wrapText="false" indent="0" shrinkToFit="false"/>
      <protection locked="true" hidden="false"/>
    </xf>
    <xf numFmtId="177"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0" fillId="0" borderId="12" xfId="0" applyFont="false" applyBorder="true" applyAlignment="false" applyProtection="true">
      <alignment horizontal="general" vertical="bottom" textRotation="0" wrapText="false" indent="0" shrinkToFit="false"/>
      <protection locked="true" hidden="true"/>
    </xf>
    <xf numFmtId="164" fontId="0" fillId="0" borderId="0" xfId="0" applyFont="false" applyBorder="true" applyAlignment="true" applyProtection="true">
      <alignment horizontal="center" vertical="bottom" textRotation="0" wrapText="false" indent="0" shrinkToFit="false"/>
      <protection locked="true" hidden="true"/>
    </xf>
    <xf numFmtId="178" fontId="0" fillId="0" borderId="0" xfId="0" applyFont="false" applyBorder="true" applyAlignment="true" applyProtection="true">
      <alignment horizontal="center" vertical="bottom" textRotation="0" wrapText="false" indent="0" shrinkToFit="false"/>
      <protection locked="true" hidden="true"/>
    </xf>
    <xf numFmtId="179" fontId="0" fillId="0" borderId="0" xfId="0" applyFont="false" applyBorder="true" applyAlignment="false" applyProtection="true">
      <alignment horizontal="general" vertical="bottom" textRotation="0" wrapText="false" indent="0" shrinkToFit="false"/>
      <protection locked="true" hidden="true"/>
    </xf>
    <xf numFmtId="173" fontId="0" fillId="0" borderId="0" xfId="0" applyFont="false" applyBorder="true" applyAlignment="false" applyProtection="true">
      <alignment horizontal="general" vertical="bottom" textRotation="0" wrapText="false" indent="0" shrinkToFit="false"/>
      <protection locked="true" hidden="true"/>
    </xf>
    <xf numFmtId="179" fontId="0" fillId="0" borderId="13" xfId="0" applyFont="false" applyBorder="true" applyAlignment="false" applyProtection="true">
      <alignment horizontal="general" vertical="bottom"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4" fontId="0" fillId="0" borderId="14" xfId="0" applyFont="false" applyBorder="true" applyAlignment="false" applyProtection="true">
      <alignment horizontal="general" vertical="bottom" textRotation="0" wrapText="false" indent="0" shrinkToFit="false"/>
      <protection locked="true" hidden="true"/>
    </xf>
    <xf numFmtId="173" fontId="0" fillId="0" borderId="0" xfId="0" applyFont="fals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6" fillId="0" borderId="15" xfId="0" applyFont="true" applyBorder="true" applyAlignment="true" applyProtection="true">
      <alignment horizontal="center" vertical="center" textRotation="0" wrapText="false" indent="0" shrinkToFit="false"/>
      <protection locked="true" hidden="true"/>
    </xf>
    <xf numFmtId="179" fontId="6" fillId="0" borderId="16" xfId="0" applyFont="true" applyBorder="true" applyAlignment="true" applyProtection="true">
      <alignment horizontal="center" vertical="center" textRotation="0" wrapText="false" indent="0" shrinkToFit="false"/>
      <protection locked="true" hidden="true"/>
    </xf>
    <xf numFmtId="164" fontId="18" fillId="0" borderId="0" xfId="0" applyFont="true" applyBorder="true" applyAlignment="true" applyProtection="true">
      <alignment horizontal="left" vertical="bottom" textRotation="0" wrapText="false" indent="0" shrinkToFit="false"/>
      <protection locked="true" hidden="true"/>
    </xf>
    <xf numFmtId="178" fontId="18" fillId="0" borderId="0" xfId="0" applyFont="true" applyBorder="true" applyAlignment="true" applyProtection="true">
      <alignment horizontal="left" vertical="bottom" textRotation="0" wrapText="false" indent="0" shrinkToFit="false"/>
      <protection locked="true" hidden="true"/>
    </xf>
    <xf numFmtId="164" fontId="18" fillId="0" borderId="0" xfId="0" applyFont="true" applyBorder="true" applyAlignment="false" applyProtection="true">
      <alignment horizontal="general"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78" fontId="0" fillId="0" borderId="0" xfId="0" applyFont="true" applyBorder="true" applyAlignment="true" applyProtection="true">
      <alignment horizontal="left" vertical="bottom" textRotation="0" wrapText="false" indent="0" shrinkToFit="false"/>
      <protection locked="true" hidden="true"/>
    </xf>
    <xf numFmtId="164" fontId="4" fillId="0" borderId="17" xfId="0" applyFont="true" applyBorder="true" applyAlignment="false" applyProtection="true">
      <alignment horizontal="general" vertical="bottom" textRotation="0" wrapText="false" indent="0" shrinkToFit="false"/>
      <protection locked="true" hidden="true"/>
    </xf>
    <xf numFmtId="164" fontId="0" fillId="0" borderId="18" xfId="0" applyFont="true" applyBorder="true" applyAlignment="false" applyProtection="true">
      <alignment horizontal="general" vertical="bottom" textRotation="0" wrapText="false" indent="0" shrinkToFit="false"/>
      <protection locked="true" hidden="true"/>
    </xf>
    <xf numFmtId="164" fontId="0" fillId="0" borderId="18" xfId="0" applyFont="false" applyBorder="true" applyAlignment="true" applyProtection="true">
      <alignment horizontal="left" vertical="bottom" textRotation="0" wrapText="false" indent="0" shrinkToFit="false"/>
      <protection locked="true" hidden="true"/>
    </xf>
    <xf numFmtId="164" fontId="4" fillId="0" borderId="2" xfId="0" applyFont="true" applyBorder="true" applyAlignment="false" applyProtection="true">
      <alignment horizontal="general" vertical="bottom" textRotation="0" wrapText="false" indent="0" shrinkToFit="false"/>
      <protection locked="true" hidden="true"/>
    </xf>
    <xf numFmtId="164" fontId="0" fillId="0" borderId="19" xfId="0" applyFont="true" applyBorder="true" applyAlignment="false" applyProtection="true">
      <alignment horizontal="general" vertical="bottom" textRotation="0" wrapText="false" indent="0" shrinkToFit="false"/>
      <protection locked="true" hidden="true"/>
    </xf>
    <xf numFmtId="164" fontId="0" fillId="0" borderId="19" xfId="0" applyFont="false" applyBorder="true" applyAlignment="true" applyProtection="true">
      <alignment horizontal="left" vertical="bottom" textRotation="0" wrapText="false" indent="0" shrinkToFit="false"/>
      <protection locked="true" hidden="true"/>
    </xf>
    <xf numFmtId="164" fontId="4" fillId="0" borderId="0" xfId="0" applyFont="true" applyBorder="true" applyAlignment="true" applyProtection="true">
      <alignment horizontal="left" vertical="bottom" textRotation="0" wrapText="false" indent="0" shrinkToFit="false"/>
      <protection locked="true" hidden="true"/>
    </xf>
    <xf numFmtId="173" fontId="0" fillId="0" borderId="0" xfId="0" applyFont="true" applyBorder="true" applyAlignment="true" applyProtection="true">
      <alignment horizontal="left" vertical="bottom" textRotation="0" wrapText="false" indent="0" shrinkToFit="false"/>
      <protection locked="true" hidden="true"/>
    </xf>
    <xf numFmtId="164" fontId="4" fillId="0" borderId="4" xfId="0" applyFont="true" applyBorder="true" applyAlignment="false" applyProtection="true">
      <alignment horizontal="general" vertical="bottom" textRotation="0" wrapText="false" indent="0" shrinkToFit="false"/>
      <protection locked="true" hidden="true"/>
    </xf>
    <xf numFmtId="164" fontId="5" fillId="0" borderId="5" xfId="0" applyFont="true" applyBorder="true" applyAlignment="false" applyProtection="true">
      <alignment horizontal="general" vertical="bottom" textRotation="0" wrapText="false" indent="0" shrinkToFit="false"/>
      <protection locked="true" hidden="true"/>
    </xf>
    <xf numFmtId="164" fontId="0" fillId="0" borderId="0" xfId="0" applyFont="true" applyBorder="true" applyAlignment="false" applyProtection="true">
      <alignment horizontal="general" vertical="bottom" textRotation="0" wrapText="false" indent="0" shrinkToFit="false"/>
      <protection locked="true" hidden="true"/>
    </xf>
    <xf numFmtId="173" fontId="0" fillId="0" borderId="0" xfId="0" applyFont="true" applyBorder="true" applyAlignment="true" applyProtection="true">
      <alignment horizontal="left" vertical="bottom" textRotation="0" wrapText="false" indent="0" shrinkToFit="false"/>
      <protection locked="true" hidden="true"/>
    </xf>
    <xf numFmtId="164" fontId="4" fillId="0" borderId="6" xfId="0" applyFont="true" applyBorder="true" applyAlignment="false" applyProtection="true">
      <alignment horizontal="general" vertical="bottom" textRotation="0" wrapText="false" indent="0" shrinkToFit="false"/>
      <protection locked="true" hidden="true"/>
    </xf>
    <xf numFmtId="164" fontId="0" fillId="0" borderId="20" xfId="0" applyFont="true" applyBorder="true" applyAlignment="false" applyProtection="true">
      <alignment horizontal="general" vertical="bottom" textRotation="0" wrapText="false" indent="0" shrinkToFit="false"/>
      <protection locked="true" hidden="true"/>
    </xf>
    <xf numFmtId="164" fontId="0" fillId="0" borderId="20" xfId="0" applyFont="false" applyBorder="true" applyAlignment="true" applyProtection="true">
      <alignment horizontal="left" vertical="bottom" textRotation="0" wrapText="false" indent="0" shrinkToFit="false"/>
      <protection locked="true" hidden="true"/>
    </xf>
    <xf numFmtId="164" fontId="0" fillId="0" borderId="4" xfId="0" applyFont="false" applyBorder="true" applyAlignment="false" applyProtection="true">
      <alignment horizontal="general" vertical="bottom" textRotation="0" wrapText="false" indent="0" shrinkToFit="false"/>
      <protection locked="true" hidden="true"/>
    </xf>
    <xf numFmtId="165" fontId="0" fillId="0" borderId="20" xfId="0" applyFont="false" applyBorder="true" applyAlignment="true" applyProtection="true">
      <alignment horizontal="left" vertical="bottom" textRotation="0" wrapText="false" indent="0" shrinkToFit="false"/>
      <protection locked="true" hidden="true"/>
    </xf>
    <xf numFmtId="180" fontId="0" fillId="0" borderId="4" xfId="0" applyFont="false" applyBorder="true" applyAlignment="false" applyProtection="true">
      <alignment horizontal="general" vertical="bottom" textRotation="0" wrapText="false" indent="0" shrinkToFit="false"/>
      <protection locked="true" hidden="true"/>
    </xf>
    <xf numFmtId="164" fontId="0" fillId="0" borderId="0" xfId="0" applyFont="true" applyBorder="true" applyAlignment="true" applyProtection="true">
      <alignment horizontal="right" vertical="bottom" textRotation="0" wrapText="false" indent="0" shrinkToFit="false"/>
      <protection locked="true" hidden="true"/>
    </xf>
    <xf numFmtId="164" fontId="4" fillId="0" borderId="0" xfId="0" applyFont="true" applyBorder="true" applyAlignment="true" applyProtection="true">
      <alignment horizontal="right" vertical="bottom" textRotation="0" wrapText="false" indent="0" shrinkToFit="false"/>
      <protection locked="true" hidden="true"/>
    </xf>
    <xf numFmtId="167" fontId="4" fillId="0" borderId="0" xfId="0" applyFont="true" applyBorder="true" applyAlignment="false" applyProtection="true">
      <alignment horizontal="general" vertical="bottom" textRotation="0" wrapText="false" indent="0" shrinkToFit="false"/>
      <protection locked="true" hidden="true"/>
    </xf>
    <xf numFmtId="173" fontId="19" fillId="0" borderId="0" xfId="0" applyFont="true" applyBorder="true" applyAlignment="true" applyProtection="true">
      <alignment horizontal="left" vertical="bottom" textRotation="0" wrapText="false" indent="0" shrinkToFit="false"/>
      <protection locked="true" hidden="true"/>
    </xf>
    <xf numFmtId="164" fontId="5" fillId="0" borderId="0" xfId="0" applyFont="true" applyBorder="true" applyAlignment="false" applyProtection="true">
      <alignment horizontal="general" vertical="bottom" textRotation="0" wrapText="false" indent="0" shrinkToFit="false"/>
      <protection locked="true" hidden="true"/>
    </xf>
    <xf numFmtId="181" fontId="0" fillId="0" borderId="0" xfId="0" applyFont="false" applyBorder="true" applyAlignment="false" applyProtection="true">
      <alignment horizontal="general" vertical="bottom" textRotation="0" wrapText="false" indent="0" shrinkToFit="false"/>
      <protection locked="true" hidden="true"/>
    </xf>
    <xf numFmtId="166" fontId="0" fillId="0" borderId="4" xfId="19" applyFont="true" applyBorder="true" applyAlignment="true" applyProtection="true">
      <alignment horizontal="general" vertical="bottom" textRotation="0" wrapText="false" indent="0" shrinkToFit="false"/>
      <protection locked="true" hidden="true"/>
    </xf>
    <xf numFmtId="164" fontId="19" fillId="0" borderId="0" xfId="0" applyFont="true" applyBorder="false" applyAlignment="false" applyProtection="true">
      <alignment horizontal="general" vertical="bottom" textRotation="0" wrapText="false" indent="0" shrinkToFit="false"/>
      <protection locked="true" hidden="true"/>
    </xf>
    <xf numFmtId="164" fontId="0" fillId="0" borderId="6" xfId="0" applyFont="false" applyBorder="true" applyAlignment="false" applyProtection="true">
      <alignment horizontal="general" vertical="bottom" textRotation="0" wrapText="false" indent="0" shrinkToFit="false"/>
      <protection locked="true" hidden="true"/>
    </xf>
    <xf numFmtId="178" fontId="5" fillId="0" borderId="0" xfId="0" applyFont="true" applyBorder="true" applyAlignment="false" applyProtection="true">
      <alignment horizontal="general" vertical="bottom" textRotation="0" wrapText="false" indent="0" shrinkToFit="false"/>
      <protection locked="true" hidden="true"/>
    </xf>
    <xf numFmtId="178" fontId="4" fillId="0" borderId="0"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false" applyProtection="true">
      <alignment horizontal="general" vertical="bottom" textRotation="0" wrapText="false" indent="0" shrinkToFit="false"/>
      <protection locked="true" hidden="true"/>
    </xf>
    <xf numFmtId="164" fontId="0" fillId="0" borderId="19" xfId="0" applyFont="true" applyBorder="true" applyAlignment="false" applyProtection="true">
      <alignment horizontal="general" vertical="bottom" textRotation="0" wrapText="false" indent="0" shrinkToFit="false"/>
      <protection locked="true" hidden="true"/>
    </xf>
    <xf numFmtId="173" fontId="0" fillId="0" borderId="19" xfId="0" applyFont="false" applyBorder="true" applyAlignment="true" applyProtection="true">
      <alignment horizontal="left" vertical="bottom" textRotation="0" wrapText="false" indent="0" shrinkToFit="false"/>
      <protection locked="true" hidden="true"/>
    </xf>
    <xf numFmtId="179" fontId="0" fillId="0" borderId="0" xfId="0" applyFont="true" applyBorder="true" applyAlignment="true" applyProtection="true">
      <alignment horizontal="center" vertical="bottom" textRotation="0" wrapText="false" indent="0" shrinkToFit="false"/>
      <protection locked="true" hidden="true"/>
    </xf>
    <xf numFmtId="173" fontId="0" fillId="0" borderId="0" xfId="0" applyFont="false" applyBorder="true" applyAlignment="true" applyProtection="true">
      <alignment horizontal="right" vertical="bottom" textRotation="0" wrapText="false" indent="0" shrinkToFit="false"/>
      <protection locked="true" hidden="true"/>
    </xf>
    <xf numFmtId="182" fontId="0" fillId="0" borderId="0" xfId="0" applyFont="false" applyBorder="true" applyAlignment="true" applyProtection="true">
      <alignment horizontal="center" vertical="bottom" textRotation="0" wrapText="false" indent="0" shrinkToFit="false"/>
      <protection locked="true" hidden="true"/>
    </xf>
    <xf numFmtId="165" fontId="0" fillId="0" borderId="0" xfId="19" applyFont="true" applyBorder="true" applyAlignment="true" applyProtection="true">
      <alignment horizontal="center" vertical="bottom" textRotation="0" wrapText="false" indent="0" shrinkToFit="false"/>
      <protection locked="true" hidden="true"/>
    </xf>
    <xf numFmtId="173" fontId="0" fillId="0" borderId="4" xfId="0" applyFont="false" applyBorder="true" applyAlignment="false" applyProtection="true">
      <alignment horizontal="general" vertical="bottom" textRotation="0" wrapText="false" indent="0" shrinkToFit="false"/>
      <protection locked="true" hidden="true"/>
    </xf>
    <xf numFmtId="173" fontId="0" fillId="0" borderId="14" xfId="0" applyFont="false" applyBorder="true" applyAlignment="false" applyProtection="true">
      <alignment horizontal="general" vertical="bottom" textRotation="0" wrapText="false" indent="0" shrinkToFit="false"/>
      <protection locked="true" hidden="true"/>
    </xf>
    <xf numFmtId="164" fontId="4" fillId="0" borderId="4" xfId="0" applyFont="true" applyBorder="true" applyAlignment="false" applyProtection="true">
      <alignment horizontal="general" vertical="bottom" textRotation="0" wrapText="false" indent="0" shrinkToFit="false"/>
      <protection locked="true" hidden="true"/>
    </xf>
    <xf numFmtId="172" fontId="0" fillId="0" borderId="0" xfId="0" applyFont="false" applyBorder="true" applyAlignment="true" applyProtection="true">
      <alignment horizontal="left" vertical="bottom" textRotation="0" wrapText="false" indent="0" shrinkToFit="false"/>
      <protection locked="true" hidden="true"/>
    </xf>
    <xf numFmtId="173" fontId="0" fillId="0" borderId="12" xfId="0" applyFont="false" applyBorder="true" applyAlignment="false" applyProtection="true">
      <alignment horizontal="general" vertical="bottom" textRotation="0" wrapText="false" indent="0" shrinkToFit="false"/>
      <protection locked="true" hidden="true"/>
    </xf>
    <xf numFmtId="173" fontId="0" fillId="0" borderId="0" xfId="0" applyFont="false" applyBorder="true" applyAlignment="true" applyProtection="true">
      <alignment horizontal="center" vertical="bottom" textRotation="0" wrapText="false" indent="0" shrinkToFit="false"/>
      <protection locked="true" hidden="true"/>
    </xf>
    <xf numFmtId="170" fontId="0" fillId="0" borderId="0" xfId="19" applyFont="true" applyBorder="true" applyAlignment="true" applyProtection="true">
      <alignment horizontal="center" vertical="bottom" textRotation="0" wrapText="false" indent="0" shrinkToFit="false"/>
      <protection locked="true" hidden="true"/>
    </xf>
    <xf numFmtId="172" fontId="0" fillId="0" borderId="0" xfId="19" applyFont="true" applyBorder="true" applyAlignment="true" applyProtection="true">
      <alignment horizontal="center" vertical="bottom" textRotation="0" wrapText="false" indent="0" shrinkToFit="false"/>
      <protection locked="true" hidden="true"/>
    </xf>
    <xf numFmtId="182" fontId="5" fillId="0" borderId="0" xfId="0" applyFont="true" applyBorder="true" applyAlignment="false" applyProtection="true">
      <alignment horizontal="general" vertical="bottom" textRotation="0" wrapText="false" indent="0" shrinkToFit="false"/>
      <protection locked="true" hidden="true"/>
    </xf>
    <xf numFmtId="172" fontId="5" fillId="0" borderId="0" xfId="0" applyFont="true" applyBorder="false" applyAlignment="false" applyProtection="true">
      <alignment horizontal="general" vertical="bottom" textRotation="0" wrapText="false" indent="0" shrinkToFit="false"/>
      <protection locked="true" hidden="true"/>
    </xf>
    <xf numFmtId="171" fontId="0" fillId="0" borderId="0" xfId="0" applyFont="false" applyBorder="true" applyAlignment="true" applyProtection="true">
      <alignment horizontal="left" vertical="bottom" textRotation="0" wrapText="false" indent="0" shrinkToFit="false"/>
      <protection locked="true" hidden="true"/>
    </xf>
    <xf numFmtId="164" fontId="5" fillId="0" borderId="0" xfId="0" applyFont="true" applyBorder="true" applyAlignment="false" applyProtection="true">
      <alignment horizontal="general" vertical="bottom" textRotation="0" wrapText="false" indent="0" shrinkToFit="false"/>
      <protection locked="true" hidden="true"/>
    </xf>
    <xf numFmtId="166" fontId="5" fillId="0" borderId="0" xfId="0" applyFont="true" applyBorder="true" applyAlignment="true" applyProtection="true">
      <alignment horizontal="left" vertical="bottom" textRotation="0" wrapText="false" indent="0" shrinkToFit="false"/>
      <protection locked="true" hidden="true"/>
    </xf>
    <xf numFmtId="173" fontId="5" fillId="0" borderId="0" xfId="0" applyFont="true" applyBorder="false" applyAlignment="false" applyProtection="true">
      <alignment horizontal="general" vertical="bottom" textRotation="0" wrapText="false" indent="0" shrinkToFit="false"/>
      <protection locked="true" hidden="true"/>
    </xf>
    <xf numFmtId="171" fontId="0" fillId="0" borderId="4" xfId="0" applyFont="false" applyBorder="true" applyAlignment="false" applyProtection="true">
      <alignment horizontal="general" vertical="bottom" textRotation="0" wrapText="false" indent="0" shrinkToFit="false"/>
      <protection locked="true" hidden="true"/>
    </xf>
    <xf numFmtId="166" fontId="0" fillId="0" borderId="0" xfId="0" applyFont="false" applyBorder="true" applyAlignment="true" applyProtection="true">
      <alignment horizontal="left" vertical="bottom" textRotation="0" wrapText="false" indent="0" shrinkToFit="false"/>
      <protection locked="true" hidden="true"/>
    </xf>
    <xf numFmtId="164" fontId="5" fillId="0" borderId="4" xfId="0" applyFont="true" applyBorder="true" applyAlignment="false" applyProtection="true">
      <alignment horizontal="general" vertical="bottom" textRotation="0" wrapText="false" indent="0" shrinkToFit="false"/>
      <protection locked="true" hidden="true"/>
    </xf>
    <xf numFmtId="164" fontId="5" fillId="0" borderId="6" xfId="0" applyFont="true" applyBorder="true" applyAlignment="false" applyProtection="true">
      <alignment horizontal="general" vertical="bottom" textRotation="0" wrapText="false" indent="0" shrinkToFit="false"/>
      <protection locked="true" hidden="true"/>
    </xf>
    <xf numFmtId="164" fontId="0" fillId="0" borderId="20" xfId="0" applyFont="true" applyBorder="true" applyAlignment="false" applyProtection="true">
      <alignment horizontal="general" vertical="bottom" textRotation="0" wrapText="false" indent="0" shrinkToFit="false"/>
      <protection locked="true" hidden="true"/>
    </xf>
    <xf numFmtId="173" fontId="5" fillId="0" borderId="20" xfId="0" applyFont="true" applyBorder="true" applyAlignment="true" applyProtection="true">
      <alignment horizontal="left" vertical="bottom" textRotation="0" wrapText="false" indent="0" shrinkToFit="false"/>
      <protection locked="true" hidden="true"/>
    </xf>
    <xf numFmtId="164" fontId="5" fillId="0" borderId="20" xfId="0" applyFont="true" applyBorder="true" applyAlignment="false" applyProtection="true">
      <alignment horizontal="general" vertical="bottom" textRotation="0" wrapText="false" indent="0" shrinkToFit="false"/>
      <protection locked="true" hidden="true"/>
    </xf>
    <xf numFmtId="164" fontId="5" fillId="0" borderId="19" xfId="0" applyFont="true" applyBorder="true" applyAlignment="false" applyProtection="true">
      <alignment horizontal="general" vertical="bottom" textRotation="0" wrapText="false" indent="0" shrinkToFit="false"/>
      <protection locked="true" hidden="true"/>
    </xf>
    <xf numFmtId="166" fontId="0" fillId="0" borderId="0" xfId="19" applyFont="true" applyBorder="true" applyAlignment="true" applyProtection="true">
      <alignment horizontal="left" vertical="bottom" textRotation="0" wrapText="false" indent="0" shrinkToFit="false"/>
      <protection locked="true" hidden="true"/>
    </xf>
    <xf numFmtId="164" fontId="5" fillId="0" borderId="13" xfId="0" applyFont="true" applyBorder="true" applyAlignment="false" applyProtection="true">
      <alignment horizontal="general" vertical="bottom" textRotation="0" wrapText="false" indent="0" shrinkToFit="false"/>
      <protection locked="true" hidden="true"/>
    </xf>
    <xf numFmtId="164" fontId="5" fillId="0" borderId="14" xfId="0" applyFont="true" applyBorder="true" applyAlignment="false" applyProtection="true">
      <alignment horizontal="general" vertical="bottom" textRotation="0" wrapText="false" indent="0" shrinkToFit="false"/>
      <protection locked="true" hidden="true"/>
    </xf>
    <xf numFmtId="173" fontId="5" fillId="0" borderId="0" xfId="0" applyFont="true" applyBorder="false" applyAlignment="true" applyProtection="true">
      <alignment horizontal="center" vertical="bottom" textRotation="0" wrapText="false" indent="0" shrinkToFit="false"/>
      <protection locked="true" hidden="true"/>
    </xf>
    <xf numFmtId="164" fontId="5" fillId="0" borderId="0" xfId="0" applyFont="true" applyBorder="false" applyAlignment="true" applyProtection="true">
      <alignment horizontal="center" vertical="bottom" textRotation="0" wrapText="false" indent="0" shrinkToFit="false"/>
      <protection locked="true" hidden="true"/>
    </xf>
    <xf numFmtId="164" fontId="19" fillId="0" borderId="0" xfId="0" applyFont="true" applyBorder="false" applyAlignment="true" applyProtection="true">
      <alignment horizontal="center" vertical="bottom" textRotation="0" wrapText="false" indent="0" shrinkToFit="false"/>
      <protection locked="true" hidden="true"/>
    </xf>
    <xf numFmtId="178" fontId="5" fillId="0" borderId="0" xfId="0" applyFont="true" applyBorder="false" applyAlignment="true" applyProtection="true">
      <alignment horizontal="center" vertical="bottom" textRotation="0" wrapText="false" indent="0" shrinkToFit="false"/>
      <protection locked="true" hidden="true"/>
    </xf>
    <xf numFmtId="167" fontId="5" fillId="0" borderId="0" xfId="0" applyFont="true" applyBorder="false" applyAlignment="true" applyProtection="true">
      <alignment horizontal="center" vertical="bottom" textRotation="0" wrapText="false" indent="0" shrinkToFit="false"/>
      <protection locked="true" hidden="true"/>
    </xf>
    <xf numFmtId="173" fontId="5" fillId="0" borderId="0" xfId="0" applyFont="true" applyBorder="true" applyAlignment="true" applyProtection="true">
      <alignment horizontal="left" vertical="bottom" textRotation="0" wrapText="false" indent="0" shrinkToFit="false"/>
      <protection locked="true" hidden="true"/>
    </xf>
    <xf numFmtId="164" fontId="5" fillId="0" borderId="0" xfId="0" applyFont="true" applyBorder="true" applyAlignment="true" applyProtection="true">
      <alignment horizontal="center" vertical="bottom" textRotation="0" wrapText="false" indent="0" shrinkToFit="false"/>
      <protection locked="true" hidden="true"/>
    </xf>
    <xf numFmtId="172" fontId="0" fillId="0" borderId="0" xfId="0" applyFont="false" applyBorder="true" applyAlignment="true" applyProtection="true">
      <alignment horizontal="right" vertical="bottom" textRotation="0" wrapText="false" indent="0" shrinkToFit="false"/>
      <protection locked="true" hidden="true"/>
    </xf>
    <xf numFmtId="164" fontId="5" fillId="0" borderId="21" xfId="0" applyFont="true" applyBorder="true" applyAlignment="false" applyProtection="true">
      <alignment horizontal="general" vertical="bottom" textRotation="0" wrapText="false" indent="0" shrinkToFit="false"/>
      <protection locked="true" hidden="true"/>
    </xf>
    <xf numFmtId="164" fontId="5" fillId="0" borderId="12" xfId="0" applyFont="true" applyBorder="true" applyAlignment="false" applyProtection="true">
      <alignment horizontal="general" vertical="bottom" textRotation="0" wrapText="false" indent="0" shrinkToFit="false"/>
      <protection locked="true" hidden="true"/>
    </xf>
    <xf numFmtId="178" fontId="0" fillId="0" borderId="0" xfId="0" applyFont="false" applyBorder="true" applyAlignment="false" applyProtection="true">
      <alignment horizontal="general" vertical="bottom" textRotation="0" wrapText="false" indent="0" shrinkToFit="false"/>
      <protection locked="true" hidden="true"/>
    </xf>
    <xf numFmtId="173" fontId="0" fillId="0" borderId="13" xfId="0" applyFont="false" applyBorder="true" applyAlignment="false" applyProtection="true">
      <alignment horizontal="general" vertical="bottom" textRotation="0" wrapText="false" indent="0" shrinkToFit="false"/>
      <protection locked="true" hidden="true"/>
    </xf>
    <xf numFmtId="172" fontId="5" fillId="0" borderId="0" xfId="0" applyFont="true" applyBorder="false" applyAlignment="true" applyProtection="true">
      <alignment horizontal="center" vertical="bottom" textRotation="0" wrapText="false" indent="0" shrinkToFit="false"/>
      <protection locked="true" hidden="true"/>
    </xf>
    <xf numFmtId="166" fontId="5" fillId="0" borderId="0" xfId="19" applyFont="true" applyBorder="true" applyAlignment="true" applyProtection="true">
      <alignment horizontal="center" vertical="bottom" textRotation="0" wrapText="false" indent="0" shrinkToFit="false"/>
      <protection locked="true" hidden="true"/>
    </xf>
    <xf numFmtId="167" fontId="5" fillId="0" borderId="0" xfId="0" applyFont="true" applyBorder="false" applyAlignment="false" applyProtection="true">
      <alignment horizontal="general" vertical="bottom" textRotation="0" wrapText="false" indent="0" shrinkToFit="false"/>
      <protection locked="true" hidden="true"/>
    </xf>
    <xf numFmtId="179" fontId="5"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true" applyAlignment="false" applyProtection="true">
      <alignment horizontal="general" vertical="bottom" textRotation="0" wrapText="false" indent="0" shrinkToFit="false"/>
      <protection locked="true" hidden="true"/>
    </xf>
    <xf numFmtId="164" fontId="18" fillId="0" borderId="0" xfId="0" applyFont="true" applyBorder="false" applyAlignment="false" applyProtection="true">
      <alignment horizontal="general" vertical="bottom" textRotation="0" wrapText="false" indent="0" shrinkToFit="false"/>
      <protection locked="true" hidden="true"/>
    </xf>
    <xf numFmtId="164" fontId="0" fillId="0" borderId="13" xfId="0" applyFont="false" applyBorder="true" applyAlignment="false" applyProtection="true">
      <alignment horizontal="general" vertical="bottom" textRotation="0" wrapText="false" indent="0" shrinkToFit="false"/>
      <protection locked="true" hidden="true"/>
    </xf>
    <xf numFmtId="183" fontId="0" fillId="0" borderId="0" xfId="0" applyFont="false" applyBorder="true" applyAlignment="true" applyProtection="true">
      <alignment horizontal="right" vertical="bottom" textRotation="0" wrapText="false" indent="0" shrinkToFit="false"/>
      <protection locked="true" hidden="true"/>
    </xf>
    <xf numFmtId="183" fontId="0" fillId="0" borderId="0" xfId="0" applyFont="false" applyBorder="true" applyAlignment="false" applyProtection="true">
      <alignment horizontal="general" vertical="bottom" textRotation="0" wrapText="false" indent="0" shrinkToFit="false"/>
      <protection locked="true" hidden="true"/>
    </xf>
    <xf numFmtId="184" fontId="5" fillId="0" borderId="0" xfId="0" applyFont="true" applyBorder="false" applyAlignment="true" applyProtection="true">
      <alignment horizontal="center" vertical="bottom" textRotation="0" wrapText="false" indent="0" shrinkToFit="false"/>
      <protection locked="true" hidden="true"/>
    </xf>
    <xf numFmtId="185" fontId="5" fillId="0" borderId="0" xfId="0" applyFont="true" applyBorder="false" applyAlignment="false" applyProtection="true">
      <alignment horizontal="general" vertical="bottom" textRotation="0" wrapText="false" indent="0" shrinkToFit="false"/>
      <protection locked="true" hidden="true"/>
    </xf>
    <xf numFmtId="183" fontId="4" fillId="0" borderId="0" xfId="0" applyFont="true" applyBorder="true" applyAlignment="true" applyProtection="true">
      <alignment horizontal="right" vertical="bottom" textRotation="0" wrapText="false" indent="0" shrinkToFit="false"/>
      <protection locked="true" hidden="true"/>
    </xf>
    <xf numFmtId="186" fontId="0" fillId="0" borderId="0" xfId="0" applyFont="false" applyBorder="true" applyAlignment="false" applyProtection="true">
      <alignment horizontal="general" vertical="bottom" textRotation="0" wrapText="false" indent="0" shrinkToFit="false"/>
      <protection locked="true" hidden="true"/>
    </xf>
    <xf numFmtId="184" fontId="0" fillId="0" borderId="0" xfId="0" applyFont="false" applyBorder="true" applyAlignment="true" applyProtection="true">
      <alignment horizontal="center" vertical="bottom" textRotation="0" wrapText="false" indent="0" shrinkToFit="false"/>
      <protection locked="true" hidden="true"/>
    </xf>
    <xf numFmtId="173" fontId="4" fillId="0" borderId="0" xfId="0" applyFont="true" applyBorder="true" applyAlignment="true" applyProtection="true">
      <alignment horizontal="center" vertical="bottom" textRotation="0" wrapText="false" indent="0" shrinkToFit="false"/>
      <protection locked="true" hidden="true"/>
    </xf>
    <xf numFmtId="173" fontId="4" fillId="0" borderId="0" xfId="0" applyFont="true" applyBorder="true" applyAlignment="true" applyProtection="true">
      <alignment horizontal="left" vertical="bottom" textRotation="0" wrapText="false" indent="0" shrinkToFit="false"/>
      <protection locked="true" hidden="true"/>
    </xf>
    <xf numFmtId="164" fontId="6" fillId="0" borderId="0" xfId="0" applyFont="true" applyBorder="true" applyAlignment="true" applyProtection="true">
      <alignment horizontal="center" vertical="bottom" textRotation="0" wrapText="false" indent="0" shrinkToFit="false"/>
      <protection locked="true" hidden="true"/>
    </xf>
    <xf numFmtId="166" fontId="6" fillId="0" borderId="0" xfId="19" applyFont="true" applyBorder="true" applyAlignment="true" applyProtection="true">
      <alignment horizontal="center" vertical="bottom" textRotation="0" wrapText="false" indent="0" shrinkToFit="false"/>
      <protection locked="true" hidden="true"/>
    </xf>
    <xf numFmtId="173" fontId="4" fillId="0" borderId="0" xfId="0" applyFont="true" applyBorder="false" applyAlignment="true" applyProtection="true">
      <alignment horizontal="right" vertical="bottom" textRotation="0" wrapText="false" indent="0" shrinkToFit="false"/>
      <protection locked="true" hidden="true"/>
    </xf>
    <xf numFmtId="164" fontId="6" fillId="0" borderId="0" xfId="0" applyFont="true" applyBorder="false" applyAlignment="true" applyProtection="true">
      <alignment horizontal="center" vertical="bottom" textRotation="0" wrapText="false" indent="0" shrinkToFit="false"/>
      <protection locked="true" hidden="true"/>
    </xf>
    <xf numFmtId="172" fontId="0" fillId="0" borderId="0" xfId="0" applyFont="false" applyBorder="true" applyAlignment="true" applyProtection="true">
      <alignment horizontal="center" vertical="bottom" textRotation="0" wrapText="false" indent="0" shrinkToFit="false"/>
      <protection locked="true" hidden="true"/>
    </xf>
    <xf numFmtId="164" fontId="0" fillId="3" borderId="0" xfId="0" applyFont="false" applyBorder="false" applyAlignment="false" applyProtection="false">
      <alignment horizontal="general" vertical="bottom" textRotation="0" wrapText="false" indent="0" shrinkToFit="false"/>
      <protection locked="true" hidden="false"/>
    </xf>
    <xf numFmtId="164" fontId="8" fillId="3" borderId="0" xfId="0" applyFont="tru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23" fillId="3" borderId="0" xfId="0" applyFont="true" applyBorder="false" applyAlignment="true" applyProtection="false">
      <alignment horizontal="center" vertical="bottom" textRotation="0" wrapText="false" indent="0" shrinkToFit="false"/>
      <protection locked="true" hidden="false"/>
    </xf>
    <xf numFmtId="164" fontId="17" fillId="3" borderId="0" xfId="0" applyFont="true" applyBorder="false" applyAlignment="true" applyProtection="false">
      <alignment horizontal="center" vertical="bottom" textRotation="0" wrapText="false" indent="0" shrinkToFit="false"/>
      <protection locked="true" hidden="false"/>
    </xf>
    <xf numFmtId="164" fontId="6" fillId="3"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278613618633679"/>
          <c:y val="0.059227225721538"/>
          <c:w val="0.972138638136632"/>
          <c:h val="0.916423803704052"/>
        </c:manualLayout>
      </c:layout>
      <c:scatterChart>
        <c:scatterStyle val="line"/>
        <c:varyColors val="0"/>
        <c:ser>
          <c:idx val="0"/>
          <c:order val="0"/>
          <c:spPr>
            <a:solidFill>
              <a:srgbClr val="ff0000"/>
            </a:solidFill>
            <a:ln w="378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37800">
                  <a:solidFill>
                    <a:srgbClr val="000000"/>
                  </a:solidFill>
                </a:ln>
              </c:spPr>
            </c:leaderLines>
            <c:extLst>
              <c:ext xmlns:c15="http://schemas.microsoft.com/office/drawing/2012/chart" uri="{CE6537A1-D6FC-4f65-9D91-7224C49458BB}">
                <c15:showLeaderLines val="1"/>
              </c:ext>
            </c:extLst>
          </c:dLbls>
          <c:xVal>
            <c:numRef>
              <c:f>'G.data'!$G$4:$G$124</c:f>
              <c:numCache>
                <c:formatCode>0.0%</c:formatCode>
                <c:ptCount val="121"/>
                <c:pt idx="0">
                  <c:v>0</c:v>
                </c:pt>
                <c:pt idx="1">
                  <c:v>0.001</c:v>
                </c:pt>
                <c:pt idx="2">
                  <c:v>0.002</c:v>
                </c:pt>
                <c:pt idx="3">
                  <c:v>0.003</c:v>
                </c:pt>
                <c:pt idx="4">
                  <c:v>0.004</c:v>
                </c:pt>
                <c:pt idx="5">
                  <c:v>0.005</c:v>
                </c:pt>
                <c:pt idx="6">
                  <c:v>0.006</c:v>
                </c:pt>
                <c:pt idx="7">
                  <c:v>0.007</c:v>
                </c:pt>
                <c:pt idx="8">
                  <c:v>0.008</c:v>
                </c:pt>
                <c:pt idx="9">
                  <c:v>0.009</c:v>
                </c:pt>
                <c:pt idx="10">
                  <c:v>0.01</c:v>
                </c:pt>
                <c:pt idx="11">
                  <c:v>0.011</c:v>
                </c:pt>
                <c:pt idx="12">
                  <c:v>0.012</c:v>
                </c:pt>
                <c:pt idx="13">
                  <c:v>0.013</c:v>
                </c:pt>
                <c:pt idx="14">
                  <c:v>0.014</c:v>
                </c:pt>
                <c:pt idx="15">
                  <c:v>0.015</c:v>
                </c:pt>
                <c:pt idx="16">
                  <c:v>0.016</c:v>
                </c:pt>
                <c:pt idx="17">
                  <c:v>0.017</c:v>
                </c:pt>
                <c:pt idx="18">
                  <c:v>0.018</c:v>
                </c:pt>
                <c:pt idx="19">
                  <c:v>0.019</c:v>
                </c:pt>
                <c:pt idx="20">
                  <c:v>0.02</c:v>
                </c:pt>
                <c:pt idx="21">
                  <c:v>0.021</c:v>
                </c:pt>
                <c:pt idx="22">
                  <c:v>0.022</c:v>
                </c:pt>
                <c:pt idx="23">
                  <c:v>0.023</c:v>
                </c:pt>
                <c:pt idx="24">
                  <c:v>0.024</c:v>
                </c:pt>
                <c:pt idx="25">
                  <c:v>0.025</c:v>
                </c:pt>
                <c:pt idx="26">
                  <c:v>0.026</c:v>
                </c:pt>
                <c:pt idx="27">
                  <c:v>0.027</c:v>
                </c:pt>
                <c:pt idx="28">
                  <c:v>0.028</c:v>
                </c:pt>
                <c:pt idx="29">
                  <c:v>0.029</c:v>
                </c:pt>
                <c:pt idx="30">
                  <c:v>0.03</c:v>
                </c:pt>
                <c:pt idx="31">
                  <c:v>0.031</c:v>
                </c:pt>
                <c:pt idx="32">
                  <c:v>0.032</c:v>
                </c:pt>
                <c:pt idx="33">
                  <c:v>0.033</c:v>
                </c:pt>
                <c:pt idx="34">
                  <c:v>0.034</c:v>
                </c:pt>
                <c:pt idx="35">
                  <c:v>0.035</c:v>
                </c:pt>
                <c:pt idx="36">
                  <c:v>0.036</c:v>
                </c:pt>
                <c:pt idx="37">
                  <c:v>0.037</c:v>
                </c:pt>
                <c:pt idx="38">
                  <c:v>0.038</c:v>
                </c:pt>
                <c:pt idx="39">
                  <c:v>0.039</c:v>
                </c:pt>
                <c:pt idx="40">
                  <c:v>0.04</c:v>
                </c:pt>
                <c:pt idx="41">
                  <c:v>0.041</c:v>
                </c:pt>
                <c:pt idx="42">
                  <c:v>0.042</c:v>
                </c:pt>
                <c:pt idx="43">
                  <c:v>0.043</c:v>
                </c:pt>
                <c:pt idx="44">
                  <c:v>0.044</c:v>
                </c:pt>
                <c:pt idx="45">
                  <c:v>0.045</c:v>
                </c:pt>
                <c:pt idx="46">
                  <c:v>0.046</c:v>
                </c:pt>
                <c:pt idx="47">
                  <c:v>0.047</c:v>
                </c:pt>
                <c:pt idx="48">
                  <c:v>0.048</c:v>
                </c:pt>
                <c:pt idx="49">
                  <c:v>0.049</c:v>
                </c:pt>
                <c:pt idx="50">
                  <c:v>0.05</c:v>
                </c:pt>
                <c:pt idx="51">
                  <c:v>0.051</c:v>
                </c:pt>
                <c:pt idx="52">
                  <c:v>0.052</c:v>
                </c:pt>
                <c:pt idx="53">
                  <c:v>0.053</c:v>
                </c:pt>
                <c:pt idx="54">
                  <c:v>0.054</c:v>
                </c:pt>
                <c:pt idx="55">
                  <c:v>0.055</c:v>
                </c:pt>
                <c:pt idx="56">
                  <c:v>0.056</c:v>
                </c:pt>
                <c:pt idx="57">
                  <c:v>0.057</c:v>
                </c:pt>
                <c:pt idx="58">
                  <c:v>0.058</c:v>
                </c:pt>
                <c:pt idx="59">
                  <c:v>0.059</c:v>
                </c:pt>
                <c:pt idx="60">
                  <c:v>0.06</c:v>
                </c:pt>
                <c:pt idx="61">
                  <c:v>0.0610000000000001</c:v>
                </c:pt>
                <c:pt idx="62">
                  <c:v>0.0620000000000001</c:v>
                </c:pt>
                <c:pt idx="63">
                  <c:v>0.063</c:v>
                </c:pt>
                <c:pt idx="64">
                  <c:v>0.064</c:v>
                </c:pt>
                <c:pt idx="65">
                  <c:v>0.065</c:v>
                </c:pt>
                <c:pt idx="66">
                  <c:v>0.066</c:v>
                </c:pt>
                <c:pt idx="67">
                  <c:v>0.0670000000000001</c:v>
                </c:pt>
                <c:pt idx="68">
                  <c:v>0.0680000000000001</c:v>
                </c:pt>
                <c:pt idx="69">
                  <c:v>0.0690000000000001</c:v>
                </c:pt>
                <c:pt idx="70">
                  <c:v>0.0700000000000001</c:v>
                </c:pt>
                <c:pt idx="71">
                  <c:v>0.0710000000000001</c:v>
                </c:pt>
                <c:pt idx="72">
                  <c:v>0.0720000000000001</c:v>
                </c:pt>
                <c:pt idx="73">
                  <c:v>0.0730000000000001</c:v>
                </c:pt>
                <c:pt idx="74">
                  <c:v>0.0740000000000001</c:v>
                </c:pt>
                <c:pt idx="75">
                  <c:v>0.0750000000000001</c:v>
                </c:pt>
                <c:pt idx="76">
                  <c:v>0.0760000000000001</c:v>
                </c:pt>
                <c:pt idx="77">
                  <c:v>0.0770000000000001</c:v>
                </c:pt>
                <c:pt idx="78">
                  <c:v>0.0780000000000001</c:v>
                </c:pt>
                <c:pt idx="79">
                  <c:v>0.0790000000000001</c:v>
                </c:pt>
                <c:pt idx="80">
                  <c:v>0.0800000000000001</c:v>
                </c:pt>
                <c:pt idx="81">
                  <c:v>0.0810000000000001</c:v>
                </c:pt>
                <c:pt idx="82">
                  <c:v>0.0820000000000001</c:v>
                </c:pt>
                <c:pt idx="83">
                  <c:v>0.0830000000000001</c:v>
                </c:pt>
                <c:pt idx="84">
                  <c:v>0.0840000000000001</c:v>
                </c:pt>
                <c:pt idx="85">
                  <c:v>0.0850000000000001</c:v>
                </c:pt>
                <c:pt idx="86">
                  <c:v>0.0860000000000001</c:v>
                </c:pt>
                <c:pt idx="87">
                  <c:v>0.0870000000000001</c:v>
                </c:pt>
                <c:pt idx="88">
                  <c:v>0.0880000000000001</c:v>
                </c:pt>
                <c:pt idx="89">
                  <c:v>0.0890000000000001</c:v>
                </c:pt>
                <c:pt idx="90">
                  <c:v>0.0900000000000001</c:v>
                </c:pt>
                <c:pt idx="91">
                  <c:v>0.0910000000000001</c:v>
                </c:pt>
                <c:pt idx="92">
                  <c:v>0.0920000000000001</c:v>
                </c:pt>
                <c:pt idx="93">
                  <c:v>0.0930000000000001</c:v>
                </c:pt>
                <c:pt idx="94">
                  <c:v>0.0940000000000001</c:v>
                </c:pt>
                <c:pt idx="95">
                  <c:v>0.0950000000000001</c:v>
                </c:pt>
                <c:pt idx="96">
                  <c:v>0.0960000000000001</c:v>
                </c:pt>
                <c:pt idx="97">
                  <c:v>0.0970000000000001</c:v>
                </c:pt>
                <c:pt idx="98">
                  <c:v>0.0980000000000001</c:v>
                </c:pt>
                <c:pt idx="99">
                  <c:v>0.0990000000000001</c:v>
                </c:pt>
                <c:pt idx="100">
                  <c:v>0.1</c:v>
                </c:pt>
                <c:pt idx="101">
                  <c:v>0.101</c:v>
                </c:pt>
                <c:pt idx="102">
                  <c:v>0.102</c:v>
                </c:pt>
                <c:pt idx="103">
                  <c:v>0.103</c:v>
                </c:pt>
                <c:pt idx="104">
                  <c:v>0.104</c:v>
                </c:pt>
                <c:pt idx="105">
                  <c:v>0.105</c:v>
                </c:pt>
                <c:pt idx="106">
                  <c:v>0.106</c:v>
                </c:pt>
                <c:pt idx="107">
                  <c:v>0.107</c:v>
                </c:pt>
                <c:pt idx="108">
                  <c:v>0.108</c:v>
                </c:pt>
                <c:pt idx="109">
                  <c:v>0.109</c:v>
                </c:pt>
                <c:pt idx="110">
                  <c:v>0.11</c:v>
                </c:pt>
                <c:pt idx="111">
                  <c:v>0.111</c:v>
                </c:pt>
                <c:pt idx="112">
                  <c:v>0.112</c:v>
                </c:pt>
                <c:pt idx="113">
                  <c:v>0.113</c:v>
                </c:pt>
                <c:pt idx="114">
                  <c:v>0.114</c:v>
                </c:pt>
                <c:pt idx="115">
                  <c:v>0.115</c:v>
                </c:pt>
                <c:pt idx="116">
                  <c:v>0.116</c:v>
                </c:pt>
                <c:pt idx="117">
                  <c:v>0.117</c:v>
                </c:pt>
                <c:pt idx="118">
                  <c:v>0.118</c:v>
                </c:pt>
                <c:pt idx="119">
                  <c:v>0.119</c:v>
                </c:pt>
                <c:pt idx="120">
                  <c:v>0.12</c:v>
                </c:pt>
              </c:numCache>
            </c:numRef>
          </c:xVal>
          <c:yVal>
            <c:numRef>
              <c:f>'G.data'!$K$4:$K$124</c:f>
              <c:numCache>
                <c:formatCode>General</c:formatCode>
                <c:ptCount val="121"/>
                <c:pt idx="0">
                  <c:v>10000</c:v>
                </c:pt>
                <c:pt idx="1">
                  <c:v>9857.14285714286</c:v>
                </c:pt>
                <c:pt idx="2">
                  <c:v>9714.28571428571</c:v>
                </c:pt>
                <c:pt idx="3">
                  <c:v>9571.42857142857</c:v>
                </c:pt>
                <c:pt idx="4">
                  <c:v>9428.57142857143</c:v>
                </c:pt>
                <c:pt idx="5">
                  <c:v>9285.71428571429</c:v>
                </c:pt>
                <c:pt idx="6">
                  <c:v>9142.85714285714</c:v>
                </c:pt>
                <c:pt idx="7">
                  <c:v>9000</c:v>
                </c:pt>
                <c:pt idx="8">
                  <c:v>8857.14285714286</c:v>
                </c:pt>
                <c:pt idx="9">
                  <c:v>8714.28571428571</c:v>
                </c:pt>
                <c:pt idx="10">
                  <c:v>8571.42857142857</c:v>
                </c:pt>
                <c:pt idx="11">
                  <c:v>8428.57142857143</c:v>
                </c:pt>
                <c:pt idx="12">
                  <c:v>8285.71428571429</c:v>
                </c:pt>
                <c:pt idx="13">
                  <c:v>8142.85714285714</c:v>
                </c:pt>
                <c:pt idx="14">
                  <c:v>8000</c:v>
                </c:pt>
                <c:pt idx="15">
                  <c:v>7857.14285714286</c:v>
                </c:pt>
                <c:pt idx="16">
                  <c:v>7714.28571428571</c:v>
                </c:pt>
                <c:pt idx="17">
                  <c:v>7571.42857142857</c:v>
                </c:pt>
                <c:pt idx="18">
                  <c:v>7428.57142857143</c:v>
                </c:pt>
                <c:pt idx="19">
                  <c:v>7285.71428571428</c:v>
                </c:pt>
                <c:pt idx="20">
                  <c:v>7142.85714285714</c:v>
                </c:pt>
                <c:pt idx="21">
                  <c:v>7000</c:v>
                </c:pt>
                <c:pt idx="22">
                  <c:v>6857.14285714286</c:v>
                </c:pt>
                <c:pt idx="23">
                  <c:v>6714.28571428571</c:v>
                </c:pt>
                <c:pt idx="24">
                  <c:v>6571.42857142857</c:v>
                </c:pt>
                <c:pt idx="25">
                  <c:v>6428.57142857143</c:v>
                </c:pt>
                <c:pt idx="26">
                  <c:v>6285.71428571428</c:v>
                </c:pt>
                <c:pt idx="27">
                  <c:v>6142.85714285714</c:v>
                </c:pt>
                <c:pt idx="28">
                  <c:v>6000</c:v>
                </c:pt>
                <c:pt idx="29">
                  <c:v>5857.14285714286</c:v>
                </c:pt>
                <c:pt idx="30">
                  <c:v>5714.28571428571</c:v>
                </c:pt>
                <c:pt idx="31">
                  <c:v>5571.42857142857</c:v>
                </c:pt>
                <c:pt idx="32">
                  <c:v>5428.57142857143</c:v>
                </c:pt>
                <c:pt idx="33">
                  <c:v>5285.71428571428</c:v>
                </c:pt>
                <c:pt idx="34">
                  <c:v>5142.85714285714</c:v>
                </c:pt>
                <c:pt idx="35">
                  <c:v>5000</c:v>
                </c:pt>
                <c:pt idx="36">
                  <c:v>4857.14285714285</c:v>
                </c:pt>
                <c:pt idx="37">
                  <c:v>4714.28571428571</c:v>
                </c:pt>
                <c:pt idx="38">
                  <c:v>4571.42857142857</c:v>
                </c:pt>
                <c:pt idx="39">
                  <c:v>4428.57142857143</c:v>
                </c:pt>
                <c:pt idx="40">
                  <c:v>4285.71428571428</c:v>
                </c:pt>
                <c:pt idx="41">
                  <c:v>4142.85714285714</c:v>
                </c:pt>
                <c:pt idx="42">
                  <c:v>4000</c:v>
                </c:pt>
                <c:pt idx="43">
                  <c:v>3857.14285714285</c:v>
                </c:pt>
                <c:pt idx="44">
                  <c:v>3714.28571428571</c:v>
                </c:pt>
                <c:pt idx="45">
                  <c:v>3571.42857142857</c:v>
                </c:pt>
                <c:pt idx="46">
                  <c:v>3428.57142857142</c:v>
                </c:pt>
                <c:pt idx="47">
                  <c:v>3285.71428571428</c:v>
                </c:pt>
                <c:pt idx="48">
                  <c:v>3142.85714285714</c:v>
                </c:pt>
                <c:pt idx="49">
                  <c:v>3000</c:v>
                </c:pt>
                <c:pt idx="50">
                  <c:v>2857.14285714285</c:v>
                </c:pt>
                <c:pt idx="51">
                  <c:v>2714.28571428571</c:v>
                </c:pt>
                <c:pt idx="52">
                  <c:v>2571.42857142857</c:v>
                </c:pt>
                <c:pt idx="53">
                  <c:v>2428.57142857143</c:v>
                </c:pt>
                <c:pt idx="54">
                  <c:v>2285.71428571428</c:v>
                </c:pt>
                <c:pt idx="55">
                  <c:v>2142.85714285714</c:v>
                </c:pt>
                <c:pt idx="56">
                  <c:v>1999.99999999999</c:v>
                </c:pt>
                <c:pt idx="57">
                  <c:v>1857.14285714285</c:v>
                </c:pt>
                <c:pt idx="58">
                  <c:v>1714.28571428571</c:v>
                </c:pt>
                <c:pt idx="59">
                  <c:v>1571.42857142857</c:v>
                </c:pt>
                <c:pt idx="60">
                  <c:v>1428.57142857142</c:v>
                </c:pt>
                <c:pt idx="61">
                  <c:v>1285.71428571428</c:v>
                </c:pt>
                <c:pt idx="62">
                  <c:v>1142.85714285714</c:v>
                </c:pt>
                <c:pt idx="63">
                  <c:v>999.999999999995</c:v>
                </c:pt>
                <c:pt idx="64">
                  <c:v>857.142857142851</c:v>
                </c:pt>
                <c:pt idx="65">
                  <c:v>714.285714285708</c:v>
                </c:pt>
                <c:pt idx="66">
                  <c:v>571.428571428567</c:v>
                </c:pt>
                <c:pt idx="67">
                  <c:v>428.571428571424</c:v>
                </c:pt>
                <c:pt idx="68">
                  <c:v>285.714285714281</c:v>
                </c:pt>
                <c:pt idx="69">
                  <c:v>142.857142857138</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numCache>
            </c:numRef>
          </c:yVal>
          <c:smooth val="0"/>
        </c:ser>
        <c:ser>
          <c:idx val="1"/>
          <c:order val="1"/>
          <c:spPr>
            <a:solidFill>
              <a:srgbClr val="000000"/>
            </a:solidFill>
            <a:ln w="25200">
              <a:solidFill>
                <a:srgbClr val="00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xVal>
            <c:numRef>
              <c:f>'G.data'!$G$4:$G$124</c:f>
              <c:numCache>
                <c:formatCode>0.0%</c:formatCode>
                <c:ptCount val="121"/>
                <c:pt idx="0">
                  <c:v>0</c:v>
                </c:pt>
                <c:pt idx="1">
                  <c:v>0.001</c:v>
                </c:pt>
                <c:pt idx="2">
                  <c:v>0.002</c:v>
                </c:pt>
                <c:pt idx="3">
                  <c:v>0.003</c:v>
                </c:pt>
                <c:pt idx="4">
                  <c:v>0.004</c:v>
                </c:pt>
                <c:pt idx="5">
                  <c:v>0.005</c:v>
                </c:pt>
                <c:pt idx="6">
                  <c:v>0.006</c:v>
                </c:pt>
                <c:pt idx="7">
                  <c:v>0.007</c:v>
                </c:pt>
                <c:pt idx="8">
                  <c:v>0.008</c:v>
                </c:pt>
                <c:pt idx="9">
                  <c:v>0.009</c:v>
                </c:pt>
                <c:pt idx="10">
                  <c:v>0.01</c:v>
                </c:pt>
                <c:pt idx="11">
                  <c:v>0.011</c:v>
                </c:pt>
                <c:pt idx="12">
                  <c:v>0.012</c:v>
                </c:pt>
                <c:pt idx="13">
                  <c:v>0.013</c:v>
                </c:pt>
                <c:pt idx="14">
                  <c:v>0.014</c:v>
                </c:pt>
                <c:pt idx="15">
                  <c:v>0.015</c:v>
                </c:pt>
                <c:pt idx="16">
                  <c:v>0.016</c:v>
                </c:pt>
                <c:pt idx="17">
                  <c:v>0.017</c:v>
                </c:pt>
                <c:pt idx="18">
                  <c:v>0.018</c:v>
                </c:pt>
                <c:pt idx="19">
                  <c:v>0.019</c:v>
                </c:pt>
                <c:pt idx="20">
                  <c:v>0.02</c:v>
                </c:pt>
                <c:pt idx="21">
                  <c:v>0.021</c:v>
                </c:pt>
                <c:pt idx="22">
                  <c:v>0.022</c:v>
                </c:pt>
                <c:pt idx="23">
                  <c:v>0.023</c:v>
                </c:pt>
                <c:pt idx="24">
                  <c:v>0.024</c:v>
                </c:pt>
                <c:pt idx="25">
                  <c:v>0.025</c:v>
                </c:pt>
                <c:pt idx="26">
                  <c:v>0.026</c:v>
                </c:pt>
                <c:pt idx="27">
                  <c:v>0.027</c:v>
                </c:pt>
                <c:pt idx="28">
                  <c:v>0.028</c:v>
                </c:pt>
                <c:pt idx="29">
                  <c:v>0.029</c:v>
                </c:pt>
                <c:pt idx="30">
                  <c:v>0.03</c:v>
                </c:pt>
                <c:pt idx="31">
                  <c:v>0.031</c:v>
                </c:pt>
                <c:pt idx="32">
                  <c:v>0.032</c:v>
                </c:pt>
                <c:pt idx="33">
                  <c:v>0.033</c:v>
                </c:pt>
                <c:pt idx="34">
                  <c:v>0.034</c:v>
                </c:pt>
                <c:pt idx="35">
                  <c:v>0.035</c:v>
                </c:pt>
                <c:pt idx="36">
                  <c:v>0.036</c:v>
                </c:pt>
                <c:pt idx="37">
                  <c:v>0.037</c:v>
                </c:pt>
                <c:pt idx="38">
                  <c:v>0.038</c:v>
                </c:pt>
                <c:pt idx="39">
                  <c:v>0.039</c:v>
                </c:pt>
                <c:pt idx="40">
                  <c:v>0.04</c:v>
                </c:pt>
                <c:pt idx="41">
                  <c:v>0.041</c:v>
                </c:pt>
                <c:pt idx="42">
                  <c:v>0.042</c:v>
                </c:pt>
                <c:pt idx="43">
                  <c:v>0.043</c:v>
                </c:pt>
                <c:pt idx="44">
                  <c:v>0.044</c:v>
                </c:pt>
                <c:pt idx="45">
                  <c:v>0.045</c:v>
                </c:pt>
                <c:pt idx="46">
                  <c:v>0.046</c:v>
                </c:pt>
                <c:pt idx="47">
                  <c:v>0.047</c:v>
                </c:pt>
                <c:pt idx="48">
                  <c:v>0.048</c:v>
                </c:pt>
                <c:pt idx="49">
                  <c:v>0.049</c:v>
                </c:pt>
                <c:pt idx="50">
                  <c:v>0.05</c:v>
                </c:pt>
                <c:pt idx="51">
                  <c:v>0.051</c:v>
                </c:pt>
                <c:pt idx="52">
                  <c:v>0.052</c:v>
                </c:pt>
                <c:pt idx="53">
                  <c:v>0.053</c:v>
                </c:pt>
                <c:pt idx="54">
                  <c:v>0.054</c:v>
                </c:pt>
                <c:pt idx="55">
                  <c:v>0.055</c:v>
                </c:pt>
                <c:pt idx="56">
                  <c:v>0.056</c:v>
                </c:pt>
                <c:pt idx="57">
                  <c:v>0.057</c:v>
                </c:pt>
                <c:pt idx="58">
                  <c:v>0.058</c:v>
                </c:pt>
                <c:pt idx="59">
                  <c:v>0.059</c:v>
                </c:pt>
                <c:pt idx="60">
                  <c:v>0.06</c:v>
                </c:pt>
                <c:pt idx="61">
                  <c:v>0.0610000000000001</c:v>
                </c:pt>
                <c:pt idx="62">
                  <c:v>0.0620000000000001</c:v>
                </c:pt>
                <c:pt idx="63">
                  <c:v>0.063</c:v>
                </c:pt>
                <c:pt idx="64">
                  <c:v>0.064</c:v>
                </c:pt>
                <c:pt idx="65">
                  <c:v>0.065</c:v>
                </c:pt>
                <c:pt idx="66">
                  <c:v>0.066</c:v>
                </c:pt>
                <c:pt idx="67">
                  <c:v>0.0670000000000001</c:v>
                </c:pt>
                <c:pt idx="68">
                  <c:v>0.0680000000000001</c:v>
                </c:pt>
                <c:pt idx="69">
                  <c:v>0.0690000000000001</c:v>
                </c:pt>
                <c:pt idx="70">
                  <c:v>0.0700000000000001</c:v>
                </c:pt>
                <c:pt idx="71">
                  <c:v>0.0710000000000001</c:v>
                </c:pt>
                <c:pt idx="72">
                  <c:v>0.0720000000000001</c:v>
                </c:pt>
                <c:pt idx="73">
                  <c:v>0.0730000000000001</c:v>
                </c:pt>
                <c:pt idx="74">
                  <c:v>0.0740000000000001</c:v>
                </c:pt>
                <c:pt idx="75">
                  <c:v>0.0750000000000001</c:v>
                </c:pt>
                <c:pt idx="76">
                  <c:v>0.0760000000000001</c:v>
                </c:pt>
                <c:pt idx="77">
                  <c:v>0.0770000000000001</c:v>
                </c:pt>
                <c:pt idx="78">
                  <c:v>0.0780000000000001</c:v>
                </c:pt>
                <c:pt idx="79">
                  <c:v>0.0790000000000001</c:v>
                </c:pt>
                <c:pt idx="80">
                  <c:v>0.0800000000000001</c:v>
                </c:pt>
                <c:pt idx="81">
                  <c:v>0.0810000000000001</c:v>
                </c:pt>
                <c:pt idx="82">
                  <c:v>0.0820000000000001</c:v>
                </c:pt>
                <c:pt idx="83">
                  <c:v>0.0830000000000001</c:v>
                </c:pt>
                <c:pt idx="84">
                  <c:v>0.0840000000000001</c:v>
                </c:pt>
                <c:pt idx="85">
                  <c:v>0.0850000000000001</c:v>
                </c:pt>
                <c:pt idx="86">
                  <c:v>0.0860000000000001</c:v>
                </c:pt>
                <c:pt idx="87">
                  <c:v>0.0870000000000001</c:v>
                </c:pt>
                <c:pt idx="88">
                  <c:v>0.0880000000000001</c:v>
                </c:pt>
                <c:pt idx="89">
                  <c:v>0.0890000000000001</c:v>
                </c:pt>
                <c:pt idx="90">
                  <c:v>0.0900000000000001</c:v>
                </c:pt>
                <c:pt idx="91">
                  <c:v>0.0910000000000001</c:v>
                </c:pt>
                <c:pt idx="92">
                  <c:v>0.0920000000000001</c:v>
                </c:pt>
                <c:pt idx="93">
                  <c:v>0.0930000000000001</c:v>
                </c:pt>
                <c:pt idx="94">
                  <c:v>0.0940000000000001</c:v>
                </c:pt>
                <c:pt idx="95">
                  <c:v>0.0950000000000001</c:v>
                </c:pt>
                <c:pt idx="96">
                  <c:v>0.0960000000000001</c:v>
                </c:pt>
                <c:pt idx="97">
                  <c:v>0.0970000000000001</c:v>
                </c:pt>
                <c:pt idx="98">
                  <c:v>0.0980000000000001</c:v>
                </c:pt>
                <c:pt idx="99">
                  <c:v>0.0990000000000001</c:v>
                </c:pt>
                <c:pt idx="100">
                  <c:v>0.1</c:v>
                </c:pt>
                <c:pt idx="101">
                  <c:v>0.101</c:v>
                </c:pt>
                <c:pt idx="102">
                  <c:v>0.102</c:v>
                </c:pt>
                <c:pt idx="103">
                  <c:v>0.103</c:v>
                </c:pt>
                <c:pt idx="104">
                  <c:v>0.104</c:v>
                </c:pt>
                <c:pt idx="105">
                  <c:v>0.105</c:v>
                </c:pt>
                <c:pt idx="106">
                  <c:v>0.106</c:v>
                </c:pt>
                <c:pt idx="107">
                  <c:v>0.107</c:v>
                </c:pt>
                <c:pt idx="108">
                  <c:v>0.108</c:v>
                </c:pt>
                <c:pt idx="109">
                  <c:v>0.109</c:v>
                </c:pt>
                <c:pt idx="110">
                  <c:v>0.11</c:v>
                </c:pt>
                <c:pt idx="111">
                  <c:v>0.111</c:v>
                </c:pt>
                <c:pt idx="112">
                  <c:v>0.112</c:v>
                </c:pt>
                <c:pt idx="113">
                  <c:v>0.113</c:v>
                </c:pt>
                <c:pt idx="114">
                  <c:v>0.114</c:v>
                </c:pt>
                <c:pt idx="115">
                  <c:v>0.115</c:v>
                </c:pt>
                <c:pt idx="116">
                  <c:v>0.116</c:v>
                </c:pt>
                <c:pt idx="117">
                  <c:v>0.117</c:v>
                </c:pt>
                <c:pt idx="118">
                  <c:v>0.118</c:v>
                </c:pt>
                <c:pt idx="119">
                  <c:v>0.119</c:v>
                </c:pt>
                <c:pt idx="120">
                  <c:v>0.12</c:v>
                </c:pt>
              </c:numCache>
            </c:numRef>
          </c:xVal>
          <c:yVal>
            <c:numRef>
              <c:f>'G.data'!$J$4:$J$124</c:f>
              <c:numCache>
                <c:formatCode>0</c:formatCode>
                <c:ptCount val="121"/>
                <c:pt idx="0">
                  <c:v>10000</c:v>
                </c:pt>
                <c:pt idx="1">
                  <c:v>9857.14285714286</c:v>
                </c:pt>
                <c:pt idx="2">
                  <c:v>9714.28571428571</c:v>
                </c:pt>
                <c:pt idx="3">
                  <c:v>9571.42857142857</c:v>
                </c:pt>
                <c:pt idx="4">
                  <c:v>9428.57142857143</c:v>
                </c:pt>
                <c:pt idx="5">
                  <c:v>9285.71428571429</c:v>
                </c:pt>
                <c:pt idx="6">
                  <c:v>9142.85714285714</c:v>
                </c:pt>
                <c:pt idx="7">
                  <c:v>9000</c:v>
                </c:pt>
                <c:pt idx="8">
                  <c:v>8857.14285714286</c:v>
                </c:pt>
                <c:pt idx="9">
                  <c:v>8714.28571428571</c:v>
                </c:pt>
                <c:pt idx="10">
                  <c:v>8571.42857142857</c:v>
                </c:pt>
                <c:pt idx="11">
                  <c:v>8428.57142857143</c:v>
                </c:pt>
                <c:pt idx="12">
                  <c:v>8285.71428571428</c:v>
                </c:pt>
                <c:pt idx="13">
                  <c:v>8142.85714285714</c:v>
                </c:pt>
                <c:pt idx="14">
                  <c:v>8000</c:v>
                </c:pt>
                <c:pt idx="15">
                  <c:v>7857.14285714286</c:v>
                </c:pt>
                <c:pt idx="16">
                  <c:v>7714.28571428571</c:v>
                </c:pt>
                <c:pt idx="17">
                  <c:v>7571.42857142857</c:v>
                </c:pt>
                <c:pt idx="18">
                  <c:v>7428.57142857143</c:v>
                </c:pt>
                <c:pt idx="19">
                  <c:v>7285.71428571428</c:v>
                </c:pt>
                <c:pt idx="20">
                  <c:v>7142.85714285714</c:v>
                </c:pt>
                <c:pt idx="21">
                  <c:v>7000</c:v>
                </c:pt>
                <c:pt idx="22">
                  <c:v>6857.14285714286</c:v>
                </c:pt>
                <c:pt idx="23">
                  <c:v>6714.28571428571</c:v>
                </c:pt>
                <c:pt idx="24">
                  <c:v>6571.42857142857</c:v>
                </c:pt>
                <c:pt idx="25">
                  <c:v>6428.57142857143</c:v>
                </c:pt>
                <c:pt idx="26">
                  <c:v>6285.71428571428</c:v>
                </c:pt>
                <c:pt idx="27">
                  <c:v>6142.85714285714</c:v>
                </c:pt>
                <c:pt idx="28">
                  <c:v>6000</c:v>
                </c:pt>
                <c:pt idx="29">
                  <c:v>5857.14285714286</c:v>
                </c:pt>
                <c:pt idx="30">
                  <c:v>5714.28571428571</c:v>
                </c:pt>
                <c:pt idx="31">
                  <c:v>5571.42857142857</c:v>
                </c:pt>
                <c:pt idx="32">
                  <c:v>5428.57142857143</c:v>
                </c:pt>
                <c:pt idx="33">
                  <c:v>5285.71428571428</c:v>
                </c:pt>
                <c:pt idx="34">
                  <c:v>5142.85714285714</c:v>
                </c:pt>
                <c:pt idx="35">
                  <c:v>5000</c:v>
                </c:pt>
                <c:pt idx="36">
                  <c:v>4857.14285714285</c:v>
                </c:pt>
                <c:pt idx="37">
                  <c:v>4714.28571428571</c:v>
                </c:pt>
                <c:pt idx="38">
                  <c:v>4571.42857142857</c:v>
                </c:pt>
                <c:pt idx="39">
                  <c:v>4428.57142857143</c:v>
                </c:pt>
                <c:pt idx="40">
                  <c:v>4285.71428571428</c:v>
                </c:pt>
                <c:pt idx="41">
                  <c:v>4142.85714285714</c:v>
                </c:pt>
                <c:pt idx="42">
                  <c:v>4000</c:v>
                </c:pt>
                <c:pt idx="43">
                  <c:v>3857.14285714285</c:v>
                </c:pt>
                <c:pt idx="44">
                  <c:v>3714.28571428571</c:v>
                </c:pt>
                <c:pt idx="45">
                  <c:v>3571.42857142857</c:v>
                </c:pt>
                <c:pt idx="46">
                  <c:v>3428.57142857142</c:v>
                </c:pt>
                <c:pt idx="47">
                  <c:v>3285.71428571428</c:v>
                </c:pt>
                <c:pt idx="48">
                  <c:v>3142.85714285714</c:v>
                </c:pt>
                <c:pt idx="49">
                  <c:v>3000</c:v>
                </c:pt>
                <c:pt idx="50">
                  <c:v>2857.14285714285</c:v>
                </c:pt>
                <c:pt idx="51">
                  <c:v>2714.28571428571</c:v>
                </c:pt>
                <c:pt idx="52">
                  <c:v>2571.42857142857</c:v>
                </c:pt>
                <c:pt idx="53">
                  <c:v>2428.57142857142</c:v>
                </c:pt>
                <c:pt idx="54">
                  <c:v>2285.71428571428</c:v>
                </c:pt>
                <c:pt idx="55">
                  <c:v>2142.85714285714</c:v>
                </c:pt>
                <c:pt idx="56">
                  <c:v>1999.99999999999</c:v>
                </c:pt>
                <c:pt idx="57">
                  <c:v>1857.14285714285</c:v>
                </c:pt>
                <c:pt idx="58">
                  <c:v>1714.28571428571</c:v>
                </c:pt>
                <c:pt idx="59">
                  <c:v>1571.42857142857</c:v>
                </c:pt>
                <c:pt idx="60">
                  <c:v>1428.57142857142</c:v>
                </c:pt>
                <c:pt idx="61">
                  <c:v>1285.71428571428</c:v>
                </c:pt>
                <c:pt idx="62">
                  <c:v>1142.85714285714</c:v>
                </c:pt>
                <c:pt idx="63">
                  <c:v>999.999999999994</c:v>
                </c:pt>
                <c:pt idx="64">
                  <c:v>857.142857142852</c:v>
                </c:pt>
                <c:pt idx="65">
                  <c:v>714.28571428571</c:v>
                </c:pt>
                <c:pt idx="66">
                  <c:v>571.428571428566</c:v>
                </c:pt>
                <c:pt idx="67">
                  <c:v>428.571428571424</c:v>
                </c:pt>
                <c:pt idx="68">
                  <c:v>285.71428571428</c:v>
                </c:pt>
                <c:pt idx="69">
                  <c:v>142.857142857138</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numCache>
            </c:numRef>
          </c:yVal>
          <c:smooth val="0"/>
        </c:ser>
        <c:axId val="63391847"/>
        <c:axId val="42210382"/>
      </c:scatterChart>
      <c:valAx>
        <c:axId val="63391847"/>
        <c:scaling>
          <c:orientation val="minMax"/>
          <c:max val="0.12"/>
          <c:min val="0"/>
        </c:scaling>
        <c:delete val="0"/>
        <c:axPos val="b"/>
        <c:numFmt formatCode="0%" sourceLinked="0"/>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42210382"/>
        <c:crossesAt val="0"/>
        <c:crossBetween val="midCat"/>
        <c:majorUnit val="0.02"/>
      </c:valAx>
      <c:valAx>
        <c:axId val="42210382"/>
        <c:scaling>
          <c:orientation val="minMax"/>
        </c:scaling>
        <c:delete val="0"/>
        <c:axPos val="l"/>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63391847"/>
        <c:crossesAt val="0"/>
        <c:crossBetween val="midCat"/>
      </c:valAx>
      <c:spPr>
        <a:solidFill>
          <a:srgbClr val="c0c0c0"/>
        </a:solidFill>
        <a:ln w="12600">
          <a:solidFill>
            <a:srgbClr val="808080"/>
          </a:solidFill>
          <a:round/>
        </a:ln>
      </c:spPr>
    </c:plotArea>
    <c:plotVisOnly val="1"/>
    <c:dispBlanksAs val="gap"/>
  </c:chart>
  <c:spPr>
    <a:solidFill>
      <a:srgbClr val="ffffff"/>
    </a:solidFill>
    <a:ln w="0">
      <a:solidFill>
        <a:srgbClr val="000000"/>
      </a:solid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277746917009221"/>
          <c:y val="0.0511422393532011"/>
          <c:w val="0.972225308299078"/>
          <c:h val="0.930995581460938"/>
        </c:manualLayout>
      </c:layout>
      <c:scatterChart>
        <c:scatterStyle val="line"/>
        <c:varyColors val="0"/>
        <c:ser>
          <c:idx val="0"/>
          <c:order val="0"/>
          <c:tx>
            <c:strRef>
              <c:f>"Load"</c:f>
              <c:strCache>
                <c:ptCount val="1"/>
                <c:pt idx="0">
                  <c:v>Load</c:v>
                </c:pt>
              </c:strCache>
            </c:strRef>
          </c:tx>
          <c:spPr>
            <a:solidFill>
              <a:srgbClr val="000000"/>
            </a:solidFill>
            <a:ln w="25200">
              <a:solidFill>
                <a:srgbClr val="00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xVal>
            <c:numRef>
              <c:f>'G.data'!$B$4:$B$29</c:f>
              <c:numCache>
                <c:formatCode>General</c:formatCode>
                <c:ptCount val="26"/>
                <c:pt idx="0">
                  <c:v>0.1</c:v>
                </c:pt>
                <c:pt idx="1">
                  <c:v>0</c:v>
                </c:pt>
                <c:pt idx="2">
                  <c:v>0.02</c:v>
                </c:pt>
                <c:pt idx="3">
                  <c:v>0.04</c:v>
                </c:pt>
                <c:pt idx="4">
                  <c:v>0.06</c:v>
                </c:pt>
                <c:pt idx="5">
                  <c:v>0.08</c:v>
                </c:pt>
                <c:pt idx="6">
                  <c:v>0.1</c:v>
                </c:pt>
                <c:pt idx="7">
                  <c:v>0.12</c:v>
                </c:pt>
                <c:pt idx="8">
                  <c:v>0.14</c:v>
                </c:pt>
                <c:pt idx="9">
                  <c:v>0.16</c:v>
                </c:pt>
                <c:pt idx="10">
                  <c:v>0.18</c:v>
                </c:pt>
                <c:pt idx="11">
                  <c:v>0.2</c:v>
                </c:pt>
                <c:pt idx="12">
                  <c:v>0.25</c:v>
                </c:pt>
                <c:pt idx="13">
                  <c:v>0.3</c:v>
                </c:pt>
                <c:pt idx="14">
                  <c:v>0.35</c:v>
                </c:pt>
                <c:pt idx="15">
                  <c:v>0.4</c:v>
                </c:pt>
                <c:pt idx="16">
                  <c:v>0.45</c:v>
                </c:pt>
                <c:pt idx="17">
                  <c:v>0.5</c:v>
                </c:pt>
                <c:pt idx="18">
                  <c:v>0.55</c:v>
                </c:pt>
                <c:pt idx="19">
                  <c:v>0.6</c:v>
                </c:pt>
                <c:pt idx="20">
                  <c:v>0.65</c:v>
                </c:pt>
                <c:pt idx="21">
                  <c:v>0.7</c:v>
                </c:pt>
                <c:pt idx="22">
                  <c:v>0.8</c:v>
                </c:pt>
                <c:pt idx="23">
                  <c:v>0.9</c:v>
                </c:pt>
                <c:pt idx="24">
                  <c:v>1</c:v>
                </c:pt>
                <c:pt idx="25">
                  <c:v>1</c:v>
                </c:pt>
              </c:numCache>
            </c:numRef>
          </c:xVal>
          <c:yVal>
            <c:numRef>
              <c:f>'G.data'!$C$4:$C$29</c:f>
              <c:numCache>
                <c:formatCode>0.0</c:formatCode>
                <c:ptCount val="26"/>
                <c:pt idx="0">
                  <c:v>50</c:v>
                </c:pt>
                <c:pt idx="1">
                  <c:v>50</c:v>
                </c:pt>
                <c:pt idx="2">
                  <c:v>46.4644460940673</c:v>
                </c:pt>
                <c:pt idx="3">
                  <c:v>44.99996</c:v>
                </c:pt>
                <c:pt idx="4">
                  <c:v>43.8762156430421</c:v>
                </c:pt>
                <c:pt idx="5">
                  <c:v>42.9288521881345</c:v>
                </c:pt>
                <c:pt idx="6">
                  <c:v>42.0942058495791</c:v>
                </c:pt>
                <c:pt idx="7">
                  <c:v>41.3396259621556</c:v>
                </c:pt>
                <c:pt idx="8">
                  <c:v>40.6457165330652</c:v>
                </c:pt>
                <c:pt idx="9">
                  <c:v>39.99984</c:v>
                </c:pt>
                <c:pt idx="10">
                  <c:v>39.3932182822018</c:v>
                </c:pt>
                <c:pt idx="11">
                  <c:v>38.8194601125011</c:v>
                </c:pt>
                <c:pt idx="12">
                  <c:v>37.49975</c:v>
                </c:pt>
                <c:pt idx="13">
                  <c:v>36.3066360623709</c:v>
                </c:pt>
                <c:pt idx="14">
                  <c:v>35.209450542251</c:v>
                </c:pt>
                <c:pt idx="15">
                  <c:v>34.1882116991581</c:v>
                </c:pt>
                <c:pt idx="16">
                  <c:v>33.2290401687516</c:v>
                </c:pt>
                <c:pt idx="17">
                  <c:v>32.3218304703363</c:v>
                </c:pt>
                <c:pt idx="18">
                  <c:v>31.4589537822608</c:v>
                </c:pt>
                <c:pt idx="19">
                  <c:v>30.6344832689629</c:v>
                </c:pt>
                <c:pt idx="20">
                  <c:v>29.8437056292536</c:v>
                </c:pt>
                <c:pt idx="21">
                  <c:v>29.0827993366481</c:v>
                </c:pt>
                <c:pt idx="22">
                  <c:v>27.6385202250021</c:v>
                </c:pt>
                <c:pt idx="23">
                  <c:v>26.2820175487372</c:v>
                </c:pt>
                <c:pt idx="24">
                  <c:v>24.999</c:v>
                </c:pt>
                <c:pt idx="25">
                  <c:v>0</c:v>
                </c:pt>
              </c:numCache>
            </c:numRef>
          </c:yVal>
          <c:smooth val="0"/>
        </c:ser>
        <c:ser>
          <c:idx val="1"/>
          <c:order val="1"/>
          <c:tx>
            <c:strRef>
              <c:f>"Load + R0"</c:f>
              <c:strCache>
                <c:ptCount val="1"/>
                <c:pt idx="0">
                  <c:v>Load + R0</c:v>
                </c:pt>
              </c:strCache>
            </c:strRef>
          </c:tx>
          <c:spPr>
            <a:solidFill>
              <a:srgbClr val="ff0000"/>
            </a:solidFill>
            <a:ln w="252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xVal>
            <c:numRef>
              <c:f>'G.data'!$B$4:$B$28</c:f>
              <c:numCache>
                <c:formatCode>General</c:formatCode>
                <c:ptCount val="25"/>
                <c:pt idx="0">
                  <c:v>0.1</c:v>
                </c:pt>
                <c:pt idx="1">
                  <c:v>0</c:v>
                </c:pt>
                <c:pt idx="2">
                  <c:v>0.02</c:v>
                </c:pt>
                <c:pt idx="3">
                  <c:v>0.04</c:v>
                </c:pt>
                <c:pt idx="4">
                  <c:v>0.06</c:v>
                </c:pt>
                <c:pt idx="5">
                  <c:v>0.08</c:v>
                </c:pt>
                <c:pt idx="6">
                  <c:v>0.1</c:v>
                </c:pt>
                <c:pt idx="7">
                  <c:v>0.12</c:v>
                </c:pt>
                <c:pt idx="8">
                  <c:v>0.14</c:v>
                </c:pt>
                <c:pt idx="9">
                  <c:v>0.16</c:v>
                </c:pt>
                <c:pt idx="10">
                  <c:v>0.18</c:v>
                </c:pt>
                <c:pt idx="11">
                  <c:v>0.2</c:v>
                </c:pt>
                <c:pt idx="12">
                  <c:v>0.25</c:v>
                </c:pt>
                <c:pt idx="13">
                  <c:v>0.3</c:v>
                </c:pt>
                <c:pt idx="14">
                  <c:v>0.35</c:v>
                </c:pt>
                <c:pt idx="15">
                  <c:v>0.4</c:v>
                </c:pt>
                <c:pt idx="16">
                  <c:v>0.45</c:v>
                </c:pt>
                <c:pt idx="17">
                  <c:v>0.5</c:v>
                </c:pt>
                <c:pt idx="18">
                  <c:v>0.55</c:v>
                </c:pt>
                <c:pt idx="19">
                  <c:v>0.6</c:v>
                </c:pt>
                <c:pt idx="20">
                  <c:v>0.65</c:v>
                </c:pt>
                <c:pt idx="21">
                  <c:v>0.7</c:v>
                </c:pt>
                <c:pt idx="22">
                  <c:v>0.8</c:v>
                </c:pt>
                <c:pt idx="23">
                  <c:v>0.9</c:v>
                </c:pt>
                <c:pt idx="24">
                  <c:v>1</c:v>
                </c:pt>
              </c:numCache>
            </c:numRef>
          </c:xVal>
          <c:yVal>
            <c:numRef>
              <c:f>'G.data'!$D$4:$D$28</c:f>
              <c:numCache>
                <c:formatCode>0.0</c:formatCode>
                <c:ptCount val="25"/>
                <c:pt idx="0">
                  <c:v>53.5</c:v>
                </c:pt>
                <c:pt idx="1">
                  <c:v>53.5</c:v>
                </c:pt>
                <c:pt idx="2">
                  <c:v>49.9644460940673</c:v>
                </c:pt>
                <c:pt idx="3">
                  <c:v>48.49996</c:v>
                </c:pt>
                <c:pt idx="4">
                  <c:v>47.3762156430421</c:v>
                </c:pt>
                <c:pt idx="5">
                  <c:v>46.4288521881345</c:v>
                </c:pt>
                <c:pt idx="6">
                  <c:v>45.5942058495791</c:v>
                </c:pt>
                <c:pt idx="7">
                  <c:v>44.8396259621556</c:v>
                </c:pt>
                <c:pt idx="8">
                  <c:v>44.1457165330652</c:v>
                </c:pt>
                <c:pt idx="9">
                  <c:v>43.49984</c:v>
                </c:pt>
                <c:pt idx="10">
                  <c:v>42.8932182822018</c:v>
                </c:pt>
                <c:pt idx="11">
                  <c:v>42.3194601125011</c:v>
                </c:pt>
                <c:pt idx="12">
                  <c:v>40.99975</c:v>
                </c:pt>
                <c:pt idx="13">
                  <c:v>39.8066360623709</c:v>
                </c:pt>
                <c:pt idx="14">
                  <c:v>38.709450542251</c:v>
                </c:pt>
                <c:pt idx="15">
                  <c:v>37.6882116991581</c:v>
                </c:pt>
                <c:pt idx="16">
                  <c:v>36.7290401687516</c:v>
                </c:pt>
                <c:pt idx="17">
                  <c:v>35.8218304703363</c:v>
                </c:pt>
                <c:pt idx="18">
                  <c:v>34.9589537822608</c:v>
                </c:pt>
                <c:pt idx="19">
                  <c:v>34.1344832689629</c:v>
                </c:pt>
                <c:pt idx="20">
                  <c:v>33.3437056292536</c:v>
                </c:pt>
                <c:pt idx="21">
                  <c:v>32.5827993366481</c:v>
                </c:pt>
                <c:pt idx="22">
                  <c:v>31.1385202250021</c:v>
                </c:pt>
                <c:pt idx="23">
                  <c:v>29.7820175487372</c:v>
                </c:pt>
                <c:pt idx="24">
                  <c:v>28.499</c:v>
                </c:pt>
              </c:numCache>
            </c:numRef>
          </c:yVal>
          <c:smooth val="0"/>
        </c:ser>
        <c:ser>
          <c:idx val="2"/>
          <c:order val="2"/>
          <c:tx>
            <c:strRef>
              <c:f>"Capacity K"</c:f>
              <c:strCache>
                <c:ptCount val="1"/>
                <c:pt idx="0">
                  <c:v>Capacity K</c:v>
                </c:pt>
              </c:strCache>
            </c:strRef>
          </c:tx>
          <c:spPr>
            <a:solidFill>
              <a:srgbClr val="0000ff"/>
            </a:solidFill>
            <a:ln w="252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xVal>
            <c:numRef>
              <c:f>'G.data'!$B$5:$B$28</c:f>
              <c:numCache>
                <c:formatCode>0.00</c:formatCode>
                <c:ptCount val="24"/>
                <c:pt idx="0">
                  <c:v>0</c:v>
                </c:pt>
                <c:pt idx="1">
                  <c:v>0.02</c:v>
                </c:pt>
                <c:pt idx="2">
                  <c:v>0.04</c:v>
                </c:pt>
                <c:pt idx="3">
                  <c:v>0.06</c:v>
                </c:pt>
                <c:pt idx="4">
                  <c:v>0.08</c:v>
                </c:pt>
                <c:pt idx="5">
                  <c:v>0.1</c:v>
                </c:pt>
                <c:pt idx="6">
                  <c:v>0.12</c:v>
                </c:pt>
                <c:pt idx="7">
                  <c:v>0.14</c:v>
                </c:pt>
                <c:pt idx="8">
                  <c:v>0.16</c:v>
                </c:pt>
                <c:pt idx="9">
                  <c:v>0.18</c:v>
                </c:pt>
                <c:pt idx="10">
                  <c:v>0.2</c:v>
                </c:pt>
                <c:pt idx="11">
                  <c:v>0.25</c:v>
                </c:pt>
                <c:pt idx="12">
                  <c:v>0.3</c:v>
                </c:pt>
                <c:pt idx="13">
                  <c:v>0.35</c:v>
                </c:pt>
                <c:pt idx="14">
                  <c:v>0.4</c:v>
                </c:pt>
                <c:pt idx="15">
                  <c:v>0.45</c:v>
                </c:pt>
                <c:pt idx="16">
                  <c:v>0.5</c:v>
                </c:pt>
                <c:pt idx="17">
                  <c:v>0.55</c:v>
                </c:pt>
                <c:pt idx="18">
                  <c:v>0.6</c:v>
                </c:pt>
                <c:pt idx="19">
                  <c:v>0.65</c:v>
                </c:pt>
                <c:pt idx="20">
                  <c:v>0.7</c:v>
                </c:pt>
                <c:pt idx="21">
                  <c:v>0.8</c:v>
                </c:pt>
                <c:pt idx="22">
                  <c:v>0.9</c:v>
                </c:pt>
                <c:pt idx="23">
                  <c:v>1</c:v>
                </c:pt>
              </c:numCache>
            </c:numRef>
          </c:xVal>
          <c:yVal>
            <c:numRef>
              <c:f>'G.data'!$E$5:$E$28</c:f>
              <c:numCache>
                <c:formatCode>0.0</c:formatCode>
                <c:ptCount val="24"/>
                <c:pt idx="0">
                  <c:v>51.9209081097779</c:v>
                </c:pt>
                <c:pt idx="1">
                  <c:v>51.9209081097779</c:v>
                </c:pt>
                <c:pt idx="2">
                  <c:v>51.9209081097779</c:v>
                </c:pt>
                <c:pt idx="3">
                  <c:v>51.9209081097779</c:v>
                </c:pt>
                <c:pt idx="4">
                  <c:v>51.9209081097779</c:v>
                </c:pt>
                <c:pt idx="5">
                  <c:v>51.9209081097779</c:v>
                </c:pt>
                <c:pt idx="6">
                  <c:v>51.9209081097779</c:v>
                </c:pt>
                <c:pt idx="7">
                  <c:v>51.9209081097779</c:v>
                </c:pt>
                <c:pt idx="8">
                  <c:v>51.9209081097779</c:v>
                </c:pt>
                <c:pt idx="9">
                  <c:v>51.9209081097779</c:v>
                </c:pt>
                <c:pt idx="10">
                  <c:v>51.9209081097779</c:v>
                </c:pt>
                <c:pt idx="11">
                  <c:v>51.9209081097779</c:v>
                </c:pt>
                <c:pt idx="12">
                  <c:v>51.9209081097779</c:v>
                </c:pt>
                <c:pt idx="13">
                  <c:v>51.9209081097779</c:v>
                </c:pt>
                <c:pt idx="14">
                  <c:v>51.9209081097779</c:v>
                </c:pt>
                <c:pt idx="15">
                  <c:v>51.9209081097779</c:v>
                </c:pt>
                <c:pt idx="16">
                  <c:v>51.9209081097779</c:v>
                </c:pt>
                <c:pt idx="17">
                  <c:v>51.9209081097779</c:v>
                </c:pt>
                <c:pt idx="18">
                  <c:v>51.9209081097779</c:v>
                </c:pt>
                <c:pt idx="19">
                  <c:v>51.9209081097779</c:v>
                </c:pt>
                <c:pt idx="20">
                  <c:v>51.9209081097779</c:v>
                </c:pt>
                <c:pt idx="21">
                  <c:v>51.9209081097779</c:v>
                </c:pt>
                <c:pt idx="22">
                  <c:v>51.9209081097779</c:v>
                </c:pt>
                <c:pt idx="23">
                  <c:v>51.9209081097779</c:v>
                </c:pt>
              </c:numCache>
            </c:numRef>
          </c:yVal>
          <c:smooth val="0"/>
        </c:ser>
        <c:axId val="8568754"/>
        <c:axId val="97591863"/>
      </c:scatterChart>
      <c:valAx>
        <c:axId val="8568754"/>
        <c:scaling>
          <c:orientation val="minMax"/>
          <c:max val="1.02"/>
          <c:min val="0"/>
        </c:scaling>
        <c:delete val="0"/>
        <c:axPos val="b"/>
        <c:numFmt formatCode="0.0" sourceLinked="0"/>
        <c:majorTickMark val="out"/>
        <c:minorTickMark val="none"/>
        <c:tickLblPos val="nextTo"/>
        <c:spPr>
          <a:ln w="0">
            <a:solidFill>
              <a:srgbClr val="000000"/>
            </a:solidFill>
          </a:ln>
        </c:spPr>
        <c:txPr>
          <a:bodyPr/>
          <a:lstStyle/>
          <a:p>
            <a:pPr>
              <a:defRPr b="0" sz="875" strike="noStrike" u="none">
                <a:solidFill>
                  <a:srgbClr val="000000"/>
                </a:solidFill>
                <a:uFillTx/>
                <a:latin typeface="Arial"/>
              </a:defRPr>
            </a:pPr>
          </a:p>
        </c:txPr>
        <c:crossAx val="97591863"/>
        <c:crossesAt val="0"/>
        <c:crossBetween val="midCat"/>
        <c:majorUnit val="0.2"/>
        <c:minorUnit val="0.1"/>
      </c:valAx>
      <c:valAx>
        <c:axId val="97591863"/>
        <c:scaling>
          <c:orientation val="minMax"/>
          <c:min val="0"/>
        </c:scaling>
        <c:delete val="0"/>
        <c:axPos val="l"/>
        <c:numFmt formatCode="0.0" sourceLinked="1"/>
        <c:majorTickMark val="out"/>
        <c:minorTickMark val="none"/>
        <c:tickLblPos val="nextTo"/>
        <c:spPr>
          <a:ln w="0">
            <a:solidFill>
              <a:srgbClr val="000000"/>
            </a:solidFill>
          </a:ln>
        </c:spPr>
        <c:txPr>
          <a:bodyPr/>
          <a:lstStyle/>
          <a:p>
            <a:pPr>
              <a:defRPr b="0" sz="875" strike="noStrike" u="none">
                <a:solidFill>
                  <a:srgbClr val="000000"/>
                </a:solidFill>
                <a:uFillTx/>
                <a:latin typeface="Arial"/>
              </a:defRPr>
            </a:pPr>
          </a:p>
        </c:txPr>
        <c:crossAx val="8568754"/>
        <c:crossesAt val="0"/>
        <c:crossBetween val="midCat"/>
      </c:valAx>
      <c:spPr>
        <a:solidFill>
          <a:srgbClr val="c0c0c0"/>
        </a:solidFill>
        <a:ln w="12600">
          <a:solidFill>
            <a:srgbClr val="808080"/>
          </a:solidFill>
          <a:round/>
        </a:ln>
      </c:spPr>
    </c:plotArea>
    <c:plotVisOnly val="1"/>
    <c:dispBlanksAs val="gap"/>
  </c:chart>
  <c:spPr>
    <a:solidFill>
      <a:srgbClr val="ffffff"/>
    </a:solidFill>
    <a:ln w="0">
      <a:solidFill>
        <a:srgbClr val="000000"/>
      </a:solidFill>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279454504806617"/>
          <c:y val="0.059227225721538"/>
          <c:w val="0.972054549519338"/>
          <c:h val="0.921500423051612"/>
        </c:manualLayout>
      </c:layout>
      <c:scatterChart>
        <c:scatterStyle val="line"/>
        <c:varyColors val="0"/>
        <c:ser>
          <c:idx val="0"/>
          <c:order val="0"/>
          <c:spPr>
            <a:solidFill>
              <a:srgbClr val="000000"/>
            </a:solidFill>
            <a:ln w="25200">
              <a:solidFill>
                <a:srgbClr val="00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xVal>
            <c:numRef>
              <c:f>'G.data'!$M$4:$M$104</c:f>
              <c:numCache>
                <c:formatCode>0.0%</c:formatCode>
                <c:ptCount val="101"/>
                <c:pt idx="0">
                  <c:v>0</c:v>
                </c:pt>
                <c:pt idx="1">
                  <c:v>0.001</c:v>
                </c:pt>
                <c:pt idx="2">
                  <c:v>0.002</c:v>
                </c:pt>
                <c:pt idx="3">
                  <c:v>0.003</c:v>
                </c:pt>
                <c:pt idx="4">
                  <c:v>0.004</c:v>
                </c:pt>
                <c:pt idx="5">
                  <c:v>0.005</c:v>
                </c:pt>
                <c:pt idx="6">
                  <c:v>0.006</c:v>
                </c:pt>
                <c:pt idx="7">
                  <c:v>0.007</c:v>
                </c:pt>
                <c:pt idx="8">
                  <c:v>0.008</c:v>
                </c:pt>
                <c:pt idx="9">
                  <c:v>0.009</c:v>
                </c:pt>
                <c:pt idx="10">
                  <c:v>0.01</c:v>
                </c:pt>
                <c:pt idx="11">
                  <c:v>0.011</c:v>
                </c:pt>
                <c:pt idx="12">
                  <c:v>0.012</c:v>
                </c:pt>
                <c:pt idx="13">
                  <c:v>0.013</c:v>
                </c:pt>
                <c:pt idx="14">
                  <c:v>0.014</c:v>
                </c:pt>
                <c:pt idx="15">
                  <c:v>0.015</c:v>
                </c:pt>
                <c:pt idx="16">
                  <c:v>0.016</c:v>
                </c:pt>
                <c:pt idx="17">
                  <c:v>0.017</c:v>
                </c:pt>
                <c:pt idx="18">
                  <c:v>0.018</c:v>
                </c:pt>
                <c:pt idx="19">
                  <c:v>0.019</c:v>
                </c:pt>
                <c:pt idx="20">
                  <c:v>0.02</c:v>
                </c:pt>
                <c:pt idx="21">
                  <c:v>0.021</c:v>
                </c:pt>
                <c:pt idx="22">
                  <c:v>0.022</c:v>
                </c:pt>
                <c:pt idx="23">
                  <c:v>0.023</c:v>
                </c:pt>
                <c:pt idx="24">
                  <c:v>0.024</c:v>
                </c:pt>
                <c:pt idx="25">
                  <c:v>0.025</c:v>
                </c:pt>
                <c:pt idx="26">
                  <c:v>0.026</c:v>
                </c:pt>
                <c:pt idx="27">
                  <c:v>0.027</c:v>
                </c:pt>
                <c:pt idx="28">
                  <c:v>0.028</c:v>
                </c:pt>
                <c:pt idx="29">
                  <c:v>0.029</c:v>
                </c:pt>
                <c:pt idx="30">
                  <c:v>0.03</c:v>
                </c:pt>
                <c:pt idx="31">
                  <c:v>0.031</c:v>
                </c:pt>
                <c:pt idx="32">
                  <c:v>0.032</c:v>
                </c:pt>
                <c:pt idx="33">
                  <c:v>0.033</c:v>
                </c:pt>
                <c:pt idx="34">
                  <c:v>0.034</c:v>
                </c:pt>
                <c:pt idx="35">
                  <c:v>0.035</c:v>
                </c:pt>
                <c:pt idx="36">
                  <c:v>0.036</c:v>
                </c:pt>
                <c:pt idx="37">
                  <c:v>0.037</c:v>
                </c:pt>
                <c:pt idx="38">
                  <c:v>0.038</c:v>
                </c:pt>
                <c:pt idx="39">
                  <c:v>0.039</c:v>
                </c:pt>
                <c:pt idx="40">
                  <c:v>0.04</c:v>
                </c:pt>
                <c:pt idx="41">
                  <c:v>0.041</c:v>
                </c:pt>
                <c:pt idx="42">
                  <c:v>0.042</c:v>
                </c:pt>
                <c:pt idx="43">
                  <c:v>0.043</c:v>
                </c:pt>
                <c:pt idx="44">
                  <c:v>0.044</c:v>
                </c:pt>
                <c:pt idx="45">
                  <c:v>0.045</c:v>
                </c:pt>
                <c:pt idx="46">
                  <c:v>0.046</c:v>
                </c:pt>
                <c:pt idx="47">
                  <c:v>0.047</c:v>
                </c:pt>
                <c:pt idx="48">
                  <c:v>0.048</c:v>
                </c:pt>
                <c:pt idx="49">
                  <c:v>0.049</c:v>
                </c:pt>
                <c:pt idx="50">
                  <c:v>0.05</c:v>
                </c:pt>
                <c:pt idx="51">
                  <c:v>0.051</c:v>
                </c:pt>
                <c:pt idx="52">
                  <c:v>0.052</c:v>
                </c:pt>
                <c:pt idx="53">
                  <c:v>0.053</c:v>
                </c:pt>
                <c:pt idx="54">
                  <c:v>0.054</c:v>
                </c:pt>
                <c:pt idx="55">
                  <c:v>0.055</c:v>
                </c:pt>
                <c:pt idx="56">
                  <c:v>0.056</c:v>
                </c:pt>
                <c:pt idx="57">
                  <c:v>0.057</c:v>
                </c:pt>
                <c:pt idx="58">
                  <c:v>0.058</c:v>
                </c:pt>
                <c:pt idx="59">
                  <c:v>0.059</c:v>
                </c:pt>
                <c:pt idx="60">
                  <c:v>0.06</c:v>
                </c:pt>
                <c:pt idx="61">
                  <c:v>0.0610000000000001</c:v>
                </c:pt>
                <c:pt idx="62">
                  <c:v>0.0620000000000001</c:v>
                </c:pt>
                <c:pt idx="63">
                  <c:v>0.063</c:v>
                </c:pt>
                <c:pt idx="64">
                  <c:v>0.064</c:v>
                </c:pt>
                <c:pt idx="65">
                  <c:v>0.065</c:v>
                </c:pt>
                <c:pt idx="66">
                  <c:v>0.066</c:v>
                </c:pt>
                <c:pt idx="67">
                  <c:v>0.0670000000000001</c:v>
                </c:pt>
                <c:pt idx="68">
                  <c:v>0.0680000000000001</c:v>
                </c:pt>
                <c:pt idx="69">
                  <c:v>0.0690000000000001</c:v>
                </c:pt>
                <c:pt idx="70">
                  <c:v>0.0700000000000001</c:v>
                </c:pt>
                <c:pt idx="71">
                  <c:v>0.0710000000000001</c:v>
                </c:pt>
                <c:pt idx="72">
                  <c:v>0.0720000000000001</c:v>
                </c:pt>
                <c:pt idx="73">
                  <c:v>0.0730000000000001</c:v>
                </c:pt>
                <c:pt idx="74">
                  <c:v>0.0740000000000001</c:v>
                </c:pt>
                <c:pt idx="75">
                  <c:v>0.0750000000000001</c:v>
                </c:pt>
                <c:pt idx="76">
                  <c:v>0.0760000000000001</c:v>
                </c:pt>
                <c:pt idx="77">
                  <c:v>0.0770000000000001</c:v>
                </c:pt>
                <c:pt idx="78">
                  <c:v>0.0780000000000001</c:v>
                </c:pt>
                <c:pt idx="79">
                  <c:v>0.0790000000000001</c:v>
                </c:pt>
                <c:pt idx="80">
                  <c:v>0.0800000000000001</c:v>
                </c:pt>
                <c:pt idx="81">
                  <c:v>0.0810000000000001</c:v>
                </c:pt>
                <c:pt idx="82">
                  <c:v>0.0820000000000001</c:v>
                </c:pt>
                <c:pt idx="83">
                  <c:v>0.0830000000000001</c:v>
                </c:pt>
                <c:pt idx="84">
                  <c:v>0.0840000000000001</c:v>
                </c:pt>
                <c:pt idx="85">
                  <c:v>0.0850000000000001</c:v>
                </c:pt>
                <c:pt idx="86">
                  <c:v>0.0860000000000001</c:v>
                </c:pt>
                <c:pt idx="87">
                  <c:v>0.0870000000000001</c:v>
                </c:pt>
                <c:pt idx="88">
                  <c:v>0.0880000000000001</c:v>
                </c:pt>
                <c:pt idx="89">
                  <c:v>0.0890000000000001</c:v>
                </c:pt>
                <c:pt idx="90">
                  <c:v>0.0900000000000001</c:v>
                </c:pt>
                <c:pt idx="91">
                  <c:v>0.0910000000000001</c:v>
                </c:pt>
                <c:pt idx="92">
                  <c:v>0.0920000000000001</c:v>
                </c:pt>
                <c:pt idx="93">
                  <c:v>0.0930000000000001</c:v>
                </c:pt>
                <c:pt idx="94">
                  <c:v>0.0940000000000001</c:v>
                </c:pt>
                <c:pt idx="95">
                  <c:v>0.0950000000000001</c:v>
                </c:pt>
                <c:pt idx="96">
                  <c:v>0.0960000000000001</c:v>
                </c:pt>
                <c:pt idx="97">
                  <c:v>0.0970000000000001</c:v>
                </c:pt>
                <c:pt idx="98">
                  <c:v>0.0980000000000001</c:v>
                </c:pt>
                <c:pt idx="99">
                  <c:v>0.0990000000000001</c:v>
                </c:pt>
                <c:pt idx="100">
                  <c:v>0.1</c:v>
                </c:pt>
              </c:numCache>
            </c:numRef>
          </c:xVal>
          <c:yVal>
            <c:numRef>
              <c:f>'G.data'!$P$4:$P$104</c:f>
              <c:numCache>
                <c:formatCode>0</c:formatCode>
                <c:ptCount val="101"/>
                <c:pt idx="0">
                  <c:v>705.550555780274</c:v>
                </c:pt>
                <c:pt idx="1">
                  <c:v>995.927483691145</c:v>
                </c:pt>
                <c:pt idx="2">
                  <c:v>1116.20576059173</c:v>
                </c:pt>
                <c:pt idx="3">
                  <c:v>1208.49861398607</c:v>
                </c:pt>
                <c:pt idx="4">
                  <c:v>1286.30514620306</c:v>
                </c:pt>
                <c:pt idx="5">
                  <c:v>1354.85412088022</c:v>
                </c:pt>
                <c:pt idx="6">
                  <c:v>1416.82716634312</c:v>
                </c:pt>
                <c:pt idx="7">
                  <c:v>1473.8172928212</c:v>
                </c:pt>
                <c:pt idx="8">
                  <c:v>1526.86243460528</c:v>
                </c:pt>
                <c:pt idx="9">
                  <c:v>1576.68354331603</c:v>
                </c:pt>
                <c:pt idx="10">
                  <c:v>1623.80553944015</c:v>
                </c:pt>
                <c:pt idx="11">
                  <c:v>1668.62469554445</c:v>
                </c:pt>
                <c:pt idx="12">
                  <c:v>1711.44887599501</c:v>
                </c:pt>
                <c:pt idx="13">
                  <c:v>1752.52290916057</c:v>
                </c:pt>
                <c:pt idx="14">
                  <c:v>1792.04530094133</c:v>
                </c:pt>
                <c:pt idx="15">
                  <c:v>1830.179648661</c:v>
                </c:pt>
                <c:pt idx="16">
                  <c:v>1867.06267503005</c:v>
                </c:pt>
                <c:pt idx="17">
                  <c:v>1902.81003048922</c:v>
                </c:pt>
                <c:pt idx="18">
                  <c:v>1937.52057782093</c:v>
                </c:pt>
                <c:pt idx="19">
                  <c:v>1971.27961776365</c:v>
                </c:pt>
                <c:pt idx="20">
                  <c:v>2004.1613589854</c:v>
                </c:pt>
                <c:pt idx="21">
                  <c:v>2036.23083812913</c:v>
                </c:pt>
                <c:pt idx="22">
                  <c:v>2067.5454325619</c:v>
                </c:pt>
                <c:pt idx="23">
                  <c:v>2098.15606669856</c:v>
                </c:pt>
                <c:pt idx="24">
                  <c:v>2128.10818451226</c:v>
                </c:pt>
                <c:pt idx="25">
                  <c:v>2157.44254134512</c:v>
                </c:pt>
                <c:pt idx="26">
                  <c:v>2186.19585443602</c:v>
                </c:pt>
                <c:pt idx="27">
                  <c:v>2214.4013418071</c:v>
                </c:pt>
                <c:pt idx="28">
                  <c:v>2242.08917206946</c:v>
                </c:pt>
                <c:pt idx="29">
                  <c:v>2269.28684251108</c:v>
                </c:pt>
                <c:pt idx="30">
                  <c:v>2296.01949896653</c:v>
                </c:pt>
                <c:pt idx="31">
                  <c:v>2322.31020806397</c:v>
                </c:pt>
                <c:pt idx="32">
                  <c:v>2348.18019023867</c:v>
                </c:pt>
                <c:pt idx="33">
                  <c:v>2373.64902020996</c:v>
                </c:pt>
                <c:pt idx="34">
                  <c:v>2398.73480030766</c:v>
                </c:pt>
                <c:pt idx="35">
                  <c:v>2423.4543110115</c:v>
                </c:pt>
                <c:pt idx="36">
                  <c:v>2447.82314226123</c:v>
                </c:pt>
                <c:pt idx="37">
                  <c:v>2471.85580845716</c:v>
                </c:pt>
                <c:pt idx="38">
                  <c:v>2495.56584956059</c:v>
                </c:pt>
                <c:pt idx="39">
                  <c:v>2518.96592029415</c:v>
                </c:pt>
                <c:pt idx="40">
                  <c:v>2542.0678691105</c:v>
                </c:pt>
                <c:pt idx="41">
                  <c:v>2564.88280832827</c:v>
                </c:pt>
                <c:pt idx="42">
                  <c:v>2587.42117661346</c:v>
                </c:pt>
                <c:pt idx="43">
                  <c:v>2609.69279480342</c:v>
                </c:pt>
                <c:pt idx="44">
                  <c:v>2631.70691592017</c:v>
                </c:pt>
                <c:pt idx="45">
                  <c:v>2653.47227009583</c:v>
                </c:pt>
                <c:pt idx="46">
                  <c:v>2674.99710502874</c:v>
                </c:pt>
                <c:pt idx="47">
                  <c:v>2696.28922250187</c:v>
                </c:pt>
                <c:pt idx="48">
                  <c:v>2717.35601142234</c:v>
                </c:pt>
                <c:pt idx="49">
                  <c:v>2738.20447777839</c:v>
                </c:pt>
                <c:pt idx="50">
                  <c:v>2758.84127185851</c:v>
                </c:pt>
                <c:pt idx="51">
                  <c:v>2779.27271303224</c:v>
                </c:pt>
                <c:pt idx="52">
                  <c:v>2799.5048123545</c:v>
                </c:pt>
                <c:pt idx="53">
                  <c:v>2819.54329322271</c:v>
                </c:pt>
                <c:pt idx="54">
                  <c:v>2839.39361028769</c:v>
                </c:pt>
                <c:pt idx="55">
                  <c:v>2859.0609667956</c:v>
                </c:pt>
                <c:pt idx="56">
                  <c:v>2878.55033051706</c:v>
                </c:pt>
                <c:pt idx="57">
                  <c:v>2897.86644840164</c:v>
                </c:pt>
                <c:pt idx="58">
                  <c:v>2917.01386008022</c:v>
                </c:pt>
                <c:pt idx="59">
                  <c:v>2935.99691032408</c:v>
                </c:pt>
                <c:pt idx="60">
                  <c:v>2954.81976055745</c:v>
                </c:pt>
                <c:pt idx="61">
                  <c:v>2973.4863995101</c:v>
                </c:pt>
                <c:pt idx="62">
                  <c:v>2992.00065308712</c:v>
                </c:pt>
                <c:pt idx="63">
                  <c:v>3010.36619352506</c:v>
                </c:pt>
                <c:pt idx="64">
                  <c:v>3028.5865478966</c:v>
                </c:pt>
                <c:pt idx="65">
                  <c:v>3046.6651060194</c:v>
                </c:pt>
                <c:pt idx="66">
                  <c:v>3064.60512781943</c:v>
                </c:pt>
                <c:pt idx="67">
                  <c:v>3082.40975019409</c:v>
                </c:pt>
                <c:pt idx="68">
                  <c:v>3100.08199341598</c:v>
                </c:pt>
                <c:pt idx="69">
                  <c:v>3117.62476711443</c:v>
                </c:pt>
                <c:pt idx="70">
                  <c:v>3135.04087586823</c:v>
                </c:pt>
                <c:pt idx="71">
                  <c:v>3152.3330244401</c:v>
                </c:pt>
                <c:pt idx="72">
                  <c:v>3169.50382268045</c:v>
                </c:pt>
                <c:pt idx="73">
                  <c:v>3186.55579012577</c:v>
                </c:pt>
                <c:pt idx="74">
                  <c:v>3203.49136031439</c:v>
                </c:pt>
                <c:pt idx="75">
                  <c:v>3220.31288484071</c:v>
                </c:pt>
                <c:pt idx="76">
                  <c:v>3237.02263716695</c:v>
                </c:pt>
                <c:pt idx="77">
                  <c:v>3253.62281620984</c:v>
                </c:pt>
                <c:pt idx="78">
                  <c:v>3270.1155497185</c:v>
                </c:pt>
                <c:pt idx="79">
                  <c:v>3286.50289745788</c:v>
                </c:pt>
                <c:pt idx="80">
                  <c:v>3302.78685421151</c:v>
                </c:pt>
                <c:pt idx="81">
                  <c:v>3318.96935261586</c:v>
                </c:pt>
                <c:pt idx="82">
                  <c:v>3335.05226583766</c:v>
                </c:pt>
                <c:pt idx="83">
                  <c:v>3351.03741010472</c:v>
                </c:pt>
                <c:pt idx="84">
                  <c:v>3366.92654710001</c:v>
                </c:pt>
                <c:pt idx="85">
                  <c:v>3382.72138622773</c:v>
                </c:pt>
                <c:pt idx="86">
                  <c:v>3398.4235867599</c:v>
                </c:pt>
                <c:pt idx="87">
                  <c:v>3414.03475987081</c:v>
                </c:pt>
                <c:pt idx="88">
                  <c:v>3429.5564705666</c:v>
                </c:pt>
                <c:pt idx="89">
                  <c:v>3444.99023951644</c:v>
                </c:pt>
                <c:pt idx="90">
                  <c:v>3460.33754479134</c:v>
                </c:pt>
                <c:pt idx="91">
                  <c:v>3475.59982351632</c:v>
                </c:pt>
                <c:pt idx="92">
                  <c:v>3490.77847344096</c:v>
                </c:pt>
                <c:pt idx="93">
                  <c:v>3505.87485443352</c:v>
                </c:pt>
                <c:pt idx="94">
                  <c:v>3520.89028990277</c:v>
                </c:pt>
                <c:pt idx="95">
                  <c:v>3535.82606815208</c:v>
                </c:pt>
                <c:pt idx="96">
                  <c:v>3550.68344366941</c:v>
                </c:pt>
                <c:pt idx="97">
                  <c:v>3565.46363835706</c:v>
                </c:pt>
                <c:pt idx="98">
                  <c:v>3580.16784270449</c:v>
                </c:pt>
                <c:pt idx="99">
                  <c:v>3594.79721690742</c:v>
                </c:pt>
                <c:pt idx="100">
                  <c:v>3609.35289193617</c:v>
                </c:pt>
              </c:numCache>
            </c:numRef>
          </c:yVal>
          <c:smooth val="0"/>
        </c:ser>
        <c:ser>
          <c:idx val="1"/>
          <c:order val="1"/>
          <c:tx>
            <c:strRef>
              <c:f>"price"</c:f>
              <c:strCache>
                <c:ptCount val="1"/>
                <c:pt idx="0">
                  <c:v>price</c:v>
                </c:pt>
              </c:strCache>
            </c:strRef>
          </c:tx>
          <c:spPr>
            <a:solidFill>
              <a:srgbClr val="ff0000"/>
            </a:solidFill>
            <a:ln w="252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xVal>
            <c:numRef>
              <c:f>'G.data'!$M$4:$M$104</c:f>
              <c:numCache>
                <c:formatCode>0.0%</c:formatCode>
                <c:ptCount val="101"/>
                <c:pt idx="0">
                  <c:v>0</c:v>
                </c:pt>
                <c:pt idx="1">
                  <c:v>0.001</c:v>
                </c:pt>
                <c:pt idx="2">
                  <c:v>0.002</c:v>
                </c:pt>
                <c:pt idx="3">
                  <c:v>0.003</c:v>
                </c:pt>
                <c:pt idx="4">
                  <c:v>0.004</c:v>
                </c:pt>
                <c:pt idx="5">
                  <c:v>0.005</c:v>
                </c:pt>
                <c:pt idx="6">
                  <c:v>0.006</c:v>
                </c:pt>
                <c:pt idx="7">
                  <c:v>0.007</c:v>
                </c:pt>
                <c:pt idx="8">
                  <c:v>0.008</c:v>
                </c:pt>
                <c:pt idx="9">
                  <c:v>0.009</c:v>
                </c:pt>
                <c:pt idx="10">
                  <c:v>0.01</c:v>
                </c:pt>
                <c:pt idx="11">
                  <c:v>0.011</c:v>
                </c:pt>
                <c:pt idx="12">
                  <c:v>0.012</c:v>
                </c:pt>
                <c:pt idx="13">
                  <c:v>0.013</c:v>
                </c:pt>
                <c:pt idx="14">
                  <c:v>0.014</c:v>
                </c:pt>
                <c:pt idx="15">
                  <c:v>0.015</c:v>
                </c:pt>
                <c:pt idx="16">
                  <c:v>0.016</c:v>
                </c:pt>
                <c:pt idx="17">
                  <c:v>0.017</c:v>
                </c:pt>
                <c:pt idx="18">
                  <c:v>0.018</c:v>
                </c:pt>
                <c:pt idx="19">
                  <c:v>0.019</c:v>
                </c:pt>
                <c:pt idx="20">
                  <c:v>0.02</c:v>
                </c:pt>
                <c:pt idx="21">
                  <c:v>0.021</c:v>
                </c:pt>
                <c:pt idx="22">
                  <c:v>0.022</c:v>
                </c:pt>
                <c:pt idx="23">
                  <c:v>0.023</c:v>
                </c:pt>
                <c:pt idx="24">
                  <c:v>0.024</c:v>
                </c:pt>
                <c:pt idx="25">
                  <c:v>0.025</c:v>
                </c:pt>
                <c:pt idx="26">
                  <c:v>0.026</c:v>
                </c:pt>
                <c:pt idx="27">
                  <c:v>0.027</c:v>
                </c:pt>
                <c:pt idx="28">
                  <c:v>0.028</c:v>
                </c:pt>
                <c:pt idx="29">
                  <c:v>0.029</c:v>
                </c:pt>
                <c:pt idx="30">
                  <c:v>0.03</c:v>
                </c:pt>
                <c:pt idx="31">
                  <c:v>0.031</c:v>
                </c:pt>
                <c:pt idx="32">
                  <c:v>0.032</c:v>
                </c:pt>
                <c:pt idx="33">
                  <c:v>0.033</c:v>
                </c:pt>
                <c:pt idx="34">
                  <c:v>0.034</c:v>
                </c:pt>
                <c:pt idx="35">
                  <c:v>0.035</c:v>
                </c:pt>
                <c:pt idx="36">
                  <c:v>0.036</c:v>
                </c:pt>
                <c:pt idx="37">
                  <c:v>0.037</c:v>
                </c:pt>
                <c:pt idx="38">
                  <c:v>0.038</c:v>
                </c:pt>
                <c:pt idx="39">
                  <c:v>0.039</c:v>
                </c:pt>
                <c:pt idx="40">
                  <c:v>0.04</c:v>
                </c:pt>
                <c:pt idx="41">
                  <c:v>0.041</c:v>
                </c:pt>
                <c:pt idx="42">
                  <c:v>0.042</c:v>
                </c:pt>
                <c:pt idx="43">
                  <c:v>0.043</c:v>
                </c:pt>
                <c:pt idx="44">
                  <c:v>0.044</c:v>
                </c:pt>
                <c:pt idx="45">
                  <c:v>0.045</c:v>
                </c:pt>
                <c:pt idx="46">
                  <c:v>0.046</c:v>
                </c:pt>
                <c:pt idx="47">
                  <c:v>0.047</c:v>
                </c:pt>
                <c:pt idx="48">
                  <c:v>0.048</c:v>
                </c:pt>
                <c:pt idx="49">
                  <c:v>0.049</c:v>
                </c:pt>
                <c:pt idx="50">
                  <c:v>0.05</c:v>
                </c:pt>
                <c:pt idx="51">
                  <c:v>0.051</c:v>
                </c:pt>
                <c:pt idx="52">
                  <c:v>0.052</c:v>
                </c:pt>
                <c:pt idx="53">
                  <c:v>0.053</c:v>
                </c:pt>
                <c:pt idx="54">
                  <c:v>0.054</c:v>
                </c:pt>
                <c:pt idx="55">
                  <c:v>0.055</c:v>
                </c:pt>
                <c:pt idx="56">
                  <c:v>0.056</c:v>
                </c:pt>
                <c:pt idx="57">
                  <c:v>0.057</c:v>
                </c:pt>
                <c:pt idx="58">
                  <c:v>0.058</c:v>
                </c:pt>
                <c:pt idx="59">
                  <c:v>0.059</c:v>
                </c:pt>
                <c:pt idx="60">
                  <c:v>0.06</c:v>
                </c:pt>
                <c:pt idx="61">
                  <c:v>0.0610000000000001</c:v>
                </c:pt>
                <c:pt idx="62">
                  <c:v>0.0620000000000001</c:v>
                </c:pt>
                <c:pt idx="63">
                  <c:v>0.063</c:v>
                </c:pt>
                <c:pt idx="64">
                  <c:v>0.064</c:v>
                </c:pt>
                <c:pt idx="65">
                  <c:v>0.065</c:v>
                </c:pt>
                <c:pt idx="66">
                  <c:v>0.066</c:v>
                </c:pt>
                <c:pt idx="67">
                  <c:v>0.0670000000000001</c:v>
                </c:pt>
                <c:pt idx="68">
                  <c:v>0.0680000000000001</c:v>
                </c:pt>
                <c:pt idx="69">
                  <c:v>0.0690000000000001</c:v>
                </c:pt>
                <c:pt idx="70">
                  <c:v>0.0700000000000001</c:v>
                </c:pt>
                <c:pt idx="71">
                  <c:v>0.0710000000000001</c:v>
                </c:pt>
                <c:pt idx="72">
                  <c:v>0.0720000000000001</c:v>
                </c:pt>
                <c:pt idx="73">
                  <c:v>0.0730000000000001</c:v>
                </c:pt>
                <c:pt idx="74">
                  <c:v>0.0740000000000001</c:v>
                </c:pt>
                <c:pt idx="75">
                  <c:v>0.0750000000000001</c:v>
                </c:pt>
                <c:pt idx="76">
                  <c:v>0.0760000000000001</c:v>
                </c:pt>
                <c:pt idx="77">
                  <c:v>0.0770000000000001</c:v>
                </c:pt>
                <c:pt idx="78">
                  <c:v>0.0780000000000001</c:v>
                </c:pt>
                <c:pt idx="79">
                  <c:v>0.0790000000000001</c:v>
                </c:pt>
                <c:pt idx="80">
                  <c:v>0.0800000000000001</c:v>
                </c:pt>
                <c:pt idx="81">
                  <c:v>0.0810000000000001</c:v>
                </c:pt>
                <c:pt idx="82">
                  <c:v>0.0820000000000001</c:v>
                </c:pt>
                <c:pt idx="83">
                  <c:v>0.0830000000000001</c:v>
                </c:pt>
                <c:pt idx="84">
                  <c:v>0.0840000000000001</c:v>
                </c:pt>
                <c:pt idx="85">
                  <c:v>0.0850000000000001</c:v>
                </c:pt>
                <c:pt idx="86">
                  <c:v>0.0860000000000001</c:v>
                </c:pt>
                <c:pt idx="87">
                  <c:v>0.0870000000000001</c:v>
                </c:pt>
                <c:pt idx="88">
                  <c:v>0.0880000000000001</c:v>
                </c:pt>
                <c:pt idx="89">
                  <c:v>0.0890000000000001</c:v>
                </c:pt>
                <c:pt idx="90">
                  <c:v>0.0900000000000001</c:v>
                </c:pt>
                <c:pt idx="91">
                  <c:v>0.0910000000000001</c:v>
                </c:pt>
                <c:pt idx="92">
                  <c:v>0.0920000000000001</c:v>
                </c:pt>
                <c:pt idx="93">
                  <c:v>0.0930000000000001</c:v>
                </c:pt>
                <c:pt idx="94">
                  <c:v>0.0940000000000001</c:v>
                </c:pt>
                <c:pt idx="95">
                  <c:v>0.0950000000000001</c:v>
                </c:pt>
                <c:pt idx="96">
                  <c:v>0.0960000000000001</c:v>
                </c:pt>
                <c:pt idx="97">
                  <c:v>0.0970000000000001</c:v>
                </c:pt>
                <c:pt idx="98">
                  <c:v>0.0980000000000001</c:v>
                </c:pt>
                <c:pt idx="99">
                  <c:v>0.0990000000000001</c:v>
                </c:pt>
                <c:pt idx="100">
                  <c:v>0.1</c:v>
                </c:pt>
              </c:numCache>
            </c:numRef>
          </c:xVal>
          <c:yVal>
            <c:numRef>
              <c:f>'G.data'!$O$4:$O$104</c:f>
              <c:numCache>
                <c:formatCode>#,##0</c:formatCode>
                <c:ptCount val="101"/>
                <c:pt idx="0">
                  <c:v>4511.69111492021</c:v>
                </c:pt>
                <c:pt idx="1">
                  <c:v>2252.91850051423</c:v>
                </c:pt>
                <c:pt idx="2">
                  <c:v>1317.3025756348</c:v>
                </c:pt>
                <c:pt idx="3">
                  <c:v>599.378561311898</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numCache>
            </c:numRef>
          </c:yVal>
          <c:smooth val="0"/>
        </c:ser>
        <c:ser>
          <c:idx val="2"/>
          <c:order val="2"/>
          <c:tx>
            <c:strRef>
              <c:f>"R-Value = 0"</c:f>
              <c:strCache>
                <c:ptCount val="1"/>
                <c:pt idx="0">
                  <c:v>R-Value = 0</c:v>
                </c:pt>
              </c:strCache>
            </c:strRef>
          </c:tx>
          <c:spPr>
            <a:solidFill>
              <a:srgbClr val="0000ff"/>
            </a:solidFill>
            <a:ln w="126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xVal>
            <c:numRef>
              <c:f>'G.data'!$Q$4:$Q$5</c:f>
              <c:numCache>
                <c:formatCode>General</c:formatCode>
                <c:ptCount val="2"/>
                <c:pt idx="0">
                  <c:v>0</c:v>
                </c:pt>
                <c:pt idx="1">
                  <c:v>0.1</c:v>
                </c:pt>
              </c:numCache>
            </c:numRef>
          </c:xVal>
          <c:yVal>
            <c:numRef>
              <c:f>'G.data'!$R$4:$R$5</c:f>
              <c:numCache>
                <c:formatCode>General</c:formatCode>
                <c:ptCount val="2"/>
                <c:pt idx="0">
                  <c:v>1285.55183491648</c:v>
                </c:pt>
                <c:pt idx="1">
                  <c:v>1285.55183491648</c:v>
                </c:pt>
              </c:numCache>
            </c:numRef>
          </c:yVal>
          <c:smooth val="0"/>
        </c:ser>
        <c:axId val="21502996"/>
        <c:axId val="57329479"/>
      </c:scatterChart>
      <c:valAx>
        <c:axId val="21502996"/>
        <c:scaling>
          <c:orientation val="minMax"/>
          <c:max val="0.05"/>
        </c:scaling>
        <c:delete val="0"/>
        <c:axPos val="b"/>
        <c:numFmt formatCode="0.0%" sourceLinked="1"/>
        <c:majorTickMark val="out"/>
        <c:minorTickMark val="none"/>
        <c:tickLblPos val="nextTo"/>
        <c:spPr>
          <a:ln w="0">
            <a:solidFill>
              <a:srgbClr val="000000"/>
            </a:solidFill>
          </a:ln>
        </c:spPr>
        <c:txPr>
          <a:bodyPr/>
          <a:lstStyle/>
          <a:p>
            <a:pPr>
              <a:defRPr b="0" sz="875" strike="noStrike" u="none">
                <a:solidFill>
                  <a:srgbClr val="000000"/>
                </a:solidFill>
                <a:uFillTx/>
                <a:latin typeface="Arial"/>
              </a:defRPr>
            </a:pPr>
          </a:p>
        </c:txPr>
        <c:crossAx val="57329479"/>
        <c:crossesAt val="0"/>
        <c:crossBetween val="midCat"/>
        <c:majorUnit val="0.01"/>
      </c:valAx>
      <c:valAx>
        <c:axId val="57329479"/>
        <c:scaling>
          <c:orientation val="minMax"/>
          <c:min val="0"/>
        </c:scaling>
        <c:delete val="0"/>
        <c:axPos val="l"/>
        <c:numFmt formatCode="General" sourceLinked="1"/>
        <c:majorTickMark val="out"/>
        <c:minorTickMark val="none"/>
        <c:tickLblPos val="nextTo"/>
        <c:spPr>
          <a:ln w="0">
            <a:solidFill>
              <a:srgbClr val="000000"/>
            </a:solidFill>
          </a:ln>
        </c:spPr>
        <c:txPr>
          <a:bodyPr/>
          <a:lstStyle/>
          <a:p>
            <a:pPr>
              <a:defRPr b="0" sz="875" strike="noStrike" u="none">
                <a:solidFill>
                  <a:srgbClr val="000000"/>
                </a:solidFill>
                <a:uFillTx/>
                <a:latin typeface="Arial"/>
              </a:defRPr>
            </a:pPr>
          </a:p>
        </c:txPr>
        <c:crossAx val="21502996"/>
        <c:crossesAt val="0"/>
        <c:crossBetween val="midCat"/>
      </c:valAx>
      <c:spPr>
        <a:solidFill>
          <a:srgbClr val="c0c0c0"/>
        </a:solidFill>
        <a:ln w="12600">
          <a:solidFill>
            <a:srgbClr val="808080"/>
          </a:solidFill>
          <a:round/>
        </a:ln>
      </c:spPr>
    </c:plotArea>
    <c:plotVisOnly val="1"/>
    <c:dispBlanksAs val="gap"/>
  </c:chart>
  <c:spPr>
    <a:solidFill>
      <a:srgbClr val="ffffff"/>
    </a:solidFill>
    <a:ln w="0">
      <a:solidFill>
        <a:srgbClr val="000000"/>
      </a:solidFill>
    </a:ln>
  </c:spPr>
</c:chartSpace>
</file>

<file path=xl/ctrlProps/ctrlProps10.xml><?xml version="1.0" encoding="utf-8"?>
<formControlPr xmlns="http://schemas.microsoft.com/office/spreadsheetml/2009/9/main" objectType="Button" lockText="1"/>
</file>

<file path=xl/ctrlProps/ctrlProps12.xml><?xml version="1.0" encoding="utf-8"?>
<formControlPr xmlns="http://schemas.microsoft.com/office/spreadsheetml/2009/9/main" objectType="Button" lockText="1"/>
</file>

<file path=xl/ctrlProps/ctrlProps2.xml><?xml version="1.0" encoding="utf-8"?>
<formControlPr xmlns="http://schemas.microsoft.com/office/spreadsheetml/2009/9/main" objectType="Button" lockText="1"/>
</file>

<file path=xl/ctrlProps/ctrlProps3.xml><?xml version="1.0" encoding="utf-8"?>
<formControlPr xmlns="http://schemas.microsoft.com/office/spreadsheetml/2009/9/main" objectType="Button" lockText="1"/>
</file>

<file path=xl/ctrlProps/ctrlProps4.xml><?xml version="1.0" encoding="utf-8"?>
<formControlPr xmlns="http://schemas.microsoft.com/office/spreadsheetml/2009/9/main" objectType="Button" lockText="1"/>
</file>

<file path=xl/ctrlProps/ctrlProps5.xml><?xml version="1.0" encoding="utf-8"?>
<formControlPr xmlns="http://schemas.microsoft.com/office/spreadsheetml/2009/9/main" objectType="Button" lockText="1"/>
</file>

<file path=xl/ctrlProps/ctrlProps6.xml><?xml version="1.0" encoding="utf-8"?>
<formControlPr xmlns="http://schemas.microsoft.com/office/spreadsheetml/2009/9/main" objectType="Button" lockText="1"/>
</file>

<file path=xl/ctrlProps/ctrlProps7.xml><?xml version="1.0" encoding="utf-8"?>
<formControlPr xmlns="http://schemas.microsoft.com/office/spreadsheetml/2009/9/main" objectType="Button" lockText="1"/>
</file>

<file path=xl/ctrlProps/ctrlProps8.xml><?xml version="1.0" encoding="utf-8"?>
<formControlPr xmlns="http://schemas.microsoft.com/office/spreadsheetml/2009/9/main" objectType="Button" lockText="1"/>
</file>

<file path=xl/ctrlProps/ctrlProps9.xml><?xml version="1.0" encoding="utf-8"?>
<formControlPr xmlns="http://schemas.microsoft.com/office/spreadsheetml/2009/9/main" objectType="Button" lockText="1"/>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180720</xdr:colOff>
      <xdr:row>0</xdr:row>
      <xdr:rowOff>86040</xdr:rowOff>
    </xdr:from>
    <xdr:to>
      <xdr:col>6</xdr:col>
      <xdr:colOff>160920</xdr:colOff>
      <xdr:row>22</xdr:row>
      <xdr:rowOff>352800</xdr:rowOff>
    </xdr:to>
    <xdr:graphicFrame>
      <xdr:nvGraphicFramePr>
        <xdr:cNvPr id="0" name="Chart 6"/>
        <xdr:cNvGraphicFramePr/>
      </xdr:nvGraphicFramePr>
      <xdr:xfrm>
        <a:off x="3430800" y="86040"/>
        <a:ext cx="3229920" cy="38289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170640</xdr:colOff>
      <xdr:row>0</xdr:row>
      <xdr:rowOff>86040</xdr:rowOff>
    </xdr:from>
    <xdr:to>
      <xdr:col>3</xdr:col>
      <xdr:colOff>160560</xdr:colOff>
      <xdr:row>22</xdr:row>
      <xdr:rowOff>352800</xdr:rowOff>
    </xdr:to>
    <xdr:graphicFrame>
      <xdr:nvGraphicFramePr>
        <xdr:cNvPr id="1" name="Chart 1"/>
        <xdr:cNvGraphicFramePr/>
      </xdr:nvGraphicFramePr>
      <xdr:xfrm>
        <a:off x="170640" y="86040"/>
        <a:ext cx="3240000" cy="382896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180720</xdr:colOff>
      <xdr:row>0</xdr:row>
      <xdr:rowOff>86040</xdr:rowOff>
    </xdr:from>
    <xdr:to>
      <xdr:col>9</xdr:col>
      <xdr:colOff>150840</xdr:colOff>
      <xdr:row>22</xdr:row>
      <xdr:rowOff>352800</xdr:rowOff>
    </xdr:to>
    <xdr:graphicFrame>
      <xdr:nvGraphicFramePr>
        <xdr:cNvPr id="2" name="Chart 2"/>
        <xdr:cNvGraphicFramePr/>
      </xdr:nvGraphicFramePr>
      <xdr:xfrm>
        <a:off x="6680520" y="86040"/>
        <a:ext cx="3220200" cy="382896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190800</xdr:colOff>
      <xdr:row>0</xdr:row>
      <xdr:rowOff>95400</xdr:rowOff>
    </xdr:from>
    <xdr:to>
      <xdr:col>1</xdr:col>
      <xdr:colOff>493560</xdr:colOff>
      <xdr:row>1</xdr:row>
      <xdr:rowOff>86040</xdr:rowOff>
    </xdr:to>
    <xdr:sp>
      <xdr:nvSpPr>
        <xdr:cNvPr id="3" name="Text 3"/>
        <xdr:cNvSpPr/>
      </xdr:nvSpPr>
      <xdr:spPr>
        <a:xfrm>
          <a:off x="190800" y="95400"/>
          <a:ext cx="563760" cy="152640"/>
        </a:xfrm>
        <a:prstGeom prst="rect">
          <a:avLst/>
        </a:prstGeom>
        <a:noFill/>
        <a:ln w="0">
          <a:noFill/>
        </a:ln>
      </xdr:spPr>
      <xdr:style>
        <a:lnRef idx="0"/>
        <a:fillRef idx="0"/>
        <a:effectRef idx="0"/>
        <a:fontRef idx="minor"/>
      </xdr:style>
      <xdr:txBody>
        <a:bodyPr lIns="20160" rIns="20160" tIns="20160" bIns="20160" anchor="t">
          <a:noAutofit/>
        </a:bodyPr>
        <a:p>
          <a:r>
            <a:rPr b="1" lang="en-US" sz="1000" strike="noStrike" u="none">
              <a:effectLst/>
              <a:uFillTx/>
              <a:latin typeface="Arial"/>
            </a:rPr>
            <a:t>GWs</a:t>
          </a:r>
          <a:endParaRPr b="0" lang="en-US" sz="1000" strike="noStrike" u="none">
            <a:effectLst/>
            <a:uFillTx/>
            <a:latin typeface="Times New Roman"/>
          </a:endParaRPr>
        </a:p>
      </xdr:txBody>
    </xdr:sp>
    <xdr:clientData/>
  </xdr:twoCellAnchor>
  <xdr:twoCellAnchor editAs="oneCell">
    <xdr:from>
      <xdr:col>2</xdr:col>
      <xdr:colOff>1681560</xdr:colOff>
      <xdr:row>22</xdr:row>
      <xdr:rowOff>190080</xdr:rowOff>
    </xdr:from>
    <xdr:to>
      <xdr:col>3</xdr:col>
      <xdr:colOff>150840</xdr:colOff>
      <xdr:row>22</xdr:row>
      <xdr:rowOff>371520</xdr:rowOff>
    </xdr:to>
    <xdr:sp>
      <xdr:nvSpPr>
        <xdr:cNvPr id="4" name="Text 4"/>
        <xdr:cNvSpPr/>
      </xdr:nvSpPr>
      <xdr:spPr>
        <a:xfrm>
          <a:off x="2626560" y="3752280"/>
          <a:ext cx="774360" cy="181440"/>
        </a:xfrm>
        <a:prstGeom prst="rect">
          <a:avLst/>
        </a:prstGeom>
        <a:noFill/>
        <a:ln w="0">
          <a:noFill/>
        </a:ln>
      </xdr:spPr>
      <xdr:style>
        <a:lnRef idx="0"/>
        <a:fillRef idx="0"/>
        <a:effectRef idx="0"/>
        <a:fontRef idx="minor"/>
      </xdr:style>
      <xdr:txBody>
        <a:bodyPr lIns="20160" rIns="20160" tIns="20160" bIns="20160" anchor="t">
          <a:noAutofit/>
        </a:bodyPr>
        <a:p>
          <a:r>
            <a:rPr b="1" lang="en-US" sz="1000" strike="noStrike" u="none">
              <a:effectLst/>
              <a:uFillTx/>
              <a:latin typeface="Arial"/>
            </a:rPr>
            <a:t>Duration</a:t>
          </a:r>
          <a:endParaRPr b="0" lang="en-US" sz="1000" strike="noStrike" u="none">
            <a:effectLst/>
            <a:uFillTx/>
            <a:latin typeface="Times New Roman"/>
          </a:endParaRPr>
        </a:p>
      </xdr:txBody>
    </xdr:sp>
    <xdr:clientData/>
  </xdr:twoCellAnchor>
  <xdr:twoCellAnchor editAs="oneCell">
    <xdr:from>
      <xdr:col>1</xdr:col>
      <xdr:colOff>361800</xdr:colOff>
      <xdr:row>18</xdr:row>
      <xdr:rowOff>38160</xdr:rowOff>
    </xdr:from>
    <xdr:to>
      <xdr:col>2</xdr:col>
      <xdr:colOff>2217240</xdr:colOff>
      <xdr:row>21</xdr:row>
      <xdr:rowOff>133200</xdr:rowOff>
    </xdr:to>
    <xdr:sp>
      <xdr:nvSpPr>
        <xdr:cNvPr id="5" name="Text 5"/>
        <xdr:cNvSpPr/>
      </xdr:nvSpPr>
      <xdr:spPr>
        <a:xfrm>
          <a:off x="622800" y="2952720"/>
          <a:ext cx="2539440" cy="581040"/>
        </a:xfrm>
        <a:prstGeom prst="rect">
          <a:avLst/>
        </a:prstGeom>
        <a:noFill/>
        <a:ln w="0">
          <a:noFill/>
        </a:ln>
      </xdr:spPr>
      <xdr:style>
        <a:lnRef idx="0"/>
        <a:fillRef idx="0"/>
        <a:effectRef idx="0"/>
        <a:fontRef idx="minor"/>
      </xdr:style>
      <xdr:txBody>
        <a:bodyPr lIns="20160" rIns="20160" tIns="20160" bIns="20160" anchor="t">
          <a:noAutofit/>
        </a:bodyPr>
        <a:p>
          <a:r>
            <a:rPr b="1" lang="en-US" sz="1000" strike="noStrike" u="none">
              <a:solidFill>
                <a:srgbClr val="0000ff"/>
              </a:solidFill>
              <a:effectLst/>
              <a:uFillTx/>
              <a:latin typeface="Arial"/>
            </a:rPr>
            <a:t>Available Capacity</a:t>
          </a:r>
          <a:endParaRPr b="0" lang="en-US" sz="1000" strike="noStrike" u="none">
            <a:effectLst/>
            <a:uFillTx/>
            <a:latin typeface="Times New Roman"/>
          </a:endParaRPr>
        </a:p>
        <a:p>
          <a:r>
            <a:rPr b="1" lang="en-US" sz="1000" strike="noStrike" u="none">
              <a:solidFill>
                <a:srgbClr val="ff0000"/>
              </a:solidFill>
              <a:effectLst/>
              <a:uFillTx/>
              <a:latin typeface="Arial"/>
            </a:rPr>
            <a:t>Load + "Required" Reserves</a:t>
          </a:r>
          <a:endParaRPr b="0" lang="en-US" sz="1000" strike="noStrike" u="none">
            <a:effectLst/>
            <a:uFillTx/>
            <a:latin typeface="Times New Roman"/>
          </a:endParaRPr>
        </a:p>
        <a:p>
          <a:r>
            <a:rPr b="1" lang="en-US" sz="1000" strike="noStrike" u="none">
              <a:effectLst/>
              <a:uFillTx/>
              <a:latin typeface="Arial"/>
            </a:rPr>
            <a:t>Load</a:t>
          </a:r>
          <a:endParaRPr b="0" lang="en-US" sz="1000" strike="noStrike" u="none">
            <a:effectLst/>
            <a:uFillTx/>
            <a:latin typeface="Times New Roman"/>
          </a:endParaRPr>
        </a:p>
      </xdr:txBody>
    </xdr:sp>
    <xdr:clientData/>
  </xdr:twoCellAnchor>
  <xdr:twoCellAnchor editAs="oneCell">
    <xdr:from>
      <xdr:col>8</xdr:col>
      <xdr:colOff>1670040</xdr:colOff>
      <xdr:row>22</xdr:row>
      <xdr:rowOff>171360</xdr:rowOff>
    </xdr:from>
    <xdr:to>
      <xdr:col>9</xdr:col>
      <xdr:colOff>80280</xdr:colOff>
      <xdr:row>22</xdr:row>
      <xdr:rowOff>361440</xdr:rowOff>
    </xdr:to>
    <xdr:sp>
      <xdr:nvSpPr>
        <xdr:cNvPr id="6" name="Text 7"/>
        <xdr:cNvSpPr/>
      </xdr:nvSpPr>
      <xdr:spPr>
        <a:xfrm>
          <a:off x="9114840" y="3733560"/>
          <a:ext cx="715320" cy="190080"/>
        </a:xfrm>
        <a:prstGeom prst="rect">
          <a:avLst/>
        </a:prstGeom>
        <a:noFill/>
        <a:ln w="0">
          <a:noFill/>
        </a:ln>
      </xdr:spPr>
      <xdr:style>
        <a:lnRef idx="0"/>
        <a:fillRef idx="0"/>
        <a:effectRef idx="0"/>
        <a:fontRef idx="minor"/>
      </xdr:style>
      <xdr:txBody>
        <a:bodyPr lIns="20160" rIns="20160" tIns="20160" bIns="20160" anchor="t">
          <a:noAutofit/>
        </a:bodyPr>
        <a:p>
          <a:r>
            <a:rPr b="1" lang="en-US" sz="1000" strike="noStrike" u="none">
              <a:effectLst/>
              <a:uFillTx/>
              <a:latin typeface="Arial"/>
            </a:rPr>
            <a:t>Duration</a:t>
          </a:r>
          <a:endParaRPr b="0" lang="en-US" sz="1000" strike="noStrike" u="none">
            <a:effectLst/>
            <a:uFillTx/>
            <a:latin typeface="Times New Roman"/>
          </a:endParaRPr>
        </a:p>
      </xdr:txBody>
    </xdr:sp>
    <xdr:clientData/>
  </xdr:twoCellAnchor>
  <xdr:twoCellAnchor editAs="oneCell">
    <xdr:from>
      <xdr:col>5</xdr:col>
      <xdr:colOff>1600560</xdr:colOff>
      <xdr:row>22</xdr:row>
      <xdr:rowOff>181440</xdr:rowOff>
    </xdr:from>
    <xdr:to>
      <xdr:col>6</xdr:col>
      <xdr:colOff>140760</xdr:colOff>
      <xdr:row>22</xdr:row>
      <xdr:rowOff>361440</xdr:rowOff>
    </xdr:to>
    <xdr:sp>
      <xdr:nvSpPr>
        <xdr:cNvPr id="7" name="Text 8"/>
        <xdr:cNvSpPr/>
      </xdr:nvSpPr>
      <xdr:spPr>
        <a:xfrm>
          <a:off x="5795280" y="3743640"/>
          <a:ext cx="845280" cy="180000"/>
        </a:xfrm>
        <a:prstGeom prst="rect">
          <a:avLst/>
        </a:prstGeom>
        <a:noFill/>
        <a:ln w="0">
          <a:noFill/>
        </a:ln>
      </xdr:spPr>
      <xdr:style>
        <a:lnRef idx="0"/>
        <a:fillRef idx="0"/>
        <a:effectRef idx="0"/>
        <a:fontRef idx="minor"/>
      </xdr:style>
      <xdr:txBody>
        <a:bodyPr lIns="20160" rIns="20160" tIns="20160" bIns="20160" anchor="t">
          <a:noAutofit/>
        </a:bodyPr>
        <a:p>
          <a:r>
            <a:rPr b="1" lang="en-US" sz="1000" strike="noStrike" u="none">
              <a:effectLst/>
              <a:uFillTx/>
              <a:latin typeface="Arial"/>
            </a:rPr>
            <a:t>Reserves</a:t>
          </a:r>
          <a:endParaRPr b="0" lang="en-US" sz="1000" strike="noStrike" u="none">
            <a:effectLst/>
            <a:uFillTx/>
            <a:latin typeface="Times New Roman"/>
          </a:endParaRPr>
        </a:p>
      </xdr:txBody>
    </xdr:sp>
    <xdr:clientData/>
  </xdr:twoCellAnchor>
  <xdr:twoCellAnchor editAs="oneCell">
    <xdr:from>
      <xdr:col>3</xdr:col>
      <xdr:colOff>200520</xdr:colOff>
      <xdr:row>0</xdr:row>
      <xdr:rowOff>105120</xdr:rowOff>
    </xdr:from>
    <xdr:to>
      <xdr:col>4</xdr:col>
      <xdr:colOff>583560</xdr:colOff>
      <xdr:row>1</xdr:row>
      <xdr:rowOff>162000</xdr:rowOff>
    </xdr:to>
    <xdr:sp>
      <xdr:nvSpPr>
        <xdr:cNvPr id="8" name="Text 9"/>
        <xdr:cNvSpPr/>
      </xdr:nvSpPr>
      <xdr:spPr>
        <a:xfrm>
          <a:off x="3450600" y="105120"/>
          <a:ext cx="644040" cy="218880"/>
        </a:xfrm>
        <a:prstGeom prst="rect">
          <a:avLst/>
        </a:prstGeom>
        <a:noFill/>
        <a:ln w="0">
          <a:noFill/>
        </a:ln>
      </xdr:spPr>
      <xdr:style>
        <a:lnRef idx="0"/>
        <a:fillRef idx="0"/>
        <a:effectRef idx="0"/>
        <a:fontRef idx="minor"/>
      </xdr:style>
      <xdr:txBody>
        <a:bodyPr lIns="20160" rIns="20160" tIns="20160" bIns="20160" anchor="t">
          <a:noAutofit/>
        </a:bodyPr>
        <a:p>
          <a:r>
            <a:rPr b="1" lang="en-US" sz="1100" strike="noStrike" u="none">
              <a:effectLst/>
              <a:uFillTx/>
              <a:latin typeface="Arial"/>
            </a:rPr>
            <a:t>$/MWh</a:t>
          </a:r>
          <a:endParaRPr b="0" lang="en-US" sz="1100" strike="noStrike" u="none">
            <a:effectLst/>
            <a:uFillTx/>
            <a:latin typeface="Times New Roman"/>
          </a:endParaRPr>
        </a:p>
      </xdr:txBody>
    </xdr:sp>
    <xdr:clientData/>
  </xdr:twoCellAnchor>
  <xdr:twoCellAnchor editAs="oneCell">
    <xdr:from>
      <xdr:col>6</xdr:col>
      <xdr:colOff>190800</xdr:colOff>
      <xdr:row>0</xdr:row>
      <xdr:rowOff>95400</xdr:rowOff>
    </xdr:from>
    <xdr:to>
      <xdr:col>7</xdr:col>
      <xdr:colOff>473400</xdr:colOff>
      <xdr:row>1</xdr:row>
      <xdr:rowOff>142920</xdr:rowOff>
    </xdr:to>
    <xdr:sp>
      <xdr:nvSpPr>
        <xdr:cNvPr id="9" name="Text 10"/>
        <xdr:cNvSpPr/>
      </xdr:nvSpPr>
      <xdr:spPr>
        <a:xfrm>
          <a:off x="6690600" y="95400"/>
          <a:ext cx="543600" cy="209520"/>
        </a:xfrm>
        <a:prstGeom prst="rect">
          <a:avLst/>
        </a:prstGeom>
        <a:noFill/>
        <a:ln w="0">
          <a:noFill/>
        </a:ln>
      </xdr:spPr>
      <xdr:style>
        <a:lnRef idx="0"/>
        <a:fillRef idx="0"/>
        <a:effectRef idx="0"/>
        <a:fontRef idx="minor"/>
      </xdr:style>
      <xdr:txBody>
        <a:bodyPr lIns="20160" rIns="20160" tIns="20160" bIns="20160" anchor="t">
          <a:noAutofit/>
        </a:bodyPr>
        <a:p>
          <a:r>
            <a:rPr b="1" lang="en-US" sz="1100" strike="noStrike" u="none">
              <a:effectLst/>
              <a:uFillTx/>
              <a:latin typeface="Arial"/>
            </a:rPr>
            <a:t>$/MWh</a:t>
          </a:r>
          <a:endParaRPr b="0" lang="en-US" sz="1100" strike="noStrike" u="none">
            <a:effectLst/>
            <a:uFillTx/>
            <a:latin typeface="Times New Roman"/>
          </a:endParaRPr>
        </a:p>
      </xdr:txBody>
    </xdr:sp>
    <xdr:clientData/>
  </xdr:twoCellAnchor>
  <xdr:twoCellAnchor editAs="oneCell">
    <xdr:from>
      <xdr:col>5</xdr:col>
      <xdr:colOff>101520</xdr:colOff>
      <xdr:row>2</xdr:row>
      <xdr:rowOff>95400</xdr:rowOff>
    </xdr:from>
    <xdr:to>
      <xdr:col>5</xdr:col>
      <xdr:colOff>2217240</xdr:colOff>
      <xdr:row>5</xdr:row>
      <xdr:rowOff>19080</xdr:rowOff>
    </xdr:to>
    <xdr:sp>
      <xdr:nvSpPr>
        <xdr:cNvPr id="10" name="Text 12"/>
        <xdr:cNvSpPr/>
      </xdr:nvSpPr>
      <xdr:spPr>
        <a:xfrm>
          <a:off x="4296240" y="419400"/>
          <a:ext cx="2115720" cy="409320"/>
        </a:xfrm>
        <a:prstGeom prst="rect">
          <a:avLst/>
        </a:prstGeom>
        <a:noFill/>
        <a:ln w="0">
          <a:noFill/>
        </a:ln>
      </xdr:spPr>
      <xdr:style>
        <a:lnRef idx="0"/>
        <a:fillRef idx="0"/>
        <a:effectRef idx="0"/>
        <a:fontRef idx="minor"/>
      </xdr:style>
      <xdr:txBody>
        <a:bodyPr lIns="20160" rIns="20160" tIns="20160" bIns="20160" anchor="t">
          <a:noAutofit/>
        </a:bodyPr>
        <a:p>
          <a:pPr algn="r"/>
          <a:r>
            <a:rPr b="1" lang="en-US" sz="1000" strike="noStrike" u="none">
              <a:solidFill>
                <a:srgbClr val="ff0000"/>
              </a:solidFill>
              <a:effectLst/>
              <a:uFillTx/>
              <a:latin typeface="Arial"/>
            </a:rPr>
            <a:t>Reserves Price </a:t>
          </a:r>
          <a:endParaRPr b="0" lang="en-US" sz="1000" strike="noStrike" u="none">
            <a:effectLst/>
            <a:uFillTx/>
            <a:latin typeface="Times New Roman"/>
          </a:endParaRPr>
        </a:p>
        <a:p>
          <a:pPr algn="r"/>
          <a:r>
            <a:rPr b="1" lang="en-US" sz="1000" strike="noStrike" u="none">
              <a:effectLst/>
              <a:uFillTx/>
              <a:latin typeface="Arial"/>
            </a:rPr>
            <a:t>Reserves Value</a:t>
          </a:r>
          <a:endParaRPr b="0" lang="en-US" sz="1000" strike="noStrike" u="none">
            <a:effectLst/>
            <a:uFillTx/>
            <a:latin typeface="Times New Roman"/>
          </a:endParaRPr>
        </a:p>
      </xdr:txBody>
    </xdr:sp>
    <xdr:clientData/>
  </xdr:twoCellAnchor>
  <xdr:twoCellAnchor editAs="oneCell">
    <xdr:from>
      <xdr:col>2</xdr:col>
      <xdr:colOff>594000</xdr:colOff>
      <xdr:row>1</xdr:row>
      <xdr:rowOff>9360</xdr:rowOff>
    </xdr:from>
    <xdr:to>
      <xdr:col>2</xdr:col>
      <xdr:colOff>1541880</xdr:colOff>
      <xdr:row>2</xdr:row>
      <xdr:rowOff>18720</xdr:rowOff>
    </xdr:to>
    <xdr:sp>
      <xdr:nvSpPr>
        <xdr:cNvPr id="11" name="Text 13"/>
        <xdr:cNvSpPr/>
      </xdr:nvSpPr>
      <xdr:spPr>
        <a:xfrm>
          <a:off x="1539000" y="171360"/>
          <a:ext cx="947880" cy="171360"/>
        </a:xfrm>
        <a:prstGeom prst="rect">
          <a:avLst/>
        </a:prstGeom>
        <a:noFill/>
        <a:ln w="0">
          <a:noFill/>
        </a:ln>
      </xdr:spPr>
      <xdr:style>
        <a:lnRef idx="0"/>
        <a:fillRef idx="0"/>
        <a:effectRef idx="0"/>
        <a:fontRef idx="minor"/>
      </xdr:style>
      <xdr:txBody>
        <a:bodyPr lIns="20160" rIns="20160" tIns="20160" bIns="20160" anchor="t">
          <a:noAutofit/>
        </a:bodyPr>
        <a:p>
          <a:r>
            <a:rPr b="1" lang="en-US" sz="1000" strike="noStrike" u="none">
              <a:effectLst/>
              <a:uFillTx/>
              <a:latin typeface="Arial"/>
            </a:rPr>
            <a:t>The Market</a:t>
          </a:r>
          <a:endParaRPr b="0" lang="en-US" sz="1000" strike="noStrike" u="none">
            <a:effectLst/>
            <a:uFillTx/>
            <a:latin typeface="Times New Roman"/>
          </a:endParaRPr>
        </a:p>
      </xdr:txBody>
    </xdr:sp>
    <xdr:clientData/>
  </xdr:twoCellAnchor>
  <xdr:twoCellAnchor editAs="oneCell">
    <xdr:from>
      <xdr:col>5</xdr:col>
      <xdr:colOff>452520</xdr:colOff>
      <xdr:row>1</xdr:row>
      <xdr:rowOff>0</xdr:rowOff>
    </xdr:from>
    <xdr:to>
      <xdr:col>5</xdr:col>
      <xdr:colOff>1692720</xdr:colOff>
      <xdr:row>2</xdr:row>
      <xdr:rowOff>28440</xdr:rowOff>
    </xdr:to>
    <xdr:sp>
      <xdr:nvSpPr>
        <xdr:cNvPr id="12" name="Text 14"/>
        <xdr:cNvSpPr/>
      </xdr:nvSpPr>
      <xdr:spPr>
        <a:xfrm>
          <a:off x="4647240" y="162000"/>
          <a:ext cx="1240200" cy="190440"/>
        </a:xfrm>
        <a:prstGeom prst="rect">
          <a:avLst/>
        </a:prstGeom>
        <a:noFill/>
        <a:ln w="0">
          <a:noFill/>
        </a:ln>
      </xdr:spPr>
      <xdr:style>
        <a:lnRef idx="0"/>
        <a:fillRef idx="0"/>
        <a:effectRef idx="0"/>
        <a:fontRef idx="minor"/>
      </xdr:style>
      <xdr:txBody>
        <a:bodyPr lIns="20160" rIns="20160" tIns="20160" bIns="20160" anchor="t">
          <a:noAutofit/>
        </a:bodyPr>
        <a:p>
          <a:r>
            <a:rPr b="1" lang="en-US" sz="1000" strike="noStrike" u="none">
              <a:effectLst/>
              <a:uFillTx/>
              <a:latin typeface="Arial"/>
            </a:rPr>
            <a:t>Reliability Policy</a:t>
          </a:r>
          <a:endParaRPr b="0" lang="en-US" sz="1000" strike="noStrike" u="none">
            <a:effectLst/>
            <a:uFillTx/>
            <a:latin typeface="Times New Roman"/>
          </a:endParaRPr>
        </a:p>
      </xdr:txBody>
    </xdr:sp>
    <xdr:clientData/>
  </xdr:twoCellAnchor>
  <xdr:twoCellAnchor editAs="oneCell">
    <xdr:from>
      <xdr:col>8</xdr:col>
      <xdr:colOff>211680</xdr:colOff>
      <xdr:row>0</xdr:row>
      <xdr:rowOff>152280</xdr:rowOff>
    </xdr:from>
    <xdr:to>
      <xdr:col>8</xdr:col>
      <xdr:colOff>1773720</xdr:colOff>
      <xdr:row>2</xdr:row>
      <xdr:rowOff>28440</xdr:rowOff>
    </xdr:to>
    <xdr:sp>
      <xdr:nvSpPr>
        <xdr:cNvPr id="13" name="Text 15"/>
        <xdr:cNvSpPr/>
      </xdr:nvSpPr>
      <xdr:spPr>
        <a:xfrm>
          <a:off x="7656480" y="152280"/>
          <a:ext cx="1562040" cy="200160"/>
        </a:xfrm>
        <a:prstGeom prst="rect">
          <a:avLst/>
        </a:prstGeom>
        <a:noFill/>
        <a:ln w="0">
          <a:noFill/>
        </a:ln>
      </xdr:spPr>
      <xdr:style>
        <a:lnRef idx="0"/>
        <a:fillRef idx="0"/>
        <a:effectRef idx="0"/>
        <a:fontRef idx="minor"/>
      </xdr:style>
      <xdr:txBody>
        <a:bodyPr lIns="20160" rIns="20160" tIns="20160" bIns="20160" anchor="t">
          <a:noAutofit/>
        </a:bodyPr>
        <a:p>
          <a:r>
            <a:rPr b="1" lang="en-US" sz="1000" strike="noStrike" u="none">
              <a:effectLst/>
              <a:uFillTx/>
              <a:latin typeface="Arial"/>
            </a:rPr>
            <a:t>Resulting Price Spike</a:t>
          </a:r>
          <a:endParaRPr b="0" lang="en-US" sz="1000" strike="noStrike" u="none">
            <a:effectLst/>
            <a:uFillTx/>
            <a:latin typeface="Times New Roman"/>
          </a:endParaRPr>
        </a:p>
      </xdr:txBody>
    </xdr:sp>
    <xdr:clientData/>
  </xdr:twoCellAnchor>
  <xdr:twoCellAnchor editAs="oneCell">
    <xdr:from>
      <xdr:col>8</xdr:col>
      <xdr:colOff>333000</xdr:colOff>
      <xdr:row>18</xdr:row>
      <xdr:rowOff>56880</xdr:rowOff>
    </xdr:from>
    <xdr:to>
      <xdr:col>8</xdr:col>
      <xdr:colOff>2226240</xdr:colOff>
      <xdr:row>21</xdr:row>
      <xdr:rowOff>75600</xdr:rowOff>
    </xdr:to>
    <xdr:sp>
      <xdr:nvSpPr>
        <xdr:cNvPr id="14" name="Text 11"/>
        <xdr:cNvSpPr/>
      </xdr:nvSpPr>
      <xdr:spPr>
        <a:xfrm>
          <a:off x="7777800" y="2971440"/>
          <a:ext cx="1893240" cy="504720"/>
        </a:xfrm>
        <a:prstGeom prst="rect">
          <a:avLst/>
        </a:prstGeom>
        <a:noFill/>
        <a:ln w="0">
          <a:noFill/>
        </a:ln>
      </xdr:spPr>
      <xdr:style>
        <a:lnRef idx="0"/>
        <a:fillRef idx="0"/>
        <a:effectRef idx="0"/>
        <a:fontRef idx="minor"/>
      </xdr:style>
      <xdr:txBody>
        <a:bodyPr lIns="20160" rIns="20160" tIns="20160" bIns="20160" anchor="t">
          <a:noAutofit/>
        </a:bodyPr>
        <a:p>
          <a:pPr algn="r"/>
          <a:r>
            <a:rPr b="1" lang="en-US" sz="1000" strike="noStrike" u="none">
              <a:solidFill>
                <a:srgbClr val="ff0000"/>
              </a:solidFill>
              <a:effectLst/>
              <a:uFillTx/>
              <a:latin typeface="Arial"/>
            </a:rPr>
            <a:t>Price Spike</a:t>
          </a:r>
          <a:endParaRPr b="0" lang="en-US" sz="1000" strike="noStrike" u="none">
            <a:effectLst/>
            <a:uFillTx/>
            <a:latin typeface="Times New Roman"/>
          </a:endParaRPr>
        </a:p>
        <a:p>
          <a:pPr algn="r"/>
          <a:r>
            <a:rPr b="1" lang="en-US" sz="1000" strike="noStrike" u="none">
              <a:solidFill>
                <a:srgbClr val="000000"/>
              </a:solidFill>
              <a:effectLst/>
              <a:uFillTx/>
              <a:latin typeface="Arial"/>
            </a:rPr>
            <a:t>Reserves (no scale)</a:t>
          </a:r>
          <a:endParaRPr b="0" lang="en-US" sz="1000" strike="noStrike" u="none">
            <a:effectLst/>
            <a:uFillTx/>
            <a:latin typeface="Times New Roman"/>
          </a:endParaRPr>
        </a:p>
        <a:p>
          <a:pPr algn="r"/>
          <a:r>
            <a:rPr b="1" lang="en-US" sz="1000" strike="noStrike" u="none">
              <a:solidFill>
                <a:srgbClr val="0000ff"/>
              </a:solidFill>
              <a:effectLst/>
              <a:uFillTx/>
              <a:latin typeface="Arial"/>
            </a:rPr>
            <a:t>Res when Value = 0</a:t>
          </a:r>
          <a:endParaRPr b="0" lang="en-US" sz="1000" strike="noStrike" u="none">
            <a:effectLst/>
            <a:uFillTx/>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xdr:col>
          <xdr:colOff>1600200</xdr:colOff>
          <xdr:row>30</xdr:row>
          <xdr:rowOff>95760</xdr:rowOff>
        </xdr:from>
        <xdr:to>
          <xdr:col>3</xdr:col>
          <xdr:colOff>-279360</xdr:colOff>
          <xdr:row>31</xdr:row>
          <xdr:rowOff>161640</xdr:rowOff>
        </xdr:to>
        <xdr:sp>
          <xdr:nvSpPr>
            <xdr:cNvPr id="1001" name="Button 16" descr="R=V" hidden="0"/>
            <xdr:cNvSpPr/>
          </xdr:nvSpPr>
          <xdr:spPr>
            <a:xfrm>
              <a:off x="0" y="0"/>
              <a:ext cx="0" cy="0"/>
            </a:xfrm>
            <a:prstGeom prst="rect">
              <a:avLst/>
            </a:prstGeom>
          </xdr:spPr>
          <xdr:txBody>
            <a:bodyPr anchor="ctr">
              <a:noAutofit/>
            </a:bodyPr>
            <a:p>
              <a:r>
                <a:t>R=V</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2113560</xdr:colOff>
          <xdr:row>30</xdr:row>
          <xdr:rowOff>95760</xdr:rowOff>
        </xdr:from>
        <xdr:to>
          <xdr:col>3</xdr:col>
          <xdr:colOff>190800</xdr:colOff>
          <xdr:row>31</xdr:row>
          <xdr:rowOff>161640</xdr:rowOff>
        </xdr:to>
        <xdr:sp>
          <xdr:nvSpPr>
            <xdr:cNvPr id="1002" name="Button 18" descr="Cap" hidden="0"/>
            <xdr:cNvSpPr/>
          </xdr:nvSpPr>
          <xdr:spPr>
            <a:xfrm>
              <a:off x="0" y="0"/>
              <a:ext cx="0" cy="0"/>
            </a:xfrm>
            <a:prstGeom prst="rect">
              <a:avLst/>
            </a:prstGeom>
          </xdr:spPr>
          <xdr:txBody>
            <a:bodyPr anchor="ctr">
              <a:noAutofit/>
            </a:bodyPr>
            <a:p>
              <a:r>
                <a:t>Cap</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19800</xdr:colOff>
          <xdr:row>30</xdr:row>
          <xdr:rowOff>95760</xdr:rowOff>
        </xdr:from>
        <xdr:to>
          <xdr:col>5</xdr:col>
          <xdr:colOff>-281160</xdr:colOff>
          <xdr:row>31</xdr:row>
          <xdr:rowOff>161640</xdr:rowOff>
        </xdr:to>
        <xdr:sp>
          <xdr:nvSpPr>
            <xdr:cNvPr id="1003" name="Button 19" descr="Cap+" hidden="0"/>
            <xdr:cNvSpPr/>
          </xdr:nvSpPr>
          <xdr:spPr>
            <a:xfrm>
              <a:off x="0" y="0"/>
              <a:ext cx="0" cy="0"/>
            </a:xfrm>
            <a:prstGeom prst="rect">
              <a:avLst/>
            </a:prstGeom>
          </xdr:spPr>
          <xdr:txBody>
            <a:bodyPr anchor="ctr">
              <a:noAutofit/>
            </a:bodyPr>
            <a:p>
              <a:r>
                <a:t>Cap+</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472680</xdr:colOff>
          <xdr:row>30</xdr:row>
          <xdr:rowOff>95760</xdr:rowOff>
        </xdr:from>
        <xdr:to>
          <xdr:col>5</xdr:col>
          <xdr:colOff>173520</xdr:colOff>
          <xdr:row>31</xdr:row>
          <xdr:rowOff>161640</xdr:rowOff>
        </xdr:to>
        <xdr:sp>
          <xdr:nvSpPr>
            <xdr:cNvPr id="1004" name="Button 20" descr="E" hidden="0"/>
            <xdr:cNvSpPr/>
          </xdr:nvSpPr>
          <xdr:spPr>
            <a:xfrm>
              <a:off x="0" y="0"/>
              <a:ext cx="0" cy="0"/>
            </a:xfrm>
            <a:prstGeom prst="rect">
              <a:avLst/>
            </a:prstGeom>
          </xdr:spPr>
          <xdr:txBody>
            <a:bodyPr anchor="ctr">
              <a:noAutofit/>
            </a:bodyPr>
            <a:p>
              <a:r>
                <a:t>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956880</xdr:colOff>
          <xdr:row>32</xdr:row>
          <xdr:rowOff>47520</xdr:rowOff>
        </xdr:from>
        <xdr:to>
          <xdr:col>6</xdr:col>
          <xdr:colOff>-58320</xdr:colOff>
          <xdr:row>33</xdr:row>
          <xdr:rowOff>133200</xdr:rowOff>
        </xdr:to>
        <xdr:sp>
          <xdr:nvSpPr>
            <xdr:cNvPr id="1005" name="Button 53" descr="Help" hidden="0"/>
            <xdr:cNvSpPr/>
          </xdr:nvSpPr>
          <xdr:spPr>
            <a:xfrm>
              <a:off x="0" y="0"/>
              <a:ext cx="0" cy="0"/>
            </a:xfrm>
            <a:prstGeom prst="rect">
              <a:avLst/>
            </a:prstGeom>
          </xdr:spPr>
          <xdr:txBody>
            <a:bodyPr anchor="ctr">
              <a:noAutofit/>
            </a:bodyPr>
            <a:p>
              <a:r>
                <a:t>Help</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1650240</xdr:colOff>
          <xdr:row>30</xdr:row>
          <xdr:rowOff>124200</xdr:rowOff>
        </xdr:from>
        <xdr:to>
          <xdr:col>6</xdr:col>
          <xdr:colOff>-67320</xdr:colOff>
          <xdr:row>31</xdr:row>
          <xdr:rowOff>190800</xdr:rowOff>
        </xdr:to>
        <xdr:sp>
          <xdr:nvSpPr>
            <xdr:cNvPr id="1006" name="Button 68" descr="Print" hidden="0"/>
            <xdr:cNvSpPr/>
          </xdr:nvSpPr>
          <xdr:spPr>
            <a:xfrm>
              <a:off x="0" y="0"/>
              <a:ext cx="0" cy="0"/>
            </a:xfrm>
            <a:prstGeom prst="rect">
              <a:avLst/>
            </a:prstGeom>
          </xdr:spPr>
          <xdr:txBody>
            <a:bodyPr anchor="ctr">
              <a:noAutofit/>
            </a:bodyPr>
            <a:p>
              <a:r>
                <a:t>Print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965880</xdr:colOff>
          <xdr:row>30</xdr:row>
          <xdr:rowOff>124200</xdr:rowOff>
        </xdr:from>
        <xdr:to>
          <xdr:col>6</xdr:col>
          <xdr:colOff>-751680</xdr:colOff>
          <xdr:row>31</xdr:row>
          <xdr:rowOff>190800</xdr:rowOff>
        </xdr:to>
        <xdr:sp>
          <xdr:nvSpPr>
            <xdr:cNvPr id="1007" name="Button 69" descr="End" hidden="0"/>
            <xdr:cNvSpPr/>
          </xdr:nvSpPr>
          <xdr:spPr>
            <a:xfrm>
              <a:off x="0" y="0"/>
              <a:ext cx="0" cy="0"/>
            </a:xfrm>
            <a:prstGeom prst="rect">
              <a:avLst/>
            </a:prstGeom>
          </xdr:spPr>
          <xdr:txBody>
            <a:bodyPr anchor="ctr">
              <a:noAutofit/>
            </a:bodyPr>
            <a:p>
              <a:r>
                <a:t>End</a:t>
              </a:r>
            </a:p>
          </xdr:txBody>
        </xdr:sp>
        <xdr:clientData/>
      </xdr:twoCellAnchor>
    </mc:Choice>
  </mc:AlternateContent>
  <xdr:twoCellAnchor editAs="oneCell">
    <xdr:from>
      <xdr:col>2</xdr:col>
      <xdr:colOff>1571040</xdr:colOff>
      <xdr:row>35</xdr:row>
      <xdr:rowOff>47520</xdr:rowOff>
    </xdr:from>
    <xdr:to>
      <xdr:col>2</xdr:col>
      <xdr:colOff>1652040</xdr:colOff>
      <xdr:row>36</xdr:row>
      <xdr:rowOff>95400</xdr:rowOff>
    </xdr:to>
    <xdr:sp>
      <xdr:nvSpPr>
        <xdr:cNvPr id="15" name="Text 87"/>
        <xdr:cNvSpPr/>
      </xdr:nvSpPr>
      <xdr:spPr>
        <a:xfrm>
          <a:off x="2516040" y="6410160"/>
          <a:ext cx="81000" cy="209880"/>
        </a:xfrm>
        <a:prstGeom prst="rect">
          <a:avLst/>
        </a:prstGeom>
        <a:noFill/>
        <a:ln w="0">
          <a:noFill/>
        </a:ln>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5</xdr:col>
          <xdr:colOff>945360</xdr:colOff>
          <xdr:row>34</xdr:row>
          <xdr:rowOff>47520</xdr:rowOff>
        </xdr:from>
        <xdr:to>
          <xdr:col>6</xdr:col>
          <xdr:colOff>-763200</xdr:colOff>
          <xdr:row>35</xdr:row>
          <xdr:rowOff>114480</xdr:rowOff>
        </xdr:to>
        <xdr:sp>
          <xdr:nvSpPr>
            <xdr:cNvPr id="1008" name="Button 160" descr="Normal" hidden="0"/>
            <xdr:cNvSpPr/>
          </xdr:nvSpPr>
          <xdr:spPr>
            <a:xfrm>
              <a:off x="0" y="0"/>
              <a:ext cx="0" cy="0"/>
            </a:xfrm>
            <a:prstGeom prst="rect">
              <a:avLst/>
            </a:prstGeom>
          </xdr:spPr>
          <xdr:txBody>
            <a:bodyPr anchor="ctr">
              <a:noAutofit/>
            </a:bodyPr>
            <a:p>
              <a:r>
                <a:t>Normal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1650240</xdr:colOff>
          <xdr:row>34</xdr:row>
          <xdr:rowOff>47520</xdr:rowOff>
        </xdr:from>
        <xdr:to>
          <xdr:col>6</xdr:col>
          <xdr:colOff>-58320</xdr:colOff>
          <xdr:row>35</xdr:row>
          <xdr:rowOff>114480</xdr:rowOff>
        </xdr:to>
        <xdr:sp>
          <xdr:nvSpPr>
            <xdr:cNvPr id="1009" name="Button 161" descr="Full" hidden="0"/>
            <xdr:cNvSpPr/>
          </xdr:nvSpPr>
          <xdr:spPr>
            <a:xfrm>
              <a:off x="0" y="0"/>
              <a:ext cx="0" cy="0"/>
            </a:xfrm>
            <a:prstGeom prst="rect">
              <a:avLst/>
            </a:prstGeom>
          </xdr:spPr>
          <xdr:txBody>
            <a:bodyPr anchor="ctr">
              <a:noAutofit/>
            </a:bodyPr>
            <a:p>
              <a:r>
                <a:t>Full</a:t>
              </a:r>
            </a:p>
          </xdr:txBody>
        </xdr:sp>
        <xdr:clientData/>
      </xdr:twoCellAnchor>
    </mc:Choice>
  </mc:AlternateContent>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10</xdr:col>
      <xdr:colOff>573120</xdr:colOff>
      <xdr:row>4</xdr:row>
      <xdr:rowOff>114480</xdr:rowOff>
    </xdr:from>
    <xdr:to>
      <xdr:col>11</xdr:col>
      <xdr:colOff>453240</xdr:colOff>
      <xdr:row>5</xdr:row>
      <xdr:rowOff>181080</xdr:rowOff>
    </xdr:to>
    <xdr:sp>
      <xdr:nvSpPr>
        <xdr:cNvPr id="16" name="Text 1"/>
        <xdr:cNvSpPr/>
      </xdr:nvSpPr>
      <xdr:spPr>
        <a:xfrm>
          <a:off x="10928880" y="704880"/>
          <a:ext cx="523800" cy="228600"/>
        </a:xfrm>
        <a:prstGeom prst="rect">
          <a:avLst/>
        </a:prstGeom>
        <a:noFill/>
        <a:ln w="0">
          <a:noFill/>
        </a:ln>
      </xdr:spPr>
      <xdr:style>
        <a:lnRef idx="0"/>
        <a:fillRef idx="0"/>
        <a:effectRef idx="0"/>
        <a:fontRef idx="minor"/>
      </xdr:style>
      <xdr:txBody>
        <a:bodyPr lIns="20160" rIns="20160" tIns="20160" bIns="20160" anchor="t">
          <a:noAutofit/>
        </a:bodyPr>
        <a:p>
          <a:r>
            <a:rPr b="1" lang="en-US" sz="1200" strike="noStrike" u="none">
              <a:effectLst/>
              <a:uFillTx/>
              <a:latin typeface="Arial"/>
            </a:rPr>
            <a:t>C</a:t>
          </a:r>
          <a:endParaRPr b="0" lang="en-US" sz="1200" strike="noStrike" u="none">
            <a:effectLst/>
            <a:uFillTx/>
            <a:latin typeface="Times New Roman"/>
          </a:endParaRPr>
        </a:p>
      </xdr:txBody>
    </xdr:sp>
    <xdr:clientData/>
  </xdr:twoCellAnchor>
  <xdr:twoCellAnchor editAs="oneCell">
    <xdr:from>
      <xdr:col>10</xdr:col>
      <xdr:colOff>583200</xdr:colOff>
      <xdr:row>4</xdr:row>
      <xdr:rowOff>124200</xdr:rowOff>
    </xdr:from>
    <xdr:to>
      <xdr:col>11</xdr:col>
      <xdr:colOff>131400</xdr:colOff>
      <xdr:row>5</xdr:row>
      <xdr:rowOff>142560</xdr:rowOff>
    </xdr:to>
    <xdr:sp>
      <xdr:nvSpPr>
        <xdr:cNvPr id="17" name="Oval 2"/>
        <xdr:cNvSpPr/>
      </xdr:nvSpPr>
      <xdr:spPr>
        <a:xfrm>
          <a:off x="10938960" y="714600"/>
          <a:ext cx="191880" cy="180360"/>
        </a:xfrm>
        <a:prstGeom prst="ellipse">
          <a:avLst/>
        </a:prstGeom>
        <a:noFill/>
        <a:ln w="19080">
          <a:solidFill>
            <a:srgbClr val="000000"/>
          </a:solidFill>
          <a:miter/>
        </a:ln>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4</xdr:col>
          <xdr:colOff>1351080</xdr:colOff>
          <xdr:row>9</xdr:row>
          <xdr:rowOff>9360</xdr:rowOff>
        </xdr:from>
        <xdr:to>
          <xdr:col>5</xdr:col>
          <xdr:colOff>-1236240</xdr:colOff>
          <xdr:row>10</xdr:row>
          <xdr:rowOff>152280</xdr:rowOff>
        </xdr:to>
        <xdr:sp>
          <xdr:nvSpPr>
            <xdr:cNvPr id="1001" name="Button 3" descr="S t a r t" hidden="0"/>
            <xdr:cNvSpPr/>
          </xdr:nvSpPr>
          <xdr:spPr>
            <a:xfrm>
              <a:off x="0" y="0"/>
              <a:ext cx="0" cy="0"/>
            </a:xfrm>
            <a:prstGeom prst="rect">
              <a:avLst/>
            </a:prstGeom>
          </xdr:spPr>
          <xdr:txBody>
            <a:bodyPr anchor="ctr">
              <a:noAutofit/>
            </a:bodyPr>
            <a:p>
              <a:r>
                <a:t>S t a r t</a:t>
              </a:r>
            </a:p>
          </xdr:txBody>
        </xdr:sp>
        <xdr:clientData/>
      </xdr:twoCellAnchor>
    </mc:Choice>
  </mc:AlternateContent>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 Id="rId4" Type="http://schemas.openxmlformats.org/officeDocument/2006/relationships/ctrlProp" Target="../ctrlProps/ctrlProps2.xml"/><Relationship Id="rId5" Type="http://schemas.openxmlformats.org/officeDocument/2006/relationships/ctrlProp" Target="../ctrlProps/ctrlProps3.xml"/><Relationship Id="rId6" Type="http://schemas.openxmlformats.org/officeDocument/2006/relationships/ctrlProp" Target="../ctrlProps/ctrlProps4.xml"/><Relationship Id="rId7" Type="http://schemas.openxmlformats.org/officeDocument/2006/relationships/ctrlProp" Target="../ctrlProps/ctrlProps5.xml"/><Relationship Id="rId8" Type="http://schemas.openxmlformats.org/officeDocument/2006/relationships/ctrlProp" Target="../ctrlProps/ctrlProps6.xml"/><Relationship Id="rId9" Type="http://schemas.openxmlformats.org/officeDocument/2006/relationships/ctrlProp" Target="../ctrlProps/ctrlProps7.xml"/><Relationship Id="rId10" Type="http://schemas.openxmlformats.org/officeDocument/2006/relationships/ctrlProp" Target="../ctrlProps/ctrlProps8.xml"/><Relationship Id="rId11" Type="http://schemas.openxmlformats.org/officeDocument/2006/relationships/ctrlProp" Target="../ctrlProps/ctrlProps9.xml"/><Relationship Id="rId12" Type="http://schemas.openxmlformats.org/officeDocument/2006/relationships/ctrlProp" Target="../ctrlProps/ctrlProps10.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3.vml"/>
</Relationships>
</file>

<file path=xl/worksheets/_rels/sheet4.xml.rels><?xml version="1.0" encoding="UTF-8"?>
<Relationships xmlns="http://schemas.openxmlformats.org/package/2006/relationships"><Relationship Id="rId1" Type="http://schemas.openxmlformats.org/officeDocument/2006/relationships/drawing" Target="../drawings/drawing11.xml"/><Relationship Id="rId2" Type="http://schemas.openxmlformats.org/officeDocument/2006/relationships/vmlDrawing" Target="../drawings/vmlDrawing4.vml"/><Relationship Id="rId3" Type="http://schemas.openxmlformats.org/officeDocument/2006/relationships/ctrlProp" Target="../ctrlProps/ctrlProps1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4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
    <col collapsed="false" customWidth="true" hidden="false" outlineLevel="0" max="2" min="2" style="0" width="9.7"/>
    <col collapsed="false" customWidth="true" hidden="false" outlineLevel="0" max="3" min="3" style="0" width="32.7"/>
    <col collapsed="false" customWidth="true" hidden="false" outlineLevel="0" max="4" min="4" style="0" width="3.7"/>
    <col collapsed="false" customWidth="true" hidden="false" outlineLevel="0" max="5" min="5" style="0" width="9.7"/>
    <col collapsed="false" customWidth="true" hidden="false" outlineLevel="0" max="6" min="6" style="0" width="32.7"/>
    <col collapsed="false" customWidth="true" hidden="false" outlineLevel="0" max="7" min="7" style="0" width="3.7"/>
    <col collapsed="false" customWidth="true" hidden="false" outlineLevel="0" max="8" min="8" style="0" width="9.7"/>
    <col collapsed="false" customWidth="true" hidden="false" outlineLevel="0" max="9" min="9" style="0" width="32.7"/>
    <col collapsed="false" customWidth="true" hidden="false" outlineLevel="0" max="10" min="10" style="0" width="3.7"/>
    <col collapsed="false" customWidth="true" hidden="false" outlineLevel="0" max="11" min="11" style="0" width="10.85"/>
  </cols>
  <sheetData>
    <row r="1" customFormat="false" ht="12.75" hidden="false" customHeight="false" outlineLevel="0" collapsed="false">
      <c r="A1" s="1"/>
    </row>
    <row r="2" customFormat="false" ht="12.75" hidden="false" customHeight="false" outlineLevel="0" collapsed="false">
      <c r="H2" s="2"/>
    </row>
    <row r="3" customFormat="false" ht="12.75" hidden="false" customHeight="false" outlineLevel="0" collapsed="false">
      <c r="H3" s="2"/>
    </row>
    <row r="4" customFormat="false" ht="12.75" hidden="false" customHeight="false" outlineLevel="0" collapsed="false">
      <c r="B4" s="1"/>
    </row>
    <row r="5" customFormat="false" ht="12.75" hidden="false" customHeight="false" outlineLevel="0" collapsed="false">
      <c r="B5" s="3"/>
    </row>
    <row r="6" customFormat="false" ht="12.75" hidden="false" customHeight="false" outlineLevel="0" collapsed="false">
      <c r="B6" s="3"/>
    </row>
    <row r="7" customFormat="false" ht="12.75" hidden="false" customHeight="false" outlineLevel="0" collapsed="false">
      <c r="B7" s="3"/>
    </row>
    <row r="8" customFormat="false" ht="12.75" hidden="false" customHeight="false" outlineLevel="0" collapsed="false">
      <c r="B8" s="3"/>
    </row>
    <row r="9" customFormat="false" ht="12.75" hidden="false" customHeight="false" outlineLevel="0" collapsed="false">
      <c r="B9" s="4"/>
    </row>
    <row r="10" customFormat="false" ht="12.75" hidden="false" customHeight="false" outlineLevel="0" collapsed="false">
      <c r="B10" s="5"/>
      <c r="H10" s="6"/>
    </row>
    <row r="11" customFormat="false" ht="12.75" hidden="false" customHeight="false" outlineLevel="0" collapsed="false">
      <c r="B11" s="3"/>
      <c r="H11" s="7"/>
    </row>
    <row r="12" customFormat="false" ht="12.75" hidden="false" customHeight="false" outlineLevel="0" collapsed="false">
      <c r="B12" s="8"/>
    </row>
    <row r="13" customFormat="false" ht="12.75" hidden="false" customHeight="false" outlineLevel="0" collapsed="false">
      <c r="B13" s="8"/>
    </row>
    <row r="14" customFormat="false" ht="12.75" hidden="false" customHeight="false" outlineLevel="0" collapsed="false">
      <c r="B14" s="9"/>
    </row>
    <row r="15" customFormat="false" ht="12.75" hidden="false" customHeight="false" outlineLevel="0" collapsed="false">
      <c r="B15" s="3"/>
    </row>
    <row r="16" customFormat="false" ht="12.75" hidden="false" customHeight="false" outlineLevel="0" collapsed="false">
      <c r="B16" s="4"/>
    </row>
    <row r="23" customFormat="false" ht="34.5" hidden="false" customHeight="true" outlineLevel="0" collapsed="false"/>
    <row r="24" customFormat="false" ht="21.75" hidden="false" customHeight="true" outlineLevel="0" collapsed="false">
      <c r="B24" s="10" t="s">
        <v>0</v>
      </c>
      <c r="C24" s="10"/>
      <c r="D24" s="10"/>
      <c r="E24" s="10"/>
      <c r="F24" s="10"/>
      <c r="G24" s="10"/>
      <c r="H24" s="10"/>
      <c r="I24" s="10"/>
    </row>
    <row r="25" customFormat="false" ht="21.75" hidden="false" customHeight="true" outlineLevel="0" collapsed="false">
      <c r="B25" s="11" t="s">
        <v>1</v>
      </c>
      <c r="C25" s="11"/>
      <c r="E25" s="11" t="s">
        <v>2</v>
      </c>
      <c r="F25" s="11"/>
      <c r="G25" s="3"/>
      <c r="H25" s="11" t="s">
        <v>3</v>
      </c>
      <c r="I25" s="11"/>
    </row>
    <row r="26" customFormat="false" ht="15" hidden="false" customHeight="false" outlineLevel="0" collapsed="false">
      <c r="B26" s="12" t="n">
        <v>0.07</v>
      </c>
      <c r="C26" s="13" t="s">
        <v>4</v>
      </c>
      <c r="D26" s="14"/>
      <c r="E26" s="12" t="n">
        <v>0.07</v>
      </c>
      <c r="F26" s="13" t="s">
        <v>5</v>
      </c>
      <c r="G26" s="14"/>
      <c r="H26" s="15" t="n">
        <f aca="false">calcs!C21</f>
        <v>4511.69111492021</v>
      </c>
      <c r="I26" s="13" t="s">
        <v>6</v>
      </c>
    </row>
    <row r="27" customFormat="false" ht="15" hidden="false" customHeight="false" outlineLevel="0" collapsed="false">
      <c r="B27" s="16" t="n">
        <v>10000</v>
      </c>
      <c r="C27" s="17" t="s">
        <v>7</v>
      </c>
      <c r="D27" s="14"/>
      <c r="E27" s="16" t="n">
        <v>10000</v>
      </c>
      <c r="F27" s="17" t="s">
        <v>8</v>
      </c>
      <c r="G27" s="14"/>
      <c r="H27" s="18" t="n">
        <f aca="false">D0g*8760</f>
        <v>34.9492192268372</v>
      </c>
      <c r="I27" s="19" t="s">
        <v>9</v>
      </c>
    </row>
    <row r="28" customFormat="false" ht="15.75" hidden="false" customHeight="false" outlineLevel="0" collapsed="false">
      <c r="B28" s="20" t="n">
        <v>0</v>
      </c>
      <c r="C28" s="19" t="s">
        <v>10</v>
      </c>
      <c r="D28" s="14"/>
      <c r="E28" s="16" t="n">
        <v>99999</v>
      </c>
      <c r="F28" s="17" t="s">
        <v>11</v>
      </c>
      <c r="G28" s="14"/>
      <c r="H28" s="15" t="n">
        <f aca="false">calcs!C24</f>
        <v>2368.82528349452</v>
      </c>
      <c r="I28" s="13" t="s">
        <v>12</v>
      </c>
    </row>
    <row r="29" customFormat="false" ht="15.75" hidden="false" customHeight="false" outlineLevel="0" collapsed="false">
      <c r="B29" s="21" t="n">
        <v>50000</v>
      </c>
      <c r="C29" s="17" t="s">
        <v>13</v>
      </c>
      <c r="D29" s="14"/>
      <c r="E29" s="22" t="n">
        <f aca="false">(Front!H30-TCU)/'G.data'!T18</f>
        <v>0</v>
      </c>
      <c r="F29" s="23" t="s">
        <v>14</v>
      </c>
      <c r="G29" s="17"/>
      <c r="H29" s="24" t="n">
        <f aca="false">FixedCostofPeaker*(AvailableCapacity-PeakLoad)</f>
        <v>11525.4486586676</v>
      </c>
      <c r="I29" s="17" t="s">
        <v>15</v>
      </c>
    </row>
    <row r="30" customFormat="false" ht="14.25" hidden="false" customHeight="true" outlineLevel="0" collapsed="false">
      <c r="B30" s="25" t="n">
        <v>50</v>
      </c>
      <c r="C30" s="19" t="s">
        <v>16</v>
      </c>
      <c r="D30" s="14"/>
      <c r="E30" s="26" t="n">
        <f aca="false">'G.data'!V19</f>
        <v>1</v>
      </c>
      <c r="F30" s="27" t="s">
        <v>17</v>
      </c>
      <c r="G30" s="28"/>
      <c r="H30" s="29" t="n">
        <f aca="false">TotalPeakerFixedCost+UnReliabilityLoss</f>
        <v>13894.2739421621</v>
      </c>
      <c r="I30" s="19" t="s">
        <v>18</v>
      </c>
    </row>
    <row r="31" customFormat="false" ht="12.75" hidden="false" customHeight="false" outlineLevel="0" collapsed="false">
      <c r="A31" s="30"/>
    </row>
    <row r="32" customFormat="false" ht="15.75" hidden="false" customHeight="false" outlineLevel="0" collapsed="false">
      <c r="A32" s="30"/>
      <c r="B32" s="31" t="s">
        <v>19</v>
      </c>
    </row>
    <row r="33" customFormat="false" ht="12.75" hidden="false" customHeight="false" outlineLevel="0" collapsed="false">
      <c r="B33" s="32" t="s">
        <v>20</v>
      </c>
      <c r="C33" s="33"/>
      <c r="D33" s="33"/>
      <c r="E33" s="33"/>
      <c r="F33" s="33"/>
      <c r="G33" s="33"/>
      <c r="H33" s="34"/>
      <c r="I33" s="34" t="s">
        <v>21</v>
      </c>
    </row>
    <row r="34" customFormat="false" ht="12.75" hidden="false" customHeight="false" outlineLevel="0" collapsed="false">
      <c r="C34" s="33"/>
      <c r="D34" s="33"/>
      <c r="E34" s="33"/>
      <c r="F34" s="33"/>
      <c r="G34" s="33"/>
      <c r="H34" s="34"/>
      <c r="I34" s="34"/>
    </row>
    <row r="35" customFormat="false" ht="12.75" hidden="false" customHeight="false" outlineLevel="0" collapsed="false">
      <c r="B35" s="32" t="s">
        <v>22</v>
      </c>
      <c r="C35" s="33"/>
      <c r="D35" s="33"/>
      <c r="E35" s="33"/>
      <c r="F35" s="33"/>
      <c r="G35" s="33"/>
      <c r="H35" s="34"/>
      <c r="I35" s="34"/>
    </row>
    <row r="36" customFormat="false" ht="12.75" hidden="false" customHeight="false" outlineLevel="0" collapsed="false">
      <c r="B36" s="32" t="s">
        <v>23</v>
      </c>
      <c r="C36" s="32"/>
      <c r="D36" s="35"/>
      <c r="E36" s="33"/>
      <c r="F36" s="33"/>
      <c r="G36" s="33"/>
      <c r="H36" s="36"/>
      <c r="I36" s="34"/>
    </row>
    <row r="37" customFormat="false" ht="12.75" hidden="false" customHeight="false" outlineLevel="0" collapsed="false">
      <c r="B37" s="33"/>
      <c r="C37" s="33"/>
      <c r="D37" s="33"/>
      <c r="E37" s="33"/>
      <c r="F37" s="33"/>
      <c r="G37" s="33"/>
      <c r="H37" s="33"/>
      <c r="I37" s="33"/>
    </row>
    <row r="38" customFormat="false" ht="12.75" hidden="false" customHeight="false" outlineLevel="0" collapsed="false">
      <c r="B38" s="33"/>
      <c r="C38" s="33"/>
      <c r="D38" s="33"/>
      <c r="E38" s="33"/>
      <c r="F38" s="33"/>
      <c r="G38" s="33"/>
      <c r="H38" s="33"/>
      <c r="I38" s="33"/>
    </row>
    <row r="39" customFormat="false" ht="12.75" hidden="false" customHeight="false" outlineLevel="0" collapsed="false">
      <c r="A39" s="37"/>
      <c r="B39" s="33"/>
      <c r="C39" s="33"/>
      <c r="D39" s="38"/>
      <c r="E39" s="38"/>
      <c r="F39" s="38"/>
      <c r="G39" s="38"/>
      <c r="H39" s="33"/>
      <c r="I39" s="33"/>
    </row>
    <row r="40" customFormat="false" ht="12.75" hidden="false" customHeight="false" outlineLevel="0" collapsed="false">
      <c r="A40" s="3"/>
      <c r="D40" s="39"/>
      <c r="E40" s="40"/>
      <c r="F40" s="41"/>
      <c r="G40" s="41"/>
    </row>
    <row r="41" customFormat="false" ht="12.75" hidden="false" customHeight="false" outlineLevel="0" collapsed="false">
      <c r="A41" s="3"/>
      <c r="E41" s="42"/>
      <c r="F41" s="43"/>
      <c r="G41" s="43"/>
    </row>
    <row r="42" customFormat="false" ht="12.75" hidden="false" customHeight="false" outlineLevel="0" collapsed="false">
      <c r="A42" s="3"/>
      <c r="E42" s="42"/>
      <c r="F42" s="43"/>
      <c r="G42" s="43"/>
    </row>
    <row r="43" customFormat="false" ht="12.75" hidden="false" customHeight="false" outlineLevel="0" collapsed="false">
      <c r="A43" s="3"/>
    </row>
  </sheetData>
  <mergeCells count="4">
    <mergeCell ref="B24:I24"/>
    <mergeCell ref="B25:C25"/>
    <mergeCell ref="E25:F25"/>
    <mergeCell ref="H25:I25"/>
  </mergeCells>
  <printOptions headings="false" gridLines="false" gridLinesSet="true" horizontalCentered="false" verticalCentered="false"/>
  <pageMargins left="0.747916666666667" right="0.747916666666667" top="2" bottom="0.984027777777778" header="1" footer="0.511811023622047"/>
  <pageSetup paperSize="1" scale="100" fitToWidth="1" fitToHeight="1" pageOrder="downThenOver" orientation="landscape" blackAndWhite="false" draft="false" cellComments="none" horizontalDpi="300" verticalDpi="300" copies="1"/>
  <headerFooter differentFirst="false" differentOddEven="false">
    <oddHeader>&amp;C&amp;"Arial,Bold"&amp;18Price-Spike Calculator
&amp;12Steven Stoft, (c) 2000
&amp;10www.stoft.com</oddHeade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Button 16">
              <controlPr defaultSize="0" print="false" autoFill="0" autoPict="0" macro="Module1.Example1">
                <anchor moveWithCells="true" sizeWithCells="false">
                  <from>
                    <xdr:col>2</xdr:col>
                    <xdr:colOff>1600200</xdr:colOff>
                    <xdr:row>30</xdr:row>
                    <xdr:rowOff>95760</xdr:rowOff>
                  </from>
                  <to>
                    <xdr:col>3</xdr:col>
                    <xdr:colOff>-279360</xdr:colOff>
                    <xdr:row>31</xdr:row>
                    <xdr:rowOff>161640</xdr:rowOff>
                  </to>
                </anchor>
              </controlPr>
            </control>
          </mc:Choice>
        </mc:AlternateContent>
        <mc:AlternateContent xmlns:mc="http://schemas.openxmlformats.org/markup-compatibility/2006">
          <mc:Choice Requires="x14">
            <control shapeId="1002" r:id="rId5" name="Button 18">
              <controlPr defaultSize="0" print="false" autoFill="0" autoPict="0" macro="Module1.Example2">
                <anchor moveWithCells="true" sizeWithCells="false">
                  <from>
                    <xdr:col>2</xdr:col>
                    <xdr:colOff>2113560</xdr:colOff>
                    <xdr:row>30</xdr:row>
                    <xdr:rowOff>95760</xdr:rowOff>
                  </from>
                  <to>
                    <xdr:col>3</xdr:col>
                    <xdr:colOff>190800</xdr:colOff>
                    <xdr:row>31</xdr:row>
                    <xdr:rowOff>161640</xdr:rowOff>
                  </to>
                </anchor>
              </controlPr>
            </control>
          </mc:Choice>
        </mc:AlternateContent>
        <mc:AlternateContent xmlns:mc="http://schemas.openxmlformats.org/markup-compatibility/2006">
          <mc:Choice Requires="x14">
            <control shapeId="1003" r:id="rId6" name="Button 19">
              <controlPr defaultSize="0" print="false" autoFill="0" autoPict="0" macro="Module1.Example3">
                <anchor moveWithCells="true" sizeWithCells="false">
                  <from>
                    <xdr:col>4</xdr:col>
                    <xdr:colOff>19800</xdr:colOff>
                    <xdr:row>30</xdr:row>
                    <xdr:rowOff>95760</xdr:rowOff>
                  </from>
                  <to>
                    <xdr:col>5</xdr:col>
                    <xdr:colOff>-281160</xdr:colOff>
                    <xdr:row>31</xdr:row>
                    <xdr:rowOff>161640</xdr:rowOff>
                  </to>
                </anchor>
              </controlPr>
            </control>
          </mc:Choice>
        </mc:AlternateContent>
        <mc:AlternateContent xmlns:mc="http://schemas.openxmlformats.org/markup-compatibility/2006">
          <mc:Choice Requires="x14">
            <control shapeId="1004" r:id="rId7" name="Button 20">
              <controlPr defaultSize="0" print="false" autoFill="0" autoPict="0" macro="Module1.Example4">
                <anchor moveWithCells="true" sizeWithCells="false">
                  <from>
                    <xdr:col>4</xdr:col>
                    <xdr:colOff>472680</xdr:colOff>
                    <xdr:row>30</xdr:row>
                    <xdr:rowOff>95760</xdr:rowOff>
                  </from>
                  <to>
                    <xdr:col>5</xdr:col>
                    <xdr:colOff>173520</xdr:colOff>
                    <xdr:row>31</xdr:row>
                    <xdr:rowOff>161640</xdr:rowOff>
                  </to>
                </anchor>
              </controlPr>
            </control>
          </mc:Choice>
        </mc:AlternateContent>
        <mc:AlternateContent xmlns:mc="http://schemas.openxmlformats.org/markup-compatibility/2006">
          <mc:Choice Requires="x14">
            <control shapeId="1005" r:id="rId8" name="Button 53">
              <controlPr defaultSize="0" print="false" autoFill="0" autoPict="0" macro="Module1.help">
                <anchor moveWithCells="true" sizeWithCells="false">
                  <from>
                    <xdr:col>5</xdr:col>
                    <xdr:colOff>956880</xdr:colOff>
                    <xdr:row>32</xdr:row>
                    <xdr:rowOff>47520</xdr:rowOff>
                  </from>
                  <to>
                    <xdr:col>6</xdr:col>
                    <xdr:colOff>-58320</xdr:colOff>
                    <xdr:row>33</xdr:row>
                    <xdr:rowOff>133200</xdr:rowOff>
                  </to>
                </anchor>
              </controlPr>
            </control>
          </mc:Choice>
        </mc:AlternateContent>
        <mc:AlternateContent xmlns:mc="http://schemas.openxmlformats.org/markup-compatibility/2006">
          <mc:Choice Requires="x14">
            <control shapeId="1006" r:id="rId9" name="Button 68">
              <controlPr defaultSize="0" print="false" autoFill="0" autoPict="0" macro="Module2.print1">
                <anchor moveWithCells="true" sizeWithCells="false">
                  <from>
                    <xdr:col>5</xdr:col>
                    <xdr:colOff>1650240</xdr:colOff>
                    <xdr:row>30</xdr:row>
                    <xdr:rowOff>124200</xdr:rowOff>
                  </from>
                  <to>
                    <xdr:col>6</xdr:col>
                    <xdr:colOff>-67320</xdr:colOff>
                    <xdr:row>31</xdr:row>
                    <xdr:rowOff>190800</xdr:rowOff>
                  </to>
                </anchor>
              </controlPr>
            </control>
          </mc:Choice>
        </mc:AlternateContent>
        <mc:AlternateContent xmlns:mc="http://schemas.openxmlformats.org/markup-compatibility/2006">
          <mc:Choice Requires="x14">
            <control shapeId="1007" r:id="rId10" name="Button 69">
              <controlPr defaultSize="0" print="false" autoFill="0" autoPict="0" macro="Module1.EndCalc">
                <anchor moveWithCells="true" sizeWithCells="false">
                  <from>
                    <xdr:col>5</xdr:col>
                    <xdr:colOff>965880</xdr:colOff>
                    <xdr:row>30</xdr:row>
                    <xdr:rowOff>124200</xdr:rowOff>
                  </from>
                  <to>
                    <xdr:col>6</xdr:col>
                    <xdr:colOff>-751680</xdr:colOff>
                    <xdr:row>31</xdr:row>
                    <xdr:rowOff>190800</xdr:rowOff>
                  </to>
                </anchor>
              </controlPr>
            </control>
          </mc:Choice>
        </mc:AlternateContent>
        <mc:AlternateContent xmlns:mc="http://schemas.openxmlformats.org/markup-compatibility/2006">
          <mc:Choice Requires="x14">
            <control shapeId="1008" r:id="rId11" name="Button 160">
              <controlPr defaultSize="0" print="false" autoFill="0" autoPict="0" macro="SetView.NormalView">
                <anchor moveWithCells="true" sizeWithCells="false">
                  <from>
                    <xdr:col>5</xdr:col>
                    <xdr:colOff>945360</xdr:colOff>
                    <xdr:row>34</xdr:row>
                    <xdr:rowOff>47520</xdr:rowOff>
                  </from>
                  <to>
                    <xdr:col>6</xdr:col>
                    <xdr:colOff>-763200</xdr:colOff>
                    <xdr:row>35</xdr:row>
                    <xdr:rowOff>114480</xdr:rowOff>
                  </to>
                </anchor>
              </controlPr>
            </control>
          </mc:Choice>
        </mc:AlternateContent>
        <mc:AlternateContent xmlns:mc="http://schemas.openxmlformats.org/markup-compatibility/2006">
          <mc:Choice Requires="x14">
            <control shapeId="1009" r:id="rId12" name="Button 161">
              <controlPr defaultSize="0" print="false" autoFill="0" autoPict="0" macro="SetView.FullView">
                <anchor moveWithCells="true" sizeWithCells="false">
                  <from>
                    <xdr:col>5</xdr:col>
                    <xdr:colOff>1650240</xdr:colOff>
                    <xdr:row>34</xdr:row>
                    <xdr:rowOff>47520</xdr:rowOff>
                  </from>
                  <to>
                    <xdr:col>6</xdr:col>
                    <xdr:colOff>-58320</xdr:colOff>
                    <xdr:row>35</xdr:row>
                    <xdr:rowOff>114480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F129"/>
  <sheetViews>
    <sheetView showFormulas="false" showGridLines="true" showRowColHeaders="true" showZeros="true" rightToLeft="false" tabSelected="false" showOutlineSymbols="true" defaultGridColor="true" view="normal" topLeftCell="M4" colorId="64" zoomScale="90" zoomScaleNormal="90" zoomScalePageLayoutView="100" workbookViewId="0">
      <selection pane="topLeft" activeCell="U22" activeCellId="0" sqref="U22"/>
    </sheetView>
  </sheetViews>
  <sheetFormatPr defaultColWidth="9.0546875" defaultRowHeight="12.75" customHeight="true" zeroHeight="false" outlineLevelRow="0" outlineLevelCol="0"/>
  <cols>
    <col collapsed="false" customWidth="true" hidden="false" outlineLevel="0" max="2" min="2" style="0" width="4.85"/>
    <col collapsed="false" customWidth="true" hidden="false" outlineLevel="0" max="3" min="3" style="0" width="4.99"/>
    <col collapsed="false" customWidth="true" hidden="false" outlineLevel="0" max="4" min="4" style="0" width="5.41"/>
    <col collapsed="false" customWidth="true" hidden="false" outlineLevel="0" max="5" min="5" style="0" width="5.99"/>
    <col collapsed="false" customWidth="true" hidden="false" outlineLevel="0" max="7" min="7" style="0" width="8.28"/>
    <col collapsed="false" customWidth="true" hidden="false" outlineLevel="0" max="9" min="8" style="0" width="6.13"/>
    <col collapsed="false" customWidth="true" hidden="false" outlineLevel="0" max="10" min="10" style="0" width="7.42"/>
    <col collapsed="false" customWidth="true" hidden="false" outlineLevel="0" max="11" min="11" style="0" width="8.41"/>
    <col collapsed="false" customWidth="true" hidden="false" outlineLevel="0" max="13" min="13" style="44" width="7.7"/>
    <col collapsed="false" customWidth="true" hidden="false" outlineLevel="0" max="14" min="14" style="0" width="8.41"/>
    <col collapsed="false" customWidth="true" hidden="false" outlineLevel="0" max="15" min="15" style="43" width="7.28"/>
    <col collapsed="false" customWidth="true" hidden="false" outlineLevel="0" max="17" min="17" style="0" width="4.7"/>
    <col collapsed="false" customWidth="true" hidden="false" outlineLevel="0" max="18" min="18" style="0" width="5.13"/>
    <col collapsed="false" customWidth="true" hidden="false" outlineLevel="0" max="20" min="20" style="0" width="11.85"/>
  </cols>
  <sheetData>
    <row r="1" customFormat="false" ht="12.75" hidden="false" customHeight="false" outlineLevel="0" collapsed="false">
      <c r="P1" s="0" t="n">
        <f aca="false">0.8*(O2/N2)</f>
        <v>0.367300524261851</v>
      </c>
    </row>
    <row r="2" customFormat="false" ht="12.75" hidden="false" customHeight="false" outlineLevel="0" collapsed="false">
      <c r="N2" s="45" t="n">
        <f aca="false">MAX(N4:N104)</f>
        <v>9826.70226019888</v>
      </c>
      <c r="O2" s="43" t="n">
        <f aca="false">MAX(O4:O104)</f>
        <v>4511.69111492021</v>
      </c>
      <c r="P2" s="45" t="n">
        <f aca="false">MAX(P4:P104)</f>
        <v>3609.35289193617</v>
      </c>
      <c r="X2" s="1" t="s">
        <v>24</v>
      </c>
    </row>
    <row r="3" customFormat="false" ht="39" hidden="false" customHeight="true" outlineLevel="0" collapsed="false">
      <c r="A3" s="46"/>
      <c r="B3" s="47" t="s">
        <v>25</v>
      </c>
      <c r="C3" s="47" t="s">
        <v>26</v>
      </c>
      <c r="D3" s="47" t="s">
        <v>27</v>
      </c>
      <c r="E3" s="47" t="s">
        <v>28</v>
      </c>
      <c r="F3" s="46"/>
      <c r="G3" s="46" t="s">
        <v>29</v>
      </c>
      <c r="H3" s="46" t="s">
        <v>30</v>
      </c>
      <c r="I3" s="46" t="s">
        <v>31</v>
      </c>
      <c r="J3" s="46" t="s">
        <v>32</v>
      </c>
      <c r="K3" s="46" t="s">
        <v>33</v>
      </c>
      <c r="L3" s="46"/>
      <c r="M3" s="48" t="s">
        <v>25</v>
      </c>
      <c r="N3" s="46" t="s">
        <v>30</v>
      </c>
      <c r="O3" s="49" t="s">
        <v>33</v>
      </c>
      <c r="P3" s="46" t="s">
        <v>34</v>
      </c>
      <c r="Q3" s="46" t="s">
        <v>35</v>
      </c>
      <c r="R3" s="46" t="s">
        <v>36</v>
      </c>
      <c r="S3" s="46"/>
      <c r="T3" s="50" t="s">
        <v>37</v>
      </c>
      <c r="U3" s="50"/>
      <c r="V3" s="50"/>
      <c r="W3" s="50"/>
      <c r="X3" s="51" t="s">
        <v>38</v>
      </c>
      <c r="Y3" s="51"/>
      <c r="Z3" s="51"/>
      <c r="AA3" s="51"/>
      <c r="AB3" s="51"/>
      <c r="AC3" s="51"/>
      <c r="AD3" s="51"/>
      <c r="AE3" s="51"/>
      <c r="AF3" s="51"/>
    </row>
    <row r="4" customFormat="false" ht="13.5" hidden="false" customHeight="true" outlineLevel="0" collapsed="false">
      <c r="B4" s="0" t="n">
        <v>0.1</v>
      </c>
      <c r="C4" s="7" t="n">
        <f aca="false">C5</f>
        <v>50</v>
      </c>
      <c r="D4" s="7" t="n">
        <f aca="false">D5</f>
        <v>53.5</v>
      </c>
      <c r="G4" s="44" t="n">
        <v>0</v>
      </c>
      <c r="H4" s="0" t="n">
        <f aca="false">G4*L0</f>
        <v>0</v>
      </c>
      <c r="I4" s="52" t="n">
        <f aca="false">H4/R0</f>
        <v>0</v>
      </c>
      <c r="J4" s="45" t="n">
        <f aca="false">IF(I4&gt;1,0,MAX(0,M0*(1-'G.data'!I4)*(1-beta*'G.data'!I4)))</f>
        <v>10000</v>
      </c>
      <c r="K4" s="0" t="n">
        <f aca="false">MAX(0,MIN(Pcap,P0-g*'G.data'!H4))</f>
        <v>10000</v>
      </c>
      <c r="M4" s="44" t="n">
        <v>0</v>
      </c>
      <c r="N4" s="45" t="n">
        <f aca="false">MAX(0,K-(L0-Ldif*M4-alph*M4^0.5))</f>
        <v>1920.90810977793</v>
      </c>
      <c r="O4" s="43" t="n">
        <f aca="false">MIN(Pcap,MAX(0,P0-g*'G.data'!N4))</f>
        <v>4511.69111492021</v>
      </c>
      <c r="P4" s="45" t="n">
        <f aca="false">N4*P$1</f>
        <v>705.550555780274</v>
      </c>
      <c r="Q4" s="0" t="n">
        <v>0</v>
      </c>
      <c r="R4" s="0" t="n">
        <f aca="false">R0g*P$1</f>
        <v>1285.55183491648</v>
      </c>
      <c r="AB4" s="46"/>
      <c r="AC4" s="46"/>
    </row>
    <row r="5" customFormat="false" ht="13.5" hidden="false" customHeight="true" outlineLevel="0" collapsed="false">
      <c r="B5" s="52" t="n">
        <v>0</v>
      </c>
      <c r="C5" s="7" t="n">
        <f aca="false">(L0-Ldif*B5-alph*B5^0.5)/1000</f>
        <v>50</v>
      </c>
      <c r="D5" s="7" t="n">
        <f aca="false">C5+R0g/1000</f>
        <v>53.5</v>
      </c>
      <c r="E5" s="7" t="n">
        <f aca="false">K/1000</f>
        <v>51.9209081097779</v>
      </c>
      <c r="G5" s="44" t="n">
        <f aca="false">G4+0.001</f>
        <v>0.001</v>
      </c>
      <c r="H5" s="0" t="n">
        <f aca="false">G5*L0</f>
        <v>50</v>
      </c>
      <c r="I5" s="52" t="n">
        <f aca="false">H5/R0</f>
        <v>0.0142857142857143</v>
      </c>
      <c r="J5" s="45" t="n">
        <f aca="false">IF(I5&gt;1,0,MAX(0,M0*(1-'G.data'!I5)*(1-beta*'G.data'!I5)))</f>
        <v>9857.14285714286</v>
      </c>
      <c r="K5" s="0" t="n">
        <f aca="false">MAX(0,MIN(Pcap,P0-g*'G.data'!H5))</f>
        <v>9857.14285714286</v>
      </c>
      <c r="M5" s="44" t="n">
        <f aca="false">M4+0.001</f>
        <v>0.001</v>
      </c>
      <c r="N5" s="45" t="n">
        <f aca="false">MAX(0,K-(L0-Ldif*M5-alph*M5^0.5))</f>
        <v>2711.47852482002</v>
      </c>
      <c r="O5" s="43" t="n">
        <f aca="false">MIN(Pcap,MAX(0,P0-g*'G.data'!N5))</f>
        <v>2252.91850051423</v>
      </c>
      <c r="P5" s="45" t="n">
        <f aca="false">N5*P$1</f>
        <v>995.927483691145</v>
      </c>
      <c r="Q5" s="0" t="n">
        <v>0.1</v>
      </c>
      <c r="R5" s="0" t="n">
        <f aca="false">R0g*P$1</f>
        <v>1285.55183491648</v>
      </c>
      <c r="T5" s="43" t="n">
        <f aca="false">calcs!C25</f>
        <v>32321.8304703363</v>
      </c>
      <c r="U5" s="0" t="s">
        <v>39</v>
      </c>
      <c r="AB5" s="46"/>
      <c r="AC5" s="46"/>
    </row>
    <row r="6" customFormat="false" ht="13.5" hidden="false" customHeight="true" outlineLevel="0" collapsed="false">
      <c r="B6" s="52" t="n">
        <f aca="false">B5+0.02</f>
        <v>0.02</v>
      </c>
      <c r="C6" s="7" t="n">
        <f aca="false">(L0-Ldif*B6-alph*B6^0.5)/1000</f>
        <v>46.4644460940673</v>
      </c>
      <c r="D6" s="7" t="n">
        <f aca="false">C6+R0g/1000</f>
        <v>49.9644460940673</v>
      </c>
      <c r="E6" s="7" t="n">
        <f aca="false">K/1000</f>
        <v>51.9209081097779</v>
      </c>
      <c r="G6" s="44" t="n">
        <f aca="false">G5+0.001</f>
        <v>0.002</v>
      </c>
      <c r="H6" s="0" t="n">
        <f aca="false">G6*L0</f>
        <v>100</v>
      </c>
      <c r="I6" s="52" t="n">
        <f aca="false">H6/R0</f>
        <v>0.0285714285714286</v>
      </c>
      <c r="J6" s="45" t="n">
        <f aca="false">IF(I6&gt;1,0,MAX(0,M0*(1-'G.data'!I6)*(1-beta*'G.data'!I6)))</f>
        <v>9714.28571428571</v>
      </c>
      <c r="K6" s="0" t="n">
        <f aca="false">MAX(0,MIN(Pcap,P0-g*'G.data'!H6))</f>
        <v>9714.28571428571</v>
      </c>
      <c r="M6" s="44" t="n">
        <f aca="false">M5+0.001</f>
        <v>0.002</v>
      </c>
      <c r="N6" s="45" t="n">
        <f aca="false">MAX(0,K-(L0-Ldif*M6-alph*M6^0.5))</f>
        <v>3038.94409852782</v>
      </c>
      <c r="O6" s="43" t="n">
        <f aca="false">MIN(Pcap,MAX(0,P0-g*'G.data'!N6))</f>
        <v>1317.3025756348</v>
      </c>
      <c r="P6" s="45" t="n">
        <f aca="false">N6*P$1</f>
        <v>1116.20576059173</v>
      </c>
      <c r="T6" s="43" t="n">
        <f aca="false">K</f>
        <v>51920.9081097779</v>
      </c>
      <c r="U6" s="0" t="s">
        <v>40</v>
      </c>
      <c r="X6" s="0" t="s">
        <v>41</v>
      </c>
      <c r="AA6" s="53"/>
      <c r="AB6" s="46"/>
      <c r="AC6" s="54"/>
    </row>
    <row r="7" customFormat="false" ht="13.5" hidden="false" customHeight="true" outlineLevel="0" collapsed="false">
      <c r="B7" s="52" t="n">
        <f aca="false">B6+0.02</f>
        <v>0.04</v>
      </c>
      <c r="C7" s="7" t="n">
        <f aca="false">(L0-Ldif*B7-alph*B7^0.5)/1000</f>
        <v>44.99996</v>
      </c>
      <c r="D7" s="7" t="n">
        <f aca="false">C7+R0g/1000</f>
        <v>48.49996</v>
      </c>
      <c r="E7" s="7" t="n">
        <f aca="false">K/1000</f>
        <v>51.9209081097779</v>
      </c>
      <c r="G7" s="44" t="n">
        <f aca="false">G6+0.001</f>
        <v>0.003</v>
      </c>
      <c r="H7" s="0" t="n">
        <f aca="false">G7*L0</f>
        <v>150</v>
      </c>
      <c r="I7" s="52" t="n">
        <f aca="false">H7/R0</f>
        <v>0.0428571428571429</v>
      </c>
      <c r="J7" s="45" t="n">
        <f aca="false">IF(I7&gt;1,0,MAX(0,M0*(1-'G.data'!I7)*(1-beta*'G.data'!I7)))</f>
        <v>9571.42857142857</v>
      </c>
      <c r="K7" s="0" t="n">
        <f aca="false">MAX(0,MIN(Pcap,P0-g*'G.data'!H7))</f>
        <v>9571.42857142857</v>
      </c>
      <c r="M7" s="44" t="n">
        <f aca="false">M6+0.001</f>
        <v>0.003</v>
      </c>
      <c r="N7" s="45" t="n">
        <f aca="false">MAX(0,K-(L0-Ldif*M7-alph*M7^0.5))</f>
        <v>3290.21750354084</v>
      </c>
      <c r="O7" s="43" t="n">
        <f aca="false">MIN(Pcap,MAX(0,P0-g*'G.data'!N7))</f>
        <v>599.378561311898</v>
      </c>
      <c r="P7" s="45" t="n">
        <f aca="false">N7*P$1</f>
        <v>1208.49861398607</v>
      </c>
      <c r="T7" s="43" t="n">
        <f aca="false">Kopt</f>
        <v>51920.9081097779</v>
      </c>
      <c r="U7" s="0" t="s">
        <v>42</v>
      </c>
      <c r="AA7" s="53"/>
      <c r="AB7" s="46"/>
      <c r="AC7" s="54"/>
    </row>
    <row r="8" customFormat="false" ht="13.5" hidden="false" customHeight="true" outlineLevel="0" collapsed="false">
      <c r="B8" s="52" t="n">
        <f aca="false">B7+0.02</f>
        <v>0.06</v>
      </c>
      <c r="C8" s="7" t="n">
        <f aca="false">(L0-Ldif*B8-alph*B8^0.5)/1000</f>
        <v>43.8762156430421</v>
      </c>
      <c r="D8" s="7" t="n">
        <f aca="false">C8+R0g/1000</f>
        <v>47.3762156430421</v>
      </c>
      <c r="E8" s="7" t="n">
        <f aca="false">K/1000</f>
        <v>51.9209081097779</v>
      </c>
      <c r="G8" s="44" t="n">
        <f aca="false">G7+0.001</f>
        <v>0.004</v>
      </c>
      <c r="H8" s="0" t="n">
        <f aca="false">G8*L0</f>
        <v>200</v>
      </c>
      <c r="I8" s="52" t="n">
        <f aca="false">H8/R0</f>
        <v>0.0571428571428571</v>
      </c>
      <c r="J8" s="45" t="n">
        <f aca="false">IF(I8&gt;1,0,MAX(0,M0*(1-'G.data'!I8)*(1-beta*'G.data'!I8)))</f>
        <v>9428.57142857143</v>
      </c>
      <c r="K8" s="0" t="n">
        <f aca="false">MAX(0,MIN(Pcap,P0-g*'G.data'!H8))</f>
        <v>9428.57142857143</v>
      </c>
      <c r="M8" s="44" t="n">
        <f aca="false">M7+0.001</f>
        <v>0.004</v>
      </c>
      <c r="N8" s="45" t="n">
        <f aca="false">MAX(0,K-(L0-Ldif*M8-alph*M8^0.5))</f>
        <v>3502.05093986211</v>
      </c>
      <c r="O8" s="43" t="n">
        <f aca="false">MIN(Pcap,MAX(0,P0-g*'G.data'!N8))</f>
        <v>0</v>
      </c>
      <c r="P8" s="45" t="n">
        <f aca="false">N8*P$1</f>
        <v>1286.30514620306</v>
      </c>
      <c r="T8" s="43" t="n">
        <f aca="false">L0</f>
        <v>50000</v>
      </c>
      <c r="U8" s="0" t="s">
        <v>43</v>
      </c>
      <c r="X8" s="55" t="s">
        <v>44</v>
      </c>
      <c r="Y8" s="55"/>
      <c r="Z8" s="55"/>
      <c r="AA8" s="55"/>
      <c r="AB8" s="55"/>
      <c r="AC8" s="55"/>
      <c r="AD8" s="55"/>
    </row>
    <row r="9" customFormat="false" ht="13.5" hidden="false" customHeight="true" outlineLevel="0" collapsed="false">
      <c r="B9" s="52" t="n">
        <f aca="false">B8+0.02</f>
        <v>0.08</v>
      </c>
      <c r="C9" s="7" t="n">
        <f aca="false">(L0-Ldif*B9-alph*B9^0.5)/1000</f>
        <v>42.9288521881345</v>
      </c>
      <c r="D9" s="7" t="n">
        <f aca="false">C9+R0g/1000</f>
        <v>46.4288521881345</v>
      </c>
      <c r="E9" s="7" t="n">
        <f aca="false">K/1000</f>
        <v>51.9209081097779</v>
      </c>
      <c r="G9" s="44" t="n">
        <f aca="false">G8+0.001</f>
        <v>0.005</v>
      </c>
      <c r="H9" s="0" t="n">
        <f aca="false">G9*L0</f>
        <v>250</v>
      </c>
      <c r="I9" s="52" t="n">
        <f aca="false">H9/R0</f>
        <v>0.0714285714285714</v>
      </c>
      <c r="J9" s="45" t="n">
        <f aca="false">IF(I9&gt;1,0,MAX(0,M0*(1-'G.data'!I9)*(1-beta*'G.data'!I9)))</f>
        <v>9285.71428571429</v>
      </c>
      <c r="K9" s="0" t="n">
        <f aca="false">MAX(0,MIN(Pcap,P0-g*'G.data'!H9))</f>
        <v>9285.71428571429</v>
      </c>
      <c r="M9" s="44" t="n">
        <f aca="false">M8+0.001</f>
        <v>0.005</v>
      </c>
      <c r="N9" s="45" t="n">
        <f aca="false">MAX(0,K-(L0-Ldif*M9-alph*M9^0.5))</f>
        <v>3688.68006274429</v>
      </c>
      <c r="O9" s="43" t="n">
        <f aca="false">MIN(Pcap,MAX(0,P0-g*'G.data'!N9))</f>
        <v>0</v>
      </c>
      <c r="P9" s="45" t="n">
        <f aca="false">N9*P$1</f>
        <v>1354.85412088022</v>
      </c>
      <c r="T9" s="56" t="n">
        <f aca="false">F</f>
        <v>6</v>
      </c>
      <c r="U9" s="0" t="s">
        <v>45</v>
      </c>
      <c r="X9" s="0" t="n">
        <v>0</v>
      </c>
      <c r="Y9" s="0" t="s">
        <v>46</v>
      </c>
      <c r="AA9" s="53"/>
      <c r="AB9" s="46"/>
      <c r="AC9" s="46"/>
    </row>
    <row r="10" customFormat="false" ht="13.5" hidden="false" customHeight="true" outlineLevel="0" collapsed="false">
      <c r="B10" s="52" t="n">
        <f aca="false">B9+0.02</f>
        <v>0.1</v>
      </c>
      <c r="C10" s="7" t="n">
        <f aca="false">(L0-Ldif*B10-alph*B10^0.5)/1000</f>
        <v>42.0942058495791</v>
      </c>
      <c r="D10" s="7" t="n">
        <f aca="false">C10+R0g/1000</f>
        <v>45.5942058495791</v>
      </c>
      <c r="E10" s="7" t="n">
        <f aca="false">K/1000</f>
        <v>51.9209081097779</v>
      </c>
      <c r="G10" s="44" t="n">
        <f aca="false">G9+0.001</f>
        <v>0.006</v>
      </c>
      <c r="H10" s="0" t="n">
        <f aca="false">G10*L0</f>
        <v>300</v>
      </c>
      <c r="I10" s="52" t="n">
        <f aca="false">H10/R0</f>
        <v>0.0857142857142857</v>
      </c>
      <c r="J10" s="45" t="n">
        <f aca="false">IF(I10&gt;1,0,MAX(0,M0*(1-'G.data'!I10)*(1-beta*'G.data'!I10)))</f>
        <v>9142.85714285714</v>
      </c>
      <c r="K10" s="0" t="n">
        <f aca="false">MAX(0,MIN(Pcap,P0-g*'G.data'!H10))</f>
        <v>9142.85714285714</v>
      </c>
      <c r="M10" s="44" t="n">
        <f aca="false">M9+0.001</f>
        <v>0.006</v>
      </c>
      <c r="N10" s="45" t="n">
        <f aca="false">MAX(0,K-(L0-Ldif*M10-alph*M10^0.5))</f>
        <v>3857.40578288164</v>
      </c>
      <c r="O10" s="43" t="n">
        <f aca="false">MIN(Pcap,MAX(0,P0-g*'G.data'!N10))</f>
        <v>0</v>
      </c>
      <c r="P10" s="45" t="n">
        <f aca="false">N10*P$1</f>
        <v>1416.82716634312</v>
      </c>
      <c r="T10" s="57" t="n">
        <v>12</v>
      </c>
      <c r="U10" s="0" t="s">
        <v>47</v>
      </c>
      <c r="X10" s="45" t="n">
        <f aca="false">L0*BEDur-(BEDur^2)*Ldif/2-alph*(BEDur^1.5)/1.5</f>
        <v>19107.3184901121</v>
      </c>
      <c r="Y10" s="0" t="s">
        <v>48</v>
      </c>
      <c r="AA10" s="53"/>
      <c r="AB10" s="46"/>
      <c r="AC10" s="46"/>
    </row>
    <row r="11" customFormat="false" ht="12.75" hidden="false" customHeight="false" outlineLevel="0" collapsed="false">
      <c r="B11" s="52" t="n">
        <f aca="false">B10+0.02</f>
        <v>0.12</v>
      </c>
      <c r="C11" s="7" t="n">
        <f aca="false">(L0-Ldif*B11-alph*B11^0.5)/1000</f>
        <v>41.3396259621556</v>
      </c>
      <c r="D11" s="7" t="n">
        <f aca="false">C11+R0g/1000</f>
        <v>44.8396259621556</v>
      </c>
      <c r="E11" s="7" t="n">
        <f aca="false">K/1000</f>
        <v>51.9209081097779</v>
      </c>
      <c r="G11" s="44" t="n">
        <f aca="false">G10+0.001</f>
        <v>0.007</v>
      </c>
      <c r="H11" s="0" t="n">
        <f aca="false">G11*L0</f>
        <v>350</v>
      </c>
      <c r="I11" s="52" t="n">
        <f aca="false">H11/R0</f>
        <v>0.1</v>
      </c>
      <c r="J11" s="45" t="n">
        <f aca="false">IF(I11&gt;1,0,MAX(0,M0*(1-'G.data'!I11)*(1-beta*'G.data'!I11)))</f>
        <v>9000</v>
      </c>
      <c r="K11" s="0" t="n">
        <f aca="false">MAX(0,MIN(Pcap,P0-g*'G.data'!H11))</f>
        <v>9000</v>
      </c>
      <c r="M11" s="44" t="n">
        <f aca="false">M10+0.001</f>
        <v>0.007</v>
      </c>
      <c r="N11" s="45" t="n">
        <f aca="false">MAX(0,K-(L0-Ldif*M11-alph*M11^0.5))</f>
        <v>4012.56517611312</v>
      </c>
      <c r="O11" s="43" t="n">
        <f aca="false">MIN(Pcap,MAX(0,P0-g*'G.data'!N11))</f>
        <v>0</v>
      </c>
      <c r="P11" s="45" t="n">
        <f aca="false">N11*P$1</f>
        <v>1473.8172928212</v>
      </c>
      <c r="T11" s="57" t="n">
        <v>30</v>
      </c>
      <c r="U11" s="0" t="s">
        <v>49</v>
      </c>
      <c r="X11" s="45" t="n">
        <f aca="false">L0-Ldif/2-alph/1.5</f>
        <v>33332.8333333333</v>
      </c>
      <c r="Y11" s="0" t="s">
        <v>50</v>
      </c>
      <c r="Z11" s="0" t="s">
        <v>51</v>
      </c>
    </row>
    <row r="12" customFormat="false" ht="12.75" hidden="false" customHeight="false" outlineLevel="0" collapsed="false">
      <c r="B12" s="52" t="n">
        <f aca="false">B11+0.02</f>
        <v>0.14</v>
      </c>
      <c r="C12" s="7" t="n">
        <f aca="false">(L0-Ldif*B12-alph*B12^0.5)/1000</f>
        <v>40.6457165330652</v>
      </c>
      <c r="D12" s="7" t="n">
        <f aca="false">C12+R0g/1000</f>
        <v>44.1457165330652</v>
      </c>
      <c r="E12" s="7" t="n">
        <f aca="false">K/1000</f>
        <v>51.9209081097779</v>
      </c>
      <c r="G12" s="44" t="n">
        <f aca="false">G11+0.001</f>
        <v>0.008</v>
      </c>
      <c r="H12" s="0" t="n">
        <f aca="false">G12*L0</f>
        <v>400</v>
      </c>
      <c r="I12" s="52" t="n">
        <f aca="false">H12/R0</f>
        <v>0.114285714285714</v>
      </c>
      <c r="J12" s="45" t="n">
        <f aca="false">IF(I12&gt;1,0,MAX(0,M0*(1-'G.data'!I12)*(1-beta*'G.data'!I12)))</f>
        <v>8857.14285714286</v>
      </c>
      <c r="K12" s="0" t="n">
        <f aca="false">MAX(0,MIN(Pcap,P0-g*'G.data'!H12))</f>
        <v>8857.14285714286</v>
      </c>
      <c r="M12" s="44" t="n">
        <f aca="false">M11+0.001</f>
        <v>0.008</v>
      </c>
      <c r="N12" s="45" t="n">
        <f aca="false">MAX(0,K-(L0-Ldif*M12-alph*M12^0.5))</f>
        <v>4156.98408727772</v>
      </c>
      <c r="O12" s="43" t="n">
        <f aca="false">MIN(Pcap,MAX(0,P0-g*'G.data'!N12))</f>
        <v>0</v>
      </c>
      <c r="P12" s="45" t="n">
        <f aca="false">N12*P$1</f>
        <v>1526.86243460528</v>
      </c>
      <c r="T12" s="57" t="n">
        <v>18</v>
      </c>
      <c r="U12" s="0" t="s">
        <v>52</v>
      </c>
      <c r="X12" s="45" t="n">
        <f aca="false">X11-X10</f>
        <v>14225.5148432212</v>
      </c>
      <c r="Y12" s="0" t="s">
        <v>53</v>
      </c>
    </row>
    <row r="13" customFormat="false" ht="12.75" hidden="false" customHeight="false" outlineLevel="0" collapsed="false">
      <c r="B13" s="52" t="n">
        <f aca="false">B12+0.02</f>
        <v>0.16</v>
      </c>
      <c r="C13" s="7" t="n">
        <f aca="false">(L0-Ldif*B13-alph*B13^0.5)/1000</f>
        <v>39.99984</v>
      </c>
      <c r="D13" s="7" t="n">
        <f aca="false">C13+R0g/1000</f>
        <v>43.49984</v>
      </c>
      <c r="E13" s="7" t="n">
        <f aca="false">K/1000</f>
        <v>51.9209081097779</v>
      </c>
      <c r="G13" s="44" t="n">
        <f aca="false">G12+0.001</f>
        <v>0.009</v>
      </c>
      <c r="H13" s="0" t="n">
        <f aca="false">G13*L0</f>
        <v>450</v>
      </c>
      <c r="I13" s="52" t="n">
        <f aca="false">H13/R0</f>
        <v>0.128571428571429</v>
      </c>
      <c r="J13" s="45" t="n">
        <f aca="false">IF(I13&gt;1,0,MAX(0,M0*(1-'G.data'!I13)*(1-beta*'G.data'!I13)))</f>
        <v>8714.28571428571</v>
      </c>
      <c r="K13" s="0" t="n">
        <f aca="false">MAX(0,MIN(Pcap,P0-g*'G.data'!H13))</f>
        <v>8714.28571428571</v>
      </c>
      <c r="M13" s="44" t="n">
        <f aca="false">M12+0.001</f>
        <v>0.009</v>
      </c>
      <c r="N13" s="45" t="n">
        <f aca="false">MAX(0,K-(L0-Ldif*M13-alph*M13^0.5))</f>
        <v>4292.62535490421</v>
      </c>
      <c r="O13" s="43" t="n">
        <f aca="false">MIN(Pcap,MAX(0,P0-g*'G.data'!N13))</f>
        <v>0</v>
      </c>
      <c r="P13" s="45" t="n">
        <f aca="false">N13*P$1</f>
        <v>1576.68354331603</v>
      </c>
      <c r="T13" s="58" t="n">
        <f aca="false">T12*(BEDur*CapacityOfBaseLoad+X12)</f>
        <v>546955.741411009</v>
      </c>
      <c r="U13" s="0" t="s">
        <v>54</v>
      </c>
    </row>
    <row r="14" customFormat="false" ht="12.75" hidden="false" customHeight="false" outlineLevel="0" collapsed="false">
      <c r="B14" s="52" t="n">
        <f aca="false">B13+0.02</f>
        <v>0.18</v>
      </c>
      <c r="C14" s="7" t="n">
        <f aca="false">(L0-Ldif*B14-alph*B14^0.5)/1000</f>
        <v>39.3932182822018</v>
      </c>
      <c r="D14" s="7" t="n">
        <f aca="false">C14+R0g/1000</f>
        <v>42.8932182822018</v>
      </c>
      <c r="E14" s="7" t="n">
        <f aca="false">K/1000</f>
        <v>51.9209081097779</v>
      </c>
      <c r="G14" s="44" t="n">
        <f aca="false">G13+0.001</f>
        <v>0.01</v>
      </c>
      <c r="H14" s="0" t="n">
        <f aca="false">G14*L0</f>
        <v>500</v>
      </c>
      <c r="I14" s="52" t="n">
        <f aca="false">H14/R0</f>
        <v>0.142857142857143</v>
      </c>
      <c r="J14" s="45" t="n">
        <f aca="false">IF(I14&gt;1,0,MAX(0,M0*(1-'G.data'!I14)*(1-beta*'G.data'!I14)))</f>
        <v>8571.42857142857</v>
      </c>
      <c r="K14" s="0" t="n">
        <f aca="false">MAX(0,MIN(Pcap,P0-g*'G.data'!H14))</f>
        <v>8571.42857142857</v>
      </c>
      <c r="M14" s="44" t="n">
        <f aca="false">M13+0.001</f>
        <v>0.01</v>
      </c>
      <c r="N14" s="45" t="n">
        <f aca="false">MAX(0,K-(L0-Ldif*M14-alph*M14^0.5))</f>
        <v>4420.91810977793</v>
      </c>
      <c r="O14" s="43" t="n">
        <f aca="false">MIN(Pcap,MAX(0,P0-g*'G.data'!N14))</f>
        <v>0</v>
      </c>
      <c r="P14" s="45" t="n">
        <f aca="false">N14*P$1</f>
        <v>1623.80553944015</v>
      </c>
      <c r="T14" s="58" t="n">
        <f aca="false">T11*(X10-BEDur*CapacityOfBaseLoad)</f>
        <v>88392.0976483184</v>
      </c>
      <c r="U14" s="0" t="s">
        <v>55</v>
      </c>
      <c r="X14" s="59" t="n">
        <f aca="false">(T10-FixedCostofPeaker)/(T11-T12)</f>
        <v>0.5</v>
      </c>
      <c r="Y14" s="0" t="s">
        <v>56</v>
      </c>
      <c r="Z14" s="0" t="s">
        <v>57</v>
      </c>
    </row>
    <row r="15" customFormat="false" ht="12.75" hidden="false" customHeight="false" outlineLevel="0" collapsed="false">
      <c r="B15" s="52" t="n">
        <f aca="false">B14+0.02</f>
        <v>0.2</v>
      </c>
      <c r="C15" s="7" t="n">
        <f aca="false">(L0-Ldif*B15-alph*B15^0.5)/1000</f>
        <v>38.8194601125011</v>
      </c>
      <c r="D15" s="7" t="n">
        <f aca="false">C15+R0g/1000</f>
        <v>42.3194601125011</v>
      </c>
      <c r="E15" s="7" t="n">
        <f aca="false">K/1000</f>
        <v>51.9209081097779</v>
      </c>
      <c r="G15" s="44" t="n">
        <f aca="false">G14+0.001</f>
        <v>0.011</v>
      </c>
      <c r="H15" s="0" t="n">
        <f aca="false">G15*L0</f>
        <v>550</v>
      </c>
      <c r="I15" s="52" t="n">
        <f aca="false">H15/R0</f>
        <v>0.157142857142857</v>
      </c>
      <c r="J15" s="45" t="n">
        <f aca="false">IF(I15&gt;1,0,MAX(0,M0*(1-'G.data'!I15)*(1-beta*'G.data'!I15)))</f>
        <v>8428.57142857143</v>
      </c>
      <c r="K15" s="0" t="n">
        <f aca="false">MAX(0,MIN(Pcap,P0-g*'G.data'!H15))</f>
        <v>8428.57142857143</v>
      </c>
      <c r="M15" s="44" t="n">
        <f aca="false">M14+0.001</f>
        <v>0.011</v>
      </c>
      <c r="N15" s="45" t="n">
        <f aca="false">MAX(0,K-(L0-Ldif*M15-alph*M15^0.5))</f>
        <v>4542.9412302033</v>
      </c>
      <c r="O15" s="43" t="n">
        <f aca="false">MIN(Pcap,MAX(0,P0-g*'G.data'!N15))</f>
        <v>0</v>
      </c>
      <c r="P15" s="45" t="n">
        <f aca="false">N15*P$1</f>
        <v>1668.62469554445</v>
      </c>
      <c r="T15" s="58" t="n">
        <f aca="false">T10*CapacityOfBaseLoad</f>
        <v>387861.965644036</v>
      </c>
      <c r="U15" s="0" t="s">
        <v>58</v>
      </c>
    </row>
    <row r="16" customFormat="false" ht="12.75" hidden="false" customHeight="false" outlineLevel="0" collapsed="false">
      <c r="B16" s="52" t="n">
        <f aca="false">B15+0.05</f>
        <v>0.25</v>
      </c>
      <c r="C16" s="7" t="n">
        <f aca="false">(L0-Ldif*B16-alph*B16^0.5)/1000</f>
        <v>37.49975</v>
      </c>
      <c r="D16" s="7" t="n">
        <f aca="false">C16+R0g/1000</f>
        <v>40.99975</v>
      </c>
      <c r="E16" s="7" t="n">
        <f aca="false">K/1000</f>
        <v>51.9209081097779</v>
      </c>
      <c r="G16" s="44" t="n">
        <f aca="false">G15+0.001</f>
        <v>0.012</v>
      </c>
      <c r="H16" s="0" t="n">
        <f aca="false">G16*L0</f>
        <v>600</v>
      </c>
      <c r="I16" s="52" t="n">
        <f aca="false">H16/R0</f>
        <v>0.171428571428571</v>
      </c>
      <c r="J16" s="45" t="n">
        <f aca="false">IF(I16&gt;1,0,MAX(0,M0*(1-'G.data'!I16)*(1-beta*'G.data'!I16)))</f>
        <v>8285.71428571428</v>
      </c>
      <c r="K16" s="0" t="n">
        <f aca="false">MAX(0,MIN(Pcap,P0-g*'G.data'!H16))</f>
        <v>8285.71428571429</v>
      </c>
      <c r="M16" s="44" t="n">
        <f aca="false">M15+0.001</f>
        <v>0.012</v>
      </c>
      <c r="N16" s="45" t="n">
        <f aca="false">MAX(0,K-(L0-Ldif*M16-alph*M16^0.5))</f>
        <v>4659.53289730376</v>
      </c>
      <c r="O16" s="43" t="n">
        <f aca="false">MIN(Pcap,MAX(0,P0-g*'G.data'!N16))</f>
        <v>0</v>
      </c>
      <c r="P16" s="45" t="n">
        <f aca="false">N16*P$1</f>
        <v>1711.44887599501</v>
      </c>
      <c r="T16" s="58" t="n">
        <f aca="false">FixedCostofPeaker*(Kopt-CapacityOfBaseLoad)</f>
        <v>117594.46583665</v>
      </c>
      <c r="U16" s="0" t="s">
        <v>55</v>
      </c>
    </row>
    <row r="17" customFormat="false" ht="12.75" hidden="false" customHeight="false" outlineLevel="0" collapsed="false">
      <c r="B17" s="52" t="n">
        <f aca="false">B16+0.05</f>
        <v>0.3</v>
      </c>
      <c r="C17" s="7" t="n">
        <f aca="false">(L0-Ldif*B17-alph*B17^0.5)/1000</f>
        <v>36.3066360623709</v>
      </c>
      <c r="D17" s="7" t="n">
        <f aca="false">C17+R0g/1000</f>
        <v>39.8066360623709</v>
      </c>
      <c r="E17" s="7" t="n">
        <f aca="false">K/1000</f>
        <v>51.9209081097779</v>
      </c>
      <c r="G17" s="44" t="n">
        <f aca="false">G16+0.001</f>
        <v>0.013</v>
      </c>
      <c r="H17" s="0" t="n">
        <f aca="false">G17*L0</f>
        <v>650</v>
      </c>
      <c r="I17" s="52" t="n">
        <f aca="false">H17/R0</f>
        <v>0.185714285714286</v>
      </c>
      <c r="J17" s="45" t="n">
        <f aca="false">IF(I17&gt;1,0,MAX(0,M0*(1-'G.data'!I17)*(1-beta*'G.data'!I17)))</f>
        <v>8142.85714285714</v>
      </c>
      <c r="K17" s="0" t="n">
        <f aca="false">MAX(0,MIN(Pcap,P0-g*'G.data'!H17))</f>
        <v>8142.85714285714</v>
      </c>
      <c r="M17" s="44" t="n">
        <f aca="false">M16+0.001</f>
        <v>0.013</v>
      </c>
      <c r="N17" s="45" t="n">
        <f aca="false">MAX(0,K-(L0-Ldif*M17-alph*M17^0.5))</f>
        <v>4771.35967252577</v>
      </c>
      <c r="O17" s="43" t="n">
        <f aca="false">MIN(Pcap,MAX(0,P0-g*'G.data'!N17))</f>
        <v>0</v>
      </c>
      <c r="P17" s="45" t="n">
        <f aca="false">N17*P$1</f>
        <v>1752.52290916057</v>
      </c>
      <c r="T17" s="58" t="n">
        <f aca="false">CUopt</f>
        <v>2368.82528349452</v>
      </c>
      <c r="U17" s="0" t="s">
        <v>59</v>
      </c>
    </row>
    <row r="18" customFormat="false" ht="12.75" hidden="false" customHeight="false" outlineLevel="0" collapsed="false">
      <c r="B18" s="52" t="n">
        <f aca="false">B17+0.05</f>
        <v>0.35</v>
      </c>
      <c r="C18" s="7" t="n">
        <f aca="false">(L0-Ldif*B18-alph*B18^0.5)/1000</f>
        <v>35.209450542251</v>
      </c>
      <c r="D18" s="7" t="n">
        <f aca="false">C18+R0g/1000</f>
        <v>38.709450542251</v>
      </c>
      <c r="E18" s="7" t="n">
        <f aca="false">K/1000</f>
        <v>51.9209081097779</v>
      </c>
      <c r="G18" s="44" t="n">
        <f aca="false">G17+0.001</f>
        <v>0.014</v>
      </c>
      <c r="H18" s="0" t="n">
        <f aca="false">G18*L0</f>
        <v>700</v>
      </c>
      <c r="I18" s="52" t="n">
        <f aca="false">H18/R0</f>
        <v>0.2</v>
      </c>
      <c r="J18" s="45" t="n">
        <f aca="false">IF(I18&gt;1,0,MAX(0,M0*(1-'G.data'!I18)*(1-beta*'G.data'!I18)))</f>
        <v>8000</v>
      </c>
      <c r="K18" s="0" t="n">
        <f aca="false">MAX(0,MIN(Pcap,P0-g*'G.data'!H18))</f>
        <v>8000</v>
      </c>
      <c r="M18" s="44" t="n">
        <f aca="false">M17+0.001</f>
        <v>0.014</v>
      </c>
      <c r="N18" s="45" t="n">
        <f aca="false">MAX(0,K-(L0-Ldif*M18-alph*M18^0.5))</f>
        <v>4878.96200132774</v>
      </c>
      <c r="O18" s="43" t="n">
        <f aca="false">MIN(Pcap,MAX(0,P0-g*'G.data'!N18))</f>
        <v>0</v>
      </c>
      <c r="P18" s="45" t="n">
        <f aca="false">N18*P$1</f>
        <v>1792.04530094133</v>
      </c>
      <c r="T18" s="60" t="n">
        <f aca="false">SUM(T13:T17)</f>
        <v>1143173.09582351</v>
      </c>
      <c r="U18" s="0" t="s">
        <v>60</v>
      </c>
    </row>
    <row r="19" customFormat="false" ht="12.75" hidden="false" customHeight="false" outlineLevel="0" collapsed="false">
      <c r="B19" s="52" t="n">
        <f aca="false">B18+0.05</f>
        <v>0.4</v>
      </c>
      <c r="C19" s="7" t="n">
        <f aca="false">(L0-Ldif*B19-alph*B19^0.5)/1000</f>
        <v>34.1882116991581</v>
      </c>
      <c r="D19" s="7" t="n">
        <f aca="false">C19+R0g/1000</f>
        <v>37.6882116991581</v>
      </c>
      <c r="E19" s="7" t="n">
        <f aca="false">K/1000</f>
        <v>51.9209081097779</v>
      </c>
      <c r="G19" s="44" t="n">
        <f aca="false">G18+0.001</f>
        <v>0.015</v>
      </c>
      <c r="H19" s="0" t="n">
        <f aca="false">G19*L0</f>
        <v>750</v>
      </c>
      <c r="I19" s="52" t="n">
        <f aca="false">H19/R0</f>
        <v>0.214285714285714</v>
      </c>
      <c r="J19" s="45" t="n">
        <f aca="false">IF(I19&gt;1,0,MAX(0,M0*(1-'G.data'!I19)*(1-beta*'G.data'!I19)))</f>
        <v>7857.14285714286</v>
      </c>
      <c r="K19" s="0" t="n">
        <f aca="false">MAX(0,MIN(Pcap,P0-g*'G.data'!H19))</f>
        <v>7857.14285714286</v>
      </c>
      <c r="M19" s="44" t="n">
        <f aca="false">M18+0.001</f>
        <v>0.015</v>
      </c>
      <c r="N19" s="45" t="n">
        <f aca="false">MAX(0,K-(L0-Ldif*M19-alph*M19^0.5))</f>
        <v>4982.7852882569</v>
      </c>
      <c r="O19" s="43" t="n">
        <f aca="false">MIN(Pcap,MAX(0,P0-g*'G.data'!N19))</f>
        <v>0</v>
      </c>
      <c r="P19" s="45" t="n">
        <f aca="false">N19*P$1</f>
        <v>1830.179648661</v>
      </c>
      <c r="U19" s="0" t="s">
        <v>61</v>
      </c>
      <c r="V19" s="7" t="n">
        <f aca="false">IF(CU&lt;=0,"perfect",CUopt/CU)</f>
        <v>1</v>
      </c>
    </row>
    <row r="20" customFormat="false" ht="12.75" hidden="false" customHeight="false" outlineLevel="0" collapsed="false">
      <c r="B20" s="52" t="n">
        <f aca="false">B19+0.05</f>
        <v>0.45</v>
      </c>
      <c r="C20" s="7" t="n">
        <f aca="false">(L0-Ldif*B20-alph*B20^0.5)/1000</f>
        <v>33.2290401687516</v>
      </c>
      <c r="D20" s="7" t="n">
        <f aca="false">C20+R0g/1000</f>
        <v>36.7290401687516</v>
      </c>
      <c r="E20" s="7" t="n">
        <f aca="false">K/1000</f>
        <v>51.9209081097779</v>
      </c>
      <c r="G20" s="44" t="n">
        <f aca="false">G19+0.001</f>
        <v>0.016</v>
      </c>
      <c r="H20" s="0" t="n">
        <f aca="false">G20*L0</f>
        <v>800</v>
      </c>
      <c r="I20" s="52" t="n">
        <f aca="false">H20/R0</f>
        <v>0.228571428571429</v>
      </c>
      <c r="J20" s="45" t="n">
        <f aca="false">IF(I20&gt;1,0,MAX(0,M0*(1-'G.data'!I20)*(1-beta*'G.data'!I20)))</f>
        <v>7714.28571428571</v>
      </c>
      <c r="K20" s="0" t="n">
        <f aca="false">MAX(0,MIN(Pcap,P0-g*'G.data'!H20))</f>
        <v>7714.28571428571</v>
      </c>
      <c r="M20" s="44" t="n">
        <f aca="false">M19+0.001</f>
        <v>0.016</v>
      </c>
      <c r="N20" s="45" t="n">
        <f aca="false">MAX(0,K-(L0-Ldif*M20-alph*M20^0.5))</f>
        <v>5083.20176994631</v>
      </c>
      <c r="O20" s="43" t="n">
        <f aca="false">MIN(Pcap,MAX(0,P0-g*'G.data'!N20))</f>
        <v>0</v>
      </c>
      <c r="P20" s="45" t="n">
        <f aca="false">N20*P$1</f>
        <v>1867.06267503005</v>
      </c>
    </row>
    <row r="21" customFormat="false" ht="12.75" hidden="false" customHeight="false" outlineLevel="0" collapsed="false">
      <c r="B21" s="52" t="n">
        <f aca="false">B20+0.05</f>
        <v>0.5</v>
      </c>
      <c r="C21" s="7" t="n">
        <f aca="false">(L0-Ldif*B21-alph*B21^0.5)/1000</f>
        <v>32.3218304703363</v>
      </c>
      <c r="D21" s="7" t="n">
        <f aca="false">C21+R0g/1000</f>
        <v>35.8218304703363</v>
      </c>
      <c r="E21" s="7" t="n">
        <f aca="false">K/1000</f>
        <v>51.9209081097779</v>
      </c>
      <c r="G21" s="44" t="n">
        <f aca="false">G20+0.001</f>
        <v>0.017</v>
      </c>
      <c r="H21" s="0" t="n">
        <f aca="false">G21*L0</f>
        <v>850.000000000001</v>
      </c>
      <c r="I21" s="52" t="n">
        <f aca="false">H21/R0</f>
        <v>0.242857142857143</v>
      </c>
      <c r="J21" s="45" t="n">
        <f aca="false">IF(I21&gt;1,0,MAX(0,M0*(1-'G.data'!I21)*(1-beta*'G.data'!I21)))</f>
        <v>7571.42857142857</v>
      </c>
      <c r="K21" s="0" t="n">
        <f aca="false">MAX(0,MIN(Pcap,P0-g*'G.data'!H21))</f>
        <v>7571.42857142857</v>
      </c>
      <c r="M21" s="44" t="n">
        <f aca="false">M20+0.001</f>
        <v>0.017</v>
      </c>
      <c r="N21" s="45" t="n">
        <f aca="false">MAX(0,K-(L0-Ldif*M21-alph*M21^0.5))</f>
        <v>5180.52631237925</v>
      </c>
      <c r="O21" s="43" t="n">
        <f aca="false">MIN(Pcap,MAX(0,P0-g*'G.data'!N21))</f>
        <v>0</v>
      </c>
      <c r="P21" s="45" t="n">
        <f aca="false">N21*P$1</f>
        <v>1902.81003048922</v>
      </c>
    </row>
    <row r="22" customFormat="false" ht="12.75" hidden="false" customHeight="false" outlineLevel="0" collapsed="false">
      <c r="B22" s="52" t="n">
        <f aca="false">B21+0.05</f>
        <v>0.55</v>
      </c>
      <c r="C22" s="7" t="n">
        <f aca="false">(L0-Ldif*B22-alph*B22^0.5)/1000</f>
        <v>31.4589537822608</v>
      </c>
      <c r="D22" s="7" t="n">
        <f aca="false">C22+R0g/1000</f>
        <v>34.9589537822608</v>
      </c>
      <c r="E22" s="7" t="n">
        <f aca="false">K/1000</f>
        <v>51.9209081097779</v>
      </c>
      <c r="G22" s="44" t="n">
        <f aca="false">G21+0.001</f>
        <v>0.018</v>
      </c>
      <c r="H22" s="0" t="n">
        <f aca="false">G22*L0</f>
        <v>900.000000000001</v>
      </c>
      <c r="I22" s="52" t="n">
        <f aca="false">H22/R0</f>
        <v>0.257142857142857</v>
      </c>
      <c r="J22" s="45" t="n">
        <f aca="false">IF(I22&gt;1,0,MAX(0,M0*(1-'G.data'!I22)*(1-beta*'G.data'!I22)))</f>
        <v>7428.57142857143</v>
      </c>
      <c r="K22" s="0" t="n">
        <f aca="false">MAX(0,MIN(Pcap,P0-g*'G.data'!H22))</f>
        <v>7428.57142857143</v>
      </c>
      <c r="M22" s="44" t="n">
        <f aca="false">M21+0.001</f>
        <v>0.018</v>
      </c>
      <c r="N22" s="45" t="n">
        <f aca="false">MAX(0,K-(L0-Ldif*M22-alph*M22^0.5))</f>
        <v>5275.02807602761</v>
      </c>
      <c r="O22" s="43" t="n">
        <f aca="false">MIN(Pcap,MAX(0,P0-g*'G.data'!N22))</f>
        <v>0</v>
      </c>
      <c r="P22" s="45" t="n">
        <f aca="false">N22*P$1</f>
        <v>1937.52057782093</v>
      </c>
      <c r="T22" s="0" t="s">
        <v>62</v>
      </c>
      <c r="U22" s="0" t="s">
        <v>0</v>
      </c>
    </row>
    <row r="23" customFormat="false" ht="12.75" hidden="false" customHeight="false" outlineLevel="0" collapsed="false">
      <c r="B23" s="52" t="n">
        <f aca="false">B22+0.05</f>
        <v>0.6</v>
      </c>
      <c r="C23" s="7" t="n">
        <f aca="false">(L0-Ldif*B23-alph*B23^0.5)/1000</f>
        <v>30.6344832689629</v>
      </c>
      <c r="D23" s="7" t="n">
        <f aca="false">C23+R0g/1000</f>
        <v>34.1344832689629</v>
      </c>
      <c r="E23" s="7" t="n">
        <f aca="false">K/1000</f>
        <v>51.9209081097779</v>
      </c>
      <c r="G23" s="44" t="n">
        <f aca="false">G22+0.001</f>
        <v>0.019</v>
      </c>
      <c r="H23" s="0" t="n">
        <f aca="false">G23*L0</f>
        <v>950.000000000001</v>
      </c>
      <c r="I23" s="52" t="n">
        <f aca="false">H23/R0</f>
        <v>0.271428571428572</v>
      </c>
      <c r="J23" s="45" t="n">
        <f aca="false">IF(I23&gt;1,0,MAX(0,M0*(1-'G.data'!I23)*(1-beta*'G.data'!I23)))</f>
        <v>7285.71428571428</v>
      </c>
      <c r="K23" s="0" t="n">
        <f aca="false">MAX(0,MIN(Pcap,P0-g*'G.data'!H23))</f>
        <v>7285.71428571428</v>
      </c>
      <c r="M23" s="44" t="n">
        <f aca="false">M22+0.001</f>
        <v>0.019</v>
      </c>
      <c r="N23" s="45" t="n">
        <f aca="false">MAX(0,K-(L0-Ldif*M23-alph*M23^0.5))</f>
        <v>5366.93929780048</v>
      </c>
      <c r="O23" s="43" t="n">
        <f aca="false">MIN(Pcap,MAX(0,P0-g*'G.data'!N23))</f>
        <v>0</v>
      </c>
      <c r="P23" s="45" t="n">
        <f aca="false">N23*P$1</f>
        <v>1971.27961776365</v>
      </c>
      <c r="T23" s="0" t="s">
        <v>63</v>
      </c>
      <c r="U23" s="0" t="s">
        <v>64</v>
      </c>
    </row>
    <row r="24" customFormat="false" ht="12.75" hidden="false" customHeight="false" outlineLevel="0" collapsed="false">
      <c r="B24" s="52" t="n">
        <f aca="false">B23+0.05</f>
        <v>0.65</v>
      </c>
      <c r="C24" s="7" t="n">
        <f aca="false">(L0-Ldif*B24-alph*B24^0.5)/1000</f>
        <v>29.8437056292536</v>
      </c>
      <c r="D24" s="7" t="n">
        <f aca="false">C24+R0g/1000</f>
        <v>33.3437056292536</v>
      </c>
      <c r="E24" s="7" t="n">
        <f aca="false">K/1000</f>
        <v>51.9209081097779</v>
      </c>
      <c r="G24" s="44" t="n">
        <f aca="false">G23+0.001</f>
        <v>0.02</v>
      </c>
      <c r="H24" s="0" t="n">
        <f aca="false">G24*L0</f>
        <v>1000</v>
      </c>
      <c r="I24" s="52" t="n">
        <f aca="false">H24/R0</f>
        <v>0.285714285714286</v>
      </c>
      <c r="J24" s="45" t="n">
        <f aca="false">IF(I24&gt;1,0,MAX(0,M0*(1-'G.data'!I24)*(1-beta*'G.data'!I24)))</f>
        <v>7142.85714285714</v>
      </c>
      <c r="K24" s="0" t="n">
        <f aca="false">MAX(0,MIN(Pcap,P0-g*'G.data'!H24))</f>
        <v>7142.85714285714</v>
      </c>
      <c r="M24" s="44" t="n">
        <f aca="false">M23+0.001</f>
        <v>0.02</v>
      </c>
      <c r="N24" s="45" t="n">
        <f aca="false">MAX(0,K-(L0-Ldif*M24-alph*M24^0.5))</f>
        <v>5456.46201571066</v>
      </c>
      <c r="O24" s="43" t="n">
        <f aca="false">MIN(Pcap,MAX(0,P0-g*'G.data'!N24))</f>
        <v>0</v>
      </c>
      <c r="P24" s="45" t="n">
        <f aca="false">N24*P$1</f>
        <v>2004.1613589854</v>
      </c>
      <c r="T24" s="0" t="s">
        <v>65</v>
      </c>
      <c r="U24" s="0" t="s">
        <v>66</v>
      </c>
    </row>
    <row r="25" customFormat="false" ht="12.75" hidden="false" customHeight="false" outlineLevel="0" collapsed="false">
      <c r="B25" s="52" t="n">
        <f aca="false">B24+0.05</f>
        <v>0.7</v>
      </c>
      <c r="C25" s="7" t="n">
        <f aca="false">(L0-Ldif*B25-alph*B25^0.5)/1000</f>
        <v>29.0827993366481</v>
      </c>
      <c r="D25" s="7" t="n">
        <f aca="false">C25+R0g/1000</f>
        <v>32.5827993366481</v>
      </c>
      <c r="E25" s="7" t="n">
        <f aca="false">K/1000</f>
        <v>51.9209081097779</v>
      </c>
      <c r="G25" s="44" t="n">
        <f aca="false">G24+0.001</f>
        <v>0.021</v>
      </c>
      <c r="H25" s="0" t="n">
        <f aca="false">G25*L0</f>
        <v>1050</v>
      </c>
      <c r="I25" s="52" t="n">
        <f aca="false">H25/R0</f>
        <v>0.3</v>
      </c>
      <c r="J25" s="45" t="n">
        <f aca="false">IF(I25&gt;1,0,MAX(0,M0*(1-'G.data'!I25)*(1-beta*'G.data'!I25)))</f>
        <v>7000</v>
      </c>
      <c r="K25" s="0" t="n">
        <f aca="false">MAX(0,MIN(Pcap,P0-g*'G.data'!H25))</f>
        <v>7000</v>
      </c>
      <c r="M25" s="44" t="n">
        <f aca="false">M24+0.001</f>
        <v>0.021</v>
      </c>
      <c r="N25" s="45" t="n">
        <f aca="false">MAX(0,K-(L0-Ldif*M25-alph*M25^0.5))</f>
        <v>5543.77329632529</v>
      </c>
      <c r="O25" s="43" t="n">
        <f aca="false">MIN(Pcap,MAX(0,P0-g*'G.data'!N25))</f>
        <v>0</v>
      </c>
      <c r="P25" s="45" t="n">
        <f aca="false">N25*P$1</f>
        <v>2036.23083812913</v>
      </c>
      <c r="T25" s="0" t="s">
        <v>67</v>
      </c>
      <c r="U25" s="43" t="s">
        <v>68</v>
      </c>
    </row>
    <row r="26" customFormat="false" ht="12.75" hidden="false" customHeight="false" outlineLevel="0" collapsed="false">
      <c r="B26" s="52" t="n">
        <f aca="false">B25+0.1</f>
        <v>0.8</v>
      </c>
      <c r="C26" s="7" t="n">
        <f aca="false">(L0-Ldif*B26-alph*B26^0.5)/1000</f>
        <v>27.6385202250021</v>
      </c>
      <c r="D26" s="7" t="n">
        <f aca="false">C26+R0g/1000</f>
        <v>31.1385202250021</v>
      </c>
      <c r="E26" s="7" t="n">
        <f aca="false">K/1000</f>
        <v>51.9209081097779</v>
      </c>
      <c r="G26" s="44" t="n">
        <f aca="false">G25+0.001</f>
        <v>0.022</v>
      </c>
      <c r="H26" s="0" t="n">
        <f aca="false">G26*L0</f>
        <v>1100</v>
      </c>
      <c r="I26" s="52" t="n">
        <f aca="false">H26/R0</f>
        <v>0.314285714285714</v>
      </c>
      <c r="J26" s="45" t="n">
        <f aca="false">IF(I26&gt;1,0,MAX(0,M0*(1-'G.data'!I26)*(1-beta*'G.data'!I26)))</f>
        <v>6857.14285714286</v>
      </c>
      <c r="K26" s="0" t="n">
        <f aca="false">MAX(0,MIN(Pcap,P0-g*'G.data'!H26))</f>
        <v>6857.14285714286</v>
      </c>
      <c r="M26" s="44" t="n">
        <f aca="false">M25+0.001</f>
        <v>0.022</v>
      </c>
      <c r="N26" s="45" t="n">
        <f aca="false">MAX(0,K-(L0-Ldif*M26-alph*M26^0.5))</f>
        <v>5629.02935332576</v>
      </c>
      <c r="O26" s="43" t="n">
        <f aca="false">MIN(Pcap,MAX(0,P0-g*'G.data'!N26))</f>
        <v>0</v>
      </c>
      <c r="P26" s="45" t="n">
        <f aca="false">N26*P$1</f>
        <v>2067.5454325619</v>
      </c>
      <c r="T26" s="0" t="s">
        <v>69</v>
      </c>
    </row>
    <row r="27" customFormat="false" ht="12.75" hidden="false" customHeight="false" outlineLevel="0" collapsed="false">
      <c r="B27" s="52" t="n">
        <f aca="false">B26+0.1</f>
        <v>0.9</v>
      </c>
      <c r="C27" s="7" t="n">
        <f aca="false">(L0-Ldif*B27-alph*B27^0.5)/1000</f>
        <v>26.2820175487372</v>
      </c>
      <c r="D27" s="7" t="n">
        <f aca="false">C27+R0g/1000</f>
        <v>29.7820175487372</v>
      </c>
      <c r="E27" s="7" t="n">
        <f aca="false">K/1000</f>
        <v>51.9209081097779</v>
      </c>
      <c r="G27" s="44" t="n">
        <f aca="false">G26+0.001</f>
        <v>0.023</v>
      </c>
      <c r="H27" s="0" t="n">
        <f aca="false">G27*L0</f>
        <v>1150</v>
      </c>
      <c r="I27" s="52" t="n">
        <f aca="false">H27/R0</f>
        <v>0.328571428571429</v>
      </c>
      <c r="J27" s="45" t="n">
        <f aca="false">IF(I27&gt;1,0,MAX(0,M0*(1-'G.data'!I27)*(1-beta*'G.data'!I27)))</f>
        <v>6714.28571428571</v>
      </c>
      <c r="K27" s="0" t="n">
        <f aca="false">MAX(0,MIN(Pcap,P0-g*'G.data'!H27))</f>
        <v>6714.28571428571</v>
      </c>
      <c r="M27" s="44" t="n">
        <f aca="false">M26+0.001</f>
        <v>0.023</v>
      </c>
      <c r="N27" s="45" t="n">
        <f aca="false">MAX(0,K-(L0-Ldif*M27-alph*M27^0.5))</f>
        <v>5712.3688318037</v>
      </c>
      <c r="O27" s="43" t="n">
        <f aca="false">MIN(Pcap,MAX(0,P0-g*'G.data'!N27))</f>
        <v>0</v>
      </c>
      <c r="P27" s="45" t="n">
        <f aca="false">N27*P$1</f>
        <v>2098.15606669856</v>
      </c>
    </row>
    <row r="28" customFormat="false" ht="12.75" hidden="false" customHeight="false" outlineLevel="0" collapsed="false">
      <c r="B28" s="52" t="n">
        <f aca="false">B27+0.1</f>
        <v>1</v>
      </c>
      <c r="C28" s="7" t="n">
        <f aca="false">(L0-Ldif*B28-alph*B28^0.5)/1000</f>
        <v>24.999</v>
      </c>
      <c r="D28" s="7" t="n">
        <f aca="false">C28+R0g/1000</f>
        <v>28.499</v>
      </c>
      <c r="E28" s="7" t="n">
        <f aca="false">K/1000</f>
        <v>51.9209081097779</v>
      </c>
      <c r="G28" s="44" t="n">
        <f aca="false">G27+0.001</f>
        <v>0.024</v>
      </c>
      <c r="H28" s="0" t="n">
        <f aca="false">G28*L0</f>
        <v>1200</v>
      </c>
      <c r="I28" s="52" t="n">
        <f aca="false">H28/R0</f>
        <v>0.342857142857143</v>
      </c>
      <c r="J28" s="45" t="n">
        <f aca="false">IF(I28&gt;1,0,MAX(0,M0*(1-'G.data'!I28)*(1-beta*'G.data'!I28)))</f>
        <v>6571.42857142857</v>
      </c>
      <c r="K28" s="0" t="n">
        <f aca="false">MAX(0,MIN(Pcap,P0-g*'G.data'!H28))</f>
        <v>6571.42857142857</v>
      </c>
      <c r="M28" s="44" t="n">
        <f aca="false">M27+0.001</f>
        <v>0.024</v>
      </c>
      <c r="N28" s="45" t="n">
        <f aca="false">MAX(0,K-(L0-Ldif*M28-alph*M28^0.5))</f>
        <v>5793.91545598534</v>
      </c>
      <c r="O28" s="43" t="n">
        <f aca="false">MIN(Pcap,MAX(0,P0-g*'G.data'!N28))</f>
        <v>0</v>
      </c>
      <c r="P28" s="45" t="n">
        <f aca="false">N28*P$1</f>
        <v>2128.10818451226</v>
      </c>
      <c r="U28" s="0" t="s">
        <v>70</v>
      </c>
      <c r="V28" s="0" t="s">
        <v>71</v>
      </c>
      <c r="W28" s="0" t="s">
        <v>72</v>
      </c>
      <c r="X28" s="0" t="s">
        <v>73</v>
      </c>
      <c r="Y28" s="0" t="s">
        <v>74</v>
      </c>
    </row>
    <row r="29" customFormat="false" ht="12.75" hidden="false" customHeight="false" outlineLevel="0" collapsed="false">
      <c r="B29" s="52" t="n">
        <f aca="false">1</f>
        <v>1</v>
      </c>
      <c r="C29" s="7" t="n">
        <v>0</v>
      </c>
      <c r="D29" s="7"/>
      <c r="E29" s="7"/>
      <c r="G29" s="44" t="n">
        <f aca="false">G28+0.001</f>
        <v>0.025</v>
      </c>
      <c r="H29" s="0" t="n">
        <f aca="false">G29*L0</f>
        <v>1250</v>
      </c>
      <c r="I29" s="52" t="n">
        <f aca="false">H29/R0</f>
        <v>0.357142857142857</v>
      </c>
      <c r="J29" s="45" t="n">
        <f aca="false">IF(I29&gt;1,0,MAX(0,M0*(1-'G.data'!I29)*(1-beta*'G.data'!I29)))</f>
        <v>6428.57142857143</v>
      </c>
      <c r="K29" s="0" t="n">
        <f aca="false">MAX(0,MIN(Pcap,P0-g*'G.data'!H29))</f>
        <v>6428.57142857143</v>
      </c>
      <c r="M29" s="44" t="n">
        <f aca="false">M28+0.001</f>
        <v>0.025</v>
      </c>
      <c r="N29" s="45" t="n">
        <f aca="false">MAX(0,K-(L0-Ldif*M29-alph*M29^0.5))</f>
        <v>5873.78018498841</v>
      </c>
      <c r="O29" s="43" t="n">
        <f aca="false">MIN(Pcap,MAX(0,P0-g*'G.data'!N29))</f>
        <v>0</v>
      </c>
      <c r="P29" s="45" t="n">
        <f aca="false">N29*P$1</f>
        <v>2157.44254134512</v>
      </c>
      <c r="T29" s="61" t="s">
        <v>75</v>
      </c>
      <c r="U29" s="0" t="n">
        <v>0.07</v>
      </c>
      <c r="V29" s="0" t="n">
        <v>0.07</v>
      </c>
      <c r="W29" s="0" t="n">
        <v>0.07</v>
      </c>
      <c r="X29" s="0" t="n">
        <v>0.07</v>
      </c>
    </row>
    <row r="30" customFormat="false" ht="12.75" hidden="false" customHeight="false" outlineLevel="0" collapsed="false">
      <c r="G30" s="44" t="n">
        <f aca="false">G29+0.001</f>
        <v>0.026</v>
      </c>
      <c r="H30" s="0" t="n">
        <f aca="false">G30*L0</f>
        <v>1300</v>
      </c>
      <c r="I30" s="52" t="n">
        <f aca="false">H30/R0</f>
        <v>0.371428571428572</v>
      </c>
      <c r="J30" s="45" t="n">
        <f aca="false">IF(I30&gt;1,0,MAX(0,M0*(1-'G.data'!I30)*(1-beta*'G.data'!I30)))</f>
        <v>6285.71428571428</v>
      </c>
      <c r="K30" s="0" t="n">
        <f aca="false">MAX(0,MIN(Pcap,P0-g*'G.data'!H30))</f>
        <v>6285.71428571428</v>
      </c>
      <c r="M30" s="44" t="n">
        <f aca="false">M29+0.001</f>
        <v>0.026</v>
      </c>
      <c r="N30" s="45" t="n">
        <f aca="false">MAX(0,K-(L0-Ldif*M30-alph*M30^0.5))</f>
        <v>5952.0629839272</v>
      </c>
      <c r="O30" s="43" t="n">
        <f aca="false">MIN(Pcap,MAX(0,P0-g*'G.data'!N30))</f>
        <v>0</v>
      </c>
      <c r="P30" s="45" t="n">
        <f aca="false">N30*P$1</f>
        <v>2186.19585443602</v>
      </c>
      <c r="T30" s="61" t="s">
        <v>76</v>
      </c>
      <c r="U30" s="0" t="n">
        <v>10000</v>
      </c>
      <c r="V30" s="0" t="n">
        <v>10000</v>
      </c>
      <c r="W30" s="0" t="n">
        <v>10000</v>
      </c>
      <c r="X30" s="0" t="n">
        <v>10000</v>
      </c>
    </row>
    <row r="31" customFormat="false" ht="12.75" hidden="false" customHeight="false" outlineLevel="0" collapsed="false">
      <c r="G31" s="44" t="n">
        <f aca="false">G30+0.001</f>
        <v>0.027</v>
      </c>
      <c r="H31" s="0" t="n">
        <f aca="false">G31*L0</f>
        <v>1350</v>
      </c>
      <c r="I31" s="52" t="n">
        <f aca="false">H31/R0</f>
        <v>0.385714285714286</v>
      </c>
      <c r="J31" s="45" t="n">
        <f aca="false">IF(I31&gt;1,0,MAX(0,M0*(1-'G.data'!I31)*(1-beta*'G.data'!I31)))</f>
        <v>6142.85714285714</v>
      </c>
      <c r="K31" s="0" t="n">
        <f aca="false">MAX(0,MIN(Pcap,P0-g*'G.data'!H31))</f>
        <v>6142.85714285714</v>
      </c>
      <c r="M31" s="44" t="n">
        <f aca="false">M30+0.001</f>
        <v>0.027</v>
      </c>
      <c r="N31" s="45" t="n">
        <f aca="false">MAX(0,K-(L0-Ldif*M31-alph*M31^0.5))</f>
        <v>6028.85429106667</v>
      </c>
      <c r="O31" s="43" t="n">
        <f aca="false">MIN(Pcap,MAX(0,P0-g*'G.data'!N31))</f>
        <v>0</v>
      </c>
      <c r="P31" s="45" t="n">
        <f aca="false">N31*P$1</f>
        <v>2214.4013418071</v>
      </c>
      <c r="T31" s="61" t="s">
        <v>77</v>
      </c>
      <c r="U31" s="0" t="n">
        <v>0</v>
      </c>
      <c r="V31" s="0" t="n">
        <v>0</v>
      </c>
      <c r="W31" s="0" t="n">
        <v>0</v>
      </c>
      <c r="X31" s="0" t="n">
        <v>0</v>
      </c>
    </row>
    <row r="32" customFormat="false" ht="12.75" hidden="false" customHeight="false" outlineLevel="0" collapsed="false">
      <c r="G32" s="44" t="n">
        <f aca="false">G31+0.001</f>
        <v>0.028</v>
      </c>
      <c r="H32" s="0" t="n">
        <f aca="false">G32*L0</f>
        <v>1400</v>
      </c>
      <c r="I32" s="52" t="n">
        <f aca="false">H32/R0</f>
        <v>0.4</v>
      </c>
      <c r="J32" s="45" t="n">
        <f aca="false">IF(I32&gt;1,0,MAX(0,M0*(1-'G.data'!I32)*(1-beta*'G.data'!I32)))</f>
        <v>6000</v>
      </c>
      <c r="K32" s="0" t="n">
        <f aca="false">MAX(0,MIN(Pcap,P0-g*'G.data'!H32))</f>
        <v>6000</v>
      </c>
      <c r="M32" s="44" t="n">
        <f aca="false">M31+0.001</f>
        <v>0.028</v>
      </c>
      <c r="N32" s="45" t="n">
        <f aca="false">MAX(0,K-(L0-Ldif*M32-alph*M32^0.5))</f>
        <v>6104.23624244831</v>
      </c>
      <c r="O32" s="43" t="n">
        <f aca="false">MIN(Pcap,MAX(0,P0-g*'G.data'!N32))</f>
        <v>0</v>
      </c>
      <c r="P32" s="45" t="n">
        <f aca="false">N32*P$1</f>
        <v>2242.08917206946</v>
      </c>
      <c r="T32" s="62" t="s">
        <v>78</v>
      </c>
      <c r="U32" s="0" t="n">
        <v>50000</v>
      </c>
      <c r="V32" s="0" t="n">
        <v>50000</v>
      </c>
      <c r="W32" s="0" t="n">
        <v>50000</v>
      </c>
      <c r="X32" s="0" t="n">
        <v>50000</v>
      </c>
    </row>
    <row r="33" customFormat="false" ht="12.75" hidden="false" customHeight="false" outlineLevel="0" collapsed="false">
      <c r="G33" s="44" t="n">
        <f aca="false">G32+0.001</f>
        <v>0.029</v>
      </c>
      <c r="H33" s="0" t="n">
        <f aca="false">G33*L0</f>
        <v>1450</v>
      </c>
      <c r="I33" s="52" t="n">
        <f aca="false">H33/R0</f>
        <v>0.414285714285715</v>
      </c>
      <c r="J33" s="45" t="n">
        <f aca="false">IF(I33&gt;1,0,MAX(0,M0*(1-'G.data'!I33)*(1-beta*'G.data'!I33)))</f>
        <v>5857.14285714286</v>
      </c>
      <c r="K33" s="0" t="n">
        <f aca="false">MAX(0,MIN(Pcap,P0-g*'G.data'!H33))</f>
        <v>5857.14285714286</v>
      </c>
      <c r="M33" s="44" t="n">
        <f aca="false">M32+0.001</f>
        <v>0.029</v>
      </c>
      <c r="N33" s="45" t="n">
        <f aca="false">MAX(0,K-(L0-Ldif*M33-alph*M33^0.5))</f>
        <v>6178.28370125953</v>
      </c>
      <c r="O33" s="43" t="n">
        <f aca="false">MIN(Pcap,MAX(0,P0-g*'G.data'!N33))</f>
        <v>0</v>
      </c>
      <c r="P33" s="45" t="n">
        <f aca="false">N33*P$1</f>
        <v>2269.28684251108</v>
      </c>
      <c r="T33" s="61" t="s">
        <v>79</v>
      </c>
      <c r="U33" s="0" t="n">
        <v>50</v>
      </c>
      <c r="V33" s="0" t="n">
        <v>50</v>
      </c>
      <c r="W33" s="0" t="n">
        <v>50</v>
      </c>
      <c r="X33" s="0" t="n">
        <v>0</v>
      </c>
    </row>
    <row r="34" customFormat="false" ht="12.75" hidden="false" customHeight="false" outlineLevel="0" collapsed="false">
      <c r="G34" s="44" t="n">
        <f aca="false">G33+0.001</f>
        <v>0.03</v>
      </c>
      <c r="H34" s="0" t="n">
        <f aca="false">G34*L0</f>
        <v>1500</v>
      </c>
      <c r="I34" s="52" t="n">
        <f aca="false">H34/R0</f>
        <v>0.428571428571429</v>
      </c>
      <c r="J34" s="45" t="n">
        <f aca="false">IF(I34&gt;1,0,MAX(0,M0*(1-'G.data'!I34)*(1-beta*'G.data'!I34)))</f>
        <v>5714.28571428571</v>
      </c>
      <c r="K34" s="0" t="n">
        <f aca="false">MAX(0,MIN(Pcap,P0-g*'G.data'!H34))</f>
        <v>5714.28571428571</v>
      </c>
      <c r="M34" s="44" t="n">
        <f aca="false">M33+0.001</f>
        <v>0.03</v>
      </c>
      <c r="N34" s="45" t="n">
        <f aca="false">MAX(0,K-(L0-Ldif*M34-alph*M34^0.5))</f>
        <v>6251.06512870012</v>
      </c>
      <c r="O34" s="43" t="n">
        <f aca="false">MIN(Pcap,MAX(0,P0-g*'G.data'!N34))</f>
        <v>0</v>
      </c>
      <c r="P34" s="45" t="n">
        <f aca="false">N34*P$1</f>
        <v>2296.01949896653</v>
      </c>
      <c r="T34" s="1" t="s">
        <v>80</v>
      </c>
      <c r="U34" s="0" t="n">
        <v>0.07</v>
      </c>
      <c r="V34" s="0" t="n">
        <v>0.07</v>
      </c>
      <c r="W34" s="0" t="n">
        <v>0.105725</v>
      </c>
      <c r="X34" s="0" t="n">
        <v>0.07</v>
      </c>
    </row>
    <row r="35" customFormat="false" ht="12.75" hidden="false" customHeight="false" outlineLevel="0" collapsed="false">
      <c r="G35" s="44" t="n">
        <f aca="false">G34+0.001</f>
        <v>0.031</v>
      </c>
      <c r="H35" s="0" t="n">
        <f aca="false">G35*L0</f>
        <v>1550</v>
      </c>
      <c r="I35" s="52" t="n">
        <f aca="false">H35/R0</f>
        <v>0.442857142857143</v>
      </c>
      <c r="J35" s="45" t="n">
        <f aca="false">IF(I35&gt;1,0,MAX(0,M0*(1-'G.data'!I35)*(1-beta*'G.data'!I35)))</f>
        <v>5571.42857142857</v>
      </c>
      <c r="K35" s="0" t="n">
        <f aca="false">MAX(0,MIN(Pcap,P0-g*'G.data'!H35))</f>
        <v>5571.42857142857</v>
      </c>
      <c r="M35" s="44" t="n">
        <f aca="false">M34+0.001</f>
        <v>0.031</v>
      </c>
      <c r="N35" s="45" t="n">
        <f aca="false">MAX(0,K-(L0-Ldif*M35-alph*M35^0.5))</f>
        <v>6322.64332519268</v>
      </c>
      <c r="O35" s="43" t="n">
        <f aca="false">MIN(Pcap,MAX(0,P0-g*'G.data'!N35))</f>
        <v>0</v>
      </c>
      <c r="P35" s="45" t="n">
        <f aca="false">N35*P$1</f>
        <v>2322.31020806397</v>
      </c>
      <c r="T35" s="1" t="s">
        <v>81</v>
      </c>
      <c r="U35" s="0" t="n">
        <v>10000</v>
      </c>
      <c r="V35" s="0" t="n">
        <v>10000</v>
      </c>
      <c r="W35" s="0" t="n">
        <v>10000</v>
      </c>
      <c r="X35" s="0" t="n">
        <v>10000</v>
      </c>
    </row>
    <row r="36" customFormat="false" ht="12.75" hidden="false" customHeight="false" outlineLevel="0" collapsed="false">
      <c r="G36" s="44" t="n">
        <f aca="false">G35+0.001</f>
        <v>0.032</v>
      </c>
      <c r="H36" s="0" t="n">
        <f aca="false">G36*L0</f>
        <v>1600</v>
      </c>
      <c r="I36" s="52" t="n">
        <f aca="false">H36/R0</f>
        <v>0.457142857142857</v>
      </c>
      <c r="J36" s="45" t="n">
        <f aca="false">IF(I36&gt;1,0,MAX(0,M0*(1-'G.data'!I36)*(1-beta*'G.data'!I36)))</f>
        <v>5428.57142857143</v>
      </c>
      <c r="K36" s="0" t="n">
        <f aca="false">MAX(0,MIN(Pcap,P0-g*'G.data'!H36))</f>
        <v>5428.57142857143</v>
      </c>
      <c r="M36" s="44" t="n">
        <f aca="false">M35+0.001</f>
        <v>0.032</v>
      </c>
      <c r="N36" s="45" t="n">
        <f aca="false">MAX(0,K-(L0-Ldif*M36-alph*M36^0.5))</f>
        <v>6393.07606477751</v>
      </c>
      <c r="O36" s="43" t="n">
        <f aca="false">MIN(Pcap,MAX(0,P0-g*'G.data'!N36))</f>
        <v>0</v>
      </c>
      <c r="P36" s="45" t="n">
        <f aca="false">N36*P$1</f>
        <v>2348.18019023867</v>
      </c>
      <c r="T36" s="1" t="s">
        <v>82</v>
      </c>
      <c r="U36" s="0" t="n">
        <v>99999</v>
      </c>
      <c r="V36" s="0" t="n">
        <v>350</v>
      </c>
      <c r="W36" s="0" t="n">
        <v>350</v>
      </c>
      <c r="X36" s="0" t="n">
        <v>99999</v>
      </c>
    </row>
    <row r="37" customFormat="false" ht="12.75" hidden="false" customHeight="false" outlineLevel="0" collapsed="false">
      <c r="G37" s="44" t="n">
        <f aca="false">G36+0.001</f>
        <v>0.033</v>
      </c>
      <c r="H37" s="0" t="n">
        <f aca="false">G37*L0</f>
        <v>1650</v>
      </c>
      <c r="I37" s="52" t="n">
        <f aca="false">H37/R0</f>
        <v>0.471428571428572</v>
      </c>
      <c r="J37" s="45" t="n">
        <f aca="false">IF(I37&gt;1,0,MAX(0,M0*(1-'G.data'!I37)*(1-beta*'G.data'!I37)))</f>
        <v>5285.71428571428</v>
      </c>
      <c r="K37" s="0" t="n">
        <f aca="false">MAX(0,MIN(Pcap,P0-g*'G.data'!H37))</f>
        <v>5285.71428571428</v>
      </c>
      <c r="M37" s="44" t="n">
        <f aca="false">M36+0.001</f>
        <v>0.033</v>
      </c>
      <c r="N37" s="45" t="n">
        <f aca="false">MAX(0,K-(L0-Ldif*M37-alph*M37^0.5))</f>
        <v>6462.41664092417</v>
      </c>
      <c r="O37" s="43" t="n">
        <f aca="false">MIN(Pcap,MAX(0,P0-g*'G.data'!N37))</f>
        <v>0</v>
      </c>
      <c r="P37" s="45" t="n">
        <f aca="false">N37*P$1</f>
        <v>2373.64902020996</v>
      </c>
    </row>
    <row r="38" customFormat="false" ht="12.75" hidden="false" customHeight="false" outlineLevel="0" collapsed="false">
      <c r="G38" s="44" t="n">
        <f aca="false">G37+0.001</f>
        <v>0.034</v>
      </c>
      <c r="H38" s="0" t="n">
        <f aca="false">G38*L0</f>
        <v>1700</v>
      </c>
      <c r="I38" s="52" t="n">
        <f aca="false">H38/R0</f>
        <v>0.485714285714286</v>
      </c>
      <c r="J38" s="45" t="n">
        <f aca="false">IF(I38&gt;1,0,MAX(0,M0*(1-'G.data'!I38)*(1-beta*'G.data'!I38)))</f>
        <v>5142.85714285714</v>
      </c>
      <c r="K38" s="0" t="n">
        <f aca="false">MAX(0,MIN(Pcap,P0-g*'G.data'!H38))</f>
        <v>5142.85714285714</v>
      </c>
      <c r="M38" s="44" t="n">
        <f aca="false">M37+0.001</f>
        <v>0.034</v>
      </c>
      <c r="N38" s="45" t="n">
        <f aca="false">MAX(0,K-(L0-Ldif*M38-alph*M38^0.5))</f>
        <v>6530.71433842437</v>
      </c>
      <c r="O38" s="43" t="n">
        <f aca="false">MIN(Pcap,MAX(0,P0-g*'G.data'!N38))</f>
        <v>0</v>
      </c>
      <c r="P38" s="45" t="n">
        <f aca="false">N38*P$1</f>
        <v>2398.73480030766</v>
      </c>
    </row>
    <row r="39" customFormat="false" ht="12.75" hidden="false" customHeight="false" outlineLevel="0" collapsed="false">
      <c r="G39" s="44" t="n">
        <f aca="false">G38+0.001</f>
        <v>0.035</v>
      </c>
      <c r="H39" s="0" t="n">
        <f aca="false">G39*L0</f>
        <v>1750</v>
      </c>
      <c r="I39" s="52" t="n">
        <f aca="false">H39/R0</f>
        <v>0.5</v>
      </c>
      <c r="J39" s="45" t="n">
        <f aca="false">IF(I39&gt;1,0,MAX(0,M0*(1-'G.data'!I39)*(1-beta*'G.data'!I39)))</f>
        <v>5000</v>
      </c>
      <c r="K39" s="0" t="n">
        <f aca="false">MAX(0,MIN(Pcap,P0-g*'G.data'!H39))</f>
        <v>5000</v>
      </c>
      <c r="M39" s="44" t="n">
        <f aca="false">M38+0.001</f>
        <v>0.035</v>
      </c>
      <c r="N39" s="45" t="n">
        <f aca="false">MAX(0,K-(L0-Ldif*M39-alph*M39^0.5))</f>
        <v>6598.01484324536</v>
      </c>
      <c r="O39" s="43" t="n">
        <f aca="false">MIN(Pcap,MAX(0,P0-g*'G.data'!N39))</f>
        <v>0</v>
      </c>
      <c r="P39" s="45" t="n">
        <f aca="false">N39*P$1</f>
        <v>2423.4543110115</v>
      </c>
    </row>
    <row r="40" customFormat="false" ht="12.75" hidden="false" customHeight="false" outlineLevel="0" collapsed="false">
      <c r="G40" s="44" t="n">
        <f aca="false">G39+0.001</f>
        <v>0.036</v>
      </c>
      <c r="H40" s="0" t="n">
        <f aca="false">G40*L0</f>
        <v>1800</v>
      </c>
      <c r="I40" s="52" t="n">
        <f aca="false">H40/R0</f>
        <v>0.514285714285715</v>
      </c>
      <c r="J40" s="45" t="n">
        <f aca="false">IF(I40&gt;1,0,MAX(0,M0*(1-'G.data'!I40)*(1-beta*'G.data'!I40)))</f>
        <v>4857.14285714285</v>
      </c>
      <c r="K40" s="0" t="n">
        <f aca="false">MAX(0,MIN(Pcap,P0-g*'G.data'!H40))</f>
        <v>4857.14285714285</v>
      </c>
      <c r="M40" s="44" t="n">
        <f aca="false">M39+0.001</f>
        <v>0.036</v>
      </c>
      <c r="N40" s="45" t="n">
        <f aca="false">MAX(0,K-(L0-Ldif*M40-alph*M40^0.5))</f>
        <v>6664.3606000305</v>
      </c>
      <c r="O40" s="43" t="n">
        <f aca="false">MIN(Pcap,MAX(0,P0-g*'G.data'!N40))</f>
        <v>0</v>
      </c>
      <c r="P40" s="45" t="n">
        <f aca="false">N40*P$1</f>
        <v>2447.82314226123</v>
      </c>
    </row>
    <row r="41" customFormat="false" ht="12.75" hidden="false" customHeight="false" outlineLevel="0" collapsed="false">
      <c r="G41" s="44" t="n">
        <f aca="false">G40+0.001</f>
        <v>0.037</v>
      </c>
      <c r="H41" s="0" t="n">
        <f aca="false">G41*L0</f>
        <v>1850</v>
      </c>
      <c r="I41" s="52" t="n">
        <f aca="false">H41/R0</f>
        <v>0.528571428571429</v>
      </c>
      <c r="J41" s="45" t="n">
        <f aca="false">IF(I41&gt;1,0,MAX(0,M0*(1-'G.data'!I41)*(1-beta*'G.data'!I41)))</f>
        <v>4714.28571428571</v>
      </c>
      <c r="K41" s="0" t="n">
        <f aca="false">MAX(0,MIN(Pcap,P0-g*'G.data'!H41))</f>
        <v>4714.28571428571</v>
      </c>
      <c r="M41" s="44" t="n">
        <f aca="false">M40+0.001</f>
        <v>0.037</v>
      </c>
      <c r="N41" s="45" t="n">
        <f aca="false">MAX(0,K-(L0-Ldif*M41-alph*M41^0.5))</f>
        <v>6729.79112519576</v>
      </c>
      <c r="O41" s="43" t="n">
        <f aca="false">MIN(Pcap,MAX(0,P0-g*'G.data'!N41))</f>
        <v>0</v>
      </c>
      <c r="P41" s="45" t="n">
        <f aca="false">N41*P$1</f>
        <v>2471.85580845716</v>
      </c>
    </row>
    <row r="42" customFormat="false" ht="12.75" hidden="false" customHeight="false" outlineLevel="0" collapsed="false">
      <c r="G42" s="44" t="n">
        <f aca="false">G41+0.001</f>
        <v>0.038</v>
      </c>
      <c r="H42" s="0" t="n">
        <f aca="false">G42*L0</f>
        <v>1900</v>
      </c>
      <c r="I42" s="52" t="n">
        <f aca="false">H42/R0</f>
        <v>0.542857142857143</v>
      </c>
      <c r="J42" s="45" t="n">
        <f aca="false">IF(I42&gt;1,0,MAX(0,M0*(1-'G.data'!I42)*(1-beta*'G.data'!I42)))</f>
        <v>4571.42857142857</v>
      </c>
      <c r="K42" s="0" t="n">
        <f aca="false">MAX(0,MIN(Pcap,P0-g*'G.data'!H42))</f>
        <v>4571.42857142857</v>
      </c>
      <c r="M42" s="44" t="n">
        <f aca="false">M41+0.001</f>
        <v>0.038</v>
      </c>
      <c r="N42" s="45" t="n">
        <f aca="false">MAX(0,K-(L0-Ldif*M42-alph*M42^0.5))</f>
        <v>6794.34328218241</v>
      </c>
      <c r="O42" s="43" t="n">
        <f aca="false">MIN(Pcap,MAX(0,P0-g*'G.data'!N42))</f>
        <v>0</v>
      </c>
      <c r="P42" s="45" t="n">
        <f aca="false">N42*P$1</f>
        <v>2495.56584956059</v>
      </c>
    </row>
    <row r="43" customFormat="false" ht="12.75" hidden="false" customHeight="false" outlineLevel="0" collapsed="false">
      <c r="G43" s="44" t="n">
        <f aca="false">G42+0.001</f>
        <v>0.039</v>
      </c>
      <c r="H43" s="0" t="n">
        <f aca="false">G43*L0</f>
        <v>1950</v>
      </c>
      <c r="I43" s="52" t="n">
        <f aca="false">H43/R0</f>
        <v>0.557142857142858</v>
      </c>
      <c r="J43" s="45" t="n">
        <f aca="false">IF(I43&gt;1,0,MAX(0,M0*(1-'G.data'!I43)*(1-beta*'G.data'!I43)))</f>
        <v>4428.57142857143</v>
      </c>
      <c r="K43" s="0" t="n">
        <f aca="false">MAX(0,MIN(Pcap,P0-g*'G.data'!H43))</f>
        <v>4428.57142857143</v>
      </c>
      <c r="M43" s="44" t="n">
        <f aca="false">M42+0.001</f>
        <v>0.039</v>
      </c>
      <c r="N43" s="45" t="n">
        <f aca="false">MAX(0,K-(L0-Ldif*M43-alph*M43^0.5))</f>
        <v>6858.0515243108</v>
      </c>
      <c r="O43" s="43" t="n">
        <f aca="false">MIN(Pcap,MAX(0,P0-g*'G.data'!N43))</f>
        <v>0</v>
      </c>
      <c r="P43" s="45" t="n">
        <f aca="false">N43*P$1</f>
        <v>2518.96592029415</v>
      </c>
    </row>
    <row r="44" customFormat="false" ht="12.75" hidden="false" customHeight="false" outlineLevel="0" collapsed="false">
      <c r="G44" s="44" t="n">
        <f aca="false">G43+0.001</f>
        <v>0.04</v>
      </c>
      <c r="H44" s="0" t="n">
        <f aca="false">G44*L0</f>
        <v>2000</v>
      </c>
      <c r="I44" s="52" t="n">
        <f aca="false">H44/R0</f>
        <v>0.571428571428572</v>
      </c>
      <c r="J44" s="45" t="n">
        <f aca="false">IF(I44&gt;1,0,MAX(0,M0*(1-'G.data'!I44)*(1-beta*'G.data'!I44)))</f>
        <v>4285.71428571428</v>
      </c>
      <c r="K44" s="0" t="n">
        <f aca="false">MAX(0,MIN(Pcap,P0-g*'G.data'!H44))</f>
        <v>4285.71428571428</v>
      </c>
      <c r="M44" s="44" t="n">
        <f aca="false">M43+0.001</f>
        <v>0.04</v>
      </c>
      <c r="N44" s="45" t="n">
        <f aca="false">MAX(0,K-(L0-Ldif*M44-alph*M44^0.5))</f>
        <v>6920.94810977793</v>
      </c>
      <c r="O44" s="43" t="n">
        <f aca="false">MIN(Pcap,MAX(0,P0-g*'G.data'!N44))</f>
        <v>0</v>
      </c>
      <c r="P44" s="45" t="n">
        <f aca="false">N44*P$1</f>
        <v>2542.0678691105</v>
      </c>
    </row>
    <row r="45" customFormat="false" ht="12.75" hidden="false" customHeight="false" outlineLevel="0" collapsed="false">
      <c r="G45" s="44" t="n">
        <f aca="false">G44+0.001</f>
        <v>0.041</v>
      </c>
      <c r="H45" s="0" t="n">
        <f aca="false">G45*L0</f>
        <v>2050</v>
      </c>
      <c r="I45" s="52" t="n">
        <f aca="false">H45/R0</f>
        <v>0.585714285714286</v>
      </c>
      <c r="J45" s="45" t="n">
        <f aca="false">IF(I45&gt;1,0,MAX(0,M0*(1-'G.data'!I45)*(1-beta*'G.data'!I45)))</f>
        <v>4142.85714285714</v>
      </c>
      <c r="K45" s="0" t="n">
        <f aca="false">MAX(0,MIN(Pcap,P0-g*'G.data'!H45))</f>
        <v>4142.85714285714</v>
      </c>
      <c r="M45" s="44" t="n">
        <f aca="false">M44+0.001</f>
        <v>0.041</v>
      </c>
      <c r="N45" s="45" t="n">
        <f aca="false">MAX(0,K-(L0-Ldif*M45-alph*M45^0.5))</f>
        <v>6983.06329260708</v>
      </c>
      <c r="O45" s="43" t="n">
        <f aca="false">MIN(Pcap,MAX(0,P0-g*'G.data'!N45))</f>
        <v>0</v>
      </c>
      <c r="P45" s="45" t="n">
        <f aca="false">N45*P$1</f>
        <v>2564.88280832827</v>
      </c>
    </row>
    <row r="46" customFormat="false" ht="12.75" hidden="false" customHeight="false" outlineLevel="0" collapsed="false">
      <c r="G46" s="44" t="n">
        <f aca="false">G45+0.001</f>
        <v>0.042</v>
      </c>
      <c r="H46" s="0" t="n">
        <f aca="false">G46*L0</f>
        <v>2100</v>
      </c>
      <c r="I46" s="52" t="n">
        <f aca="false">H46/R0</f>
        <v>0.6</v>
      </c>
      <c r="J46" s="45" t="n">
        <f aca="false">IF(I46&gt;1,0,MAX(0,M0*(1-'G.data'!I46)*(1-beta*'G.data'!I46)))</f>
        <v>4000</v>
      </c>
      <c r="K46" s="0" t="n">
        <f aca="false">MAX(0,MIN(Pcap,P0-g*'G.data'!H46))</f>
        <v>4000</v>
      </c>
      <c r="M46" s="44" t="n">
        <f aca="false">M45+0.001</f>
        <v>0.042</v>
      </c>
      <c r="N46" s="45" t="n">
        <f aca="false">MAX(0,K-(L0-Ldif*M46-alph*M46^0.5))</f>
        <v>7044.42549275773</v>
      </c>
      <c r="O46" s="43" t="n">
        <f aca="false">MIN(Pcap,MAX(0,P0-g*'G.data'!N46))</f>
        <v>0</v>
      </c>
      <c r="P46" s="45" t="n">
        <f aca="false">N46*P$1</f>
        <v>2587.42117661346</v>
      </c>
    </row>
    <row r="47" customFormat="false" ht="12.75" hidden="false" customHeight="false" outlineLevel="0" collapsed="false">
      <c r="G47" s="44" t="n">
        <f aca="false">G46+0.001</f>
        <v>0.043</v>
      </c>
      <c r="H47" s="0" t="n">
        <f aca="false">G47*L0</f>
        <v>2150</v>
      </c>
      <c r="I47" s="52" t="n">
        <f aca="false">H47/R0</f>
        <v>0.614285714285715</v>
      </c>
      <c r="J47" s="45" t="n">
        <f aca="false">IF(I47&gt;1,0,MAX(0,M0*(1-'G.data'!I47)*(1-beta*'G.data'!I47)))</f>
        <v>3857.14285714285</v>
      </c>
      <c r="K47" s="0" t="n">
        <f aca="false">MAX(0,MIN(Pcap,P0-g*'G.data'!H47))</f>
        <v>3857.14285714285</v>
      </c>
      <c r="M47" s="44" t="n">
        <f aca="false">M46+0.001</f>
        <v>0.043</v>
      </c>
      <c r="N47" s="45" t="n">
        <f aca="false">MAX(0,K-(L0-Ldif*M47-alph*M47^0.5))</f>
        <v>7105.06144810986</v>
      </c>
      <c r="O47" s="43" t="n">
        <f aca="false">MIN(Pcap,MAX(0,P0-g*'G.data'!N47))</f>
        <v>0</v>
      </c>
      <c r="P47" s="45" t="n">
        <f aca="false">N47*P$1</f>
        <v>2609.69279480342</v>
      </c>
    </row>
    <row r="48" customFormat="false" ht="12.75" hidden="false" customHeight="false" outlineLevel="0" collapsed="false">
      <c r="G48" s="44" t="n">
        <f aca="false">G47+0.001</f>
        <v>0.044</v>
      </c>
      <c r="H48" s="0" t="n">
        <f aca="false">G48*L0</f>
        <v>2200</v>
      </c>
      <c r="I48" s="52" t="n">
        <f aca="false">H48/R0</f>
        <v>0.628571428571429</v>
      </c>
      <c r="J48" s="45" t="n">
        <f aca="false">IF(I48&gt;1,0,MAX(0,M0*(1-'G.data'!I48)*(1-beta*'G.data'!I48)))</f>
        <v>3714.28571428571</v>
      </c>
      <c r="K48" s="0" t="n">
        <f aca="false">MAX(0,MIN(Pcap,P0-g*'G.data'!H48))</f>
        <v>3714.28571428571</v>
      </c>
      <c r="M48" s="44" t="n">
        <f aca="false">M47+0.001</f>
        <v>0.044</v>
      </c>
      <c r="N48" s="45" t="n">
        <f aca="false">MAX(0,K-(L0-Ldif*M48-alph*M48^0.5))</f>
        <v>7164.99635062869</v>
      </c>
      <c r="O48" s="43" t="n">
        <f aca="false">MIN(Pcap,MAX(0,P0-g*'G.data'!N48))</f>
        <v>0</v>
      </c>
      <c r="P48" s="45" t="n">
        <f aca="false">N48*P$1</f>
        <v>2631.70691592017</v>
      </c>
    </row>
    <row r="49" customFormat="false" ht="12.75" hidden="false" customHeight="false" outlineLevel="0" collapsed="false">
      <c r="G49" s="44" t="n">
        <f aca="false">G48+0.001</f>
        <v>0.045</v>
      </c>
      <c r="H49" s="0" t="n">
        <f aca="false">G49*L0</f>
        <v>2250</v>
      </c>
      <c r="I49" s="52" t="n">
        <f aca="false">H49/R0</f>
        <v>0.642857142857143</v>
      </c>
      <c r="J49" s="45" t="n">
        <f aca="false">IF(I49&gt;1,0,MAX(0,M0*(1-'G.data'!I49)*(1-beta*'G.data'!I49)))</f>
        <v>3571.42857142857</v>
      </c>
      <c r="K49" s="0" t="n">
        <f aca="false">MAX(0,MIN(Pcap,P0-g*'G.data'!H49))</f>
        <v>3571.42857142857</v>
      </c>
      <c r="M49" s="44" t="n">
        <f aca="false">M48+0.001</f>
        <v>0.045</v>
      </c>
      <c r="N49" s="45" t="n">
        <f aca="false">MAX(0,K-(L0-Ldif*M49-alph*M49^0.5))</f>
        <v>7224.25396867703</v>
      </c>
      <c r="O49" s="43" t="n">
        <f aca="false">MIN(Pcap,MAX(0,P0-g*'G.data'!N49))</f>
        <v>0</v>
      </c>
      <c r="P49" s="45" t="n">
        <f aca="false">N49*P$1</f>
        <v>2653.47227009583</v>
      </c>
    </row>
    <row r="50" customFormat="false" ht="12.75" hidden="false" customHeight="false" outlineLevel="0" collapsed="false">
      <c r="G50" s="44" t="n">
        <f aca="false">G49+0.001</f>
        <v>0.046</v>
      </c>
      <c r="H50" s="0" t="n">
        <f aca="false">G50*L0</f>
        <v>2300</v>
      </c>
      <c r="I50" s="52" t="n">
        <f aca="false">H50/R0</f>
        <v>0.657142857142858</v>
      </c>
      <c r="J50" s="45" t="n">
        <f aca="false">IF(I50&gt;1,0,MAX(0,M0*(1-'G.data'!I50)*(1-beta*'G.data'!I50)))</f>
        <v>3428.57142857142</v>
      </c>
      <c r="K50" s="0" t="n">
        <f aca="false">MAX(0,MIN(Pcap,P0-g*'G.data'!H50))</f>
        <v>3428.57142857142</v>
      </c>
      <c r="M50" s="44" t="n">
        <f aca="false">M49+0.001</f>
        <v>0.046</v>
      </c>
      <c r="N50" s="45" t="n">
        <f aca="false">MAX(0,K-(L0-Ldif*M50-alph*M50^0.5))</f>
        <v>7282.85675715974</v>
      </c>
      <c r="O50" s="43" t="n">
        <f aca="false">MIN(Pcap,MAX(0,P0-g*'G.data'!N50))</f>
        <v>0</v>
      </c>
      <c r="P50" s="45" t="n">
        <f aca="false">N50*P$1</f>
        <v>2674.99710502874</v>
      </c>
    </row>
    <row r="51" customFormat="false" ht="12.75" hidden="false" customHeight="false" outlineLevel="0" collapsed="false">
      <c r="G51" s="44" t="n">
        <f aca="false">G50+0.001</f>
        <v>0.047</v>
      </c>
      <c r="H51" s="0" t="n">
        <f aca="false">G51*L0</f>
        <v>2350</v>
      </c>
      <c r="I51" s="52" t="n">
        <f aca="false">H51/R0</f>
        <v>0.671428571428572</v>
      </c>
      <c r="J51" s="45" t="n">
        <f aca="false">IF(I51&gt;1,0,MAX(0,M0*(1-'G.data'!I51)*(1-beta*'G.data'!I51)))</f>
        <v>3285.71428571428</v>
      </c>
      <c r="K51" s="0" t="n">
        <f aca="false">MAX(0,MIN(Pcap,P0-g*'G.data'!H51))</f>
        <v>3285.71428571428</v>
      </c>
      <c r="M51" s="44" t="n">
        <f aca="false">M50+0.001</f>
        <v>0.047</v>
      </c>
      <c r="N51" s="45" t="n">
        <f aca="false">MAX(0,K-(L0-Ldif*M51-alph*M51^0.5))</f>
        <v>7340.82595694763</v>
      </c>
      <c r="O51" s="43" t="n">
        <f aca="false">MIN(Pcap,MAX(0,P0-g*'G.data'!N51))</f>
        <v>0</v>
      </c>
      <c r="P51" s="45" t="n">
        <f aca="false">N51*P$1</f>
        <v>2696.28922250187</v>
      </c>
    </row>
    <row r="52" customFormat="false" ht="12.75" hidden="false" customHeight="false" outlineLevel="0" collapsed="false">
      <c r="G52" s="44" t="n">
        <f aca="false">G51+0.001</f>
        <v>0.048</v>
      </c>
      <c r="H52" s="0" t="n">
        <f aca="false">G52*L0</f>
        <v>2400</v>
      </c>
      <c r="I52" s="52" t="n">
        <f aca="false">H52/R0</f>
        <v>0.685714285714286</v>
      </c>
      <c r="J52" s="45" t="n">
        <f aca="false">IF(I52&gt;1,0,MAX(0,M0*(1-'G.data'!I52)*(1-beta*'G.data'!I52)))</f>
        <v>3142.85714285714</v>
      </c>
      <c r="K52" s="0" t="n">
        <f aca="false">MAX(0,MIN(Pcap,P0-g*'G.data'!H52))</f>
        <v>3142.85714285714</v>
      </c>
      <c r="M52" s="44" t="n">
        <f aca="false">M51+0.001</f>
        <v>0.048</v>
      </c>
      <c r="N52" s="45" t="n">
        <f aca="false">MAX(0,K-(L0-Ldif*M52-alph*M52^0.5))</f>
        <v>7398.18168482959</v>
      </c>
      <c r="O52" s="43" t="n">
        <f aca="false">MIN(Pcap,MAX(0,P0-g*'G.data'!N52))</f>
        <v>0</v>
      </c>
      <c r="P52" s="45" t="n">
        <f aca="false">N52*P$1</f>
        <v>2717.35601142234</v>
      </c>
    </row>
    <row r="53" customFormat="false" ht="12.75" hidden="false" customHeight="false" outlineLevel="0" collapsed="false">
      <c r="G53" s="44" t="n">
        <f aca="false">G52+0.001</f>
        <v>0.049</v>
      </c>
      <c r="H53" s="0" t="n">
        <f aca="false">G53*L0</f>
        <v>2450</v>
      </c>
      <c r="I53" s="52" t="n">
        <f aca="false">H53/R0</f>
        <v>0.7</v>
      </c>
      <c r="J53" s="45" t="n">
        <f aca="false">IF(I53&gt;1,0,MAX(0,M0*(1-'G.data'!I53)*(1-beta*'G.data'!I53)))</f>
        <v>3000</v>
      </c>
      <c r="K53" s="0" t="n">
        <f aca="false">MAX(0,MIN(Pcap,P0-g*'G.data'!H53))</f>
        <v>3000</v>
      </c>
      <c r="M53" s="44" t="n">
        <f aca="false">M52+0.001</f>
        <v>0.049</v>
      </c>
      <c r="N53" s="45" t="n">
        <f aca="false">MAX(0,K-(L0-Ldif*M53-alph*M53^0.5))</f>
        <v>7454.94301507259</v>
      </c>
      <c r="O53" s="43" t="n">
        <f aca="false">MIN(Pcap,MAX(0,P0-g*'G.data'!N53))</f>
        <v>0</v>
      </c>
      <c r="P53" s="45" t="n">
        <f aca="false">N53*P$1</f>
        <v>2738.20447777839</v>
      </c>
    </row>
    <row r="54" customFormat="false" ht="12.75" hidden="false" customHeight="false" outlineLevel="0" collapsed="false">
      <c r="G54" s="44" t="n">
        <f aca="false">G53+0.001</f>
        <v>0.05</v>
      </c>
      <c r="H54" s="0" t="n">
        <f aca="false">G54*L0</f>
        <v>2500</v>
      </c>
      <c r="I54" s="52" t="n">
        <f aca="false">H54/R0</f>
        <v>0.714285714285715</v>
      </c>
      <c r="J54" s="45" t="n">
        <f aca="false">IF(I54&gt;1,0,MAX(0,M0*(1-'G.data'!I54)*(1-beta*'G.data'!I54)))</f>
        <v>2857.14285714285</v>
      </c>
      <c r="K54" s="0" t="n">
        <f aca="false">MAX(0,MIN(Pcap,P0-g*'G.data'!H54))</f>
        <v>2857.14285714285</v>
      </c>
      <c r="M54" s="44" t="n">
        <f aca="false">M53+0.001</f>
        <v>0.05</v>
      </c>
      <c r="N54" s="45" t="n">
        <f aca="false">MAX(0,K-(L0-Ldif*M54-alph*M54^0.5))</f>
        <v>7511.12805352741</v>
      </c>
      <c r="O54" s="43" t="n">
        <f aca="false">MIN(Pcap,MAX(0,P0-g*'G.data'!N54))</f>
        <v>0</v>
      </c>
      <c r="P54" s="45" t="n">
        <f aca="false">N54*P$1</f>
        <v>2758.84127185851</v>
      </c>
    </row>
    <row r="55" customFormat="false" ht="12.75" hidden="false" customHeight="false" outlineLevel="0" collapsed="false">
      <c r="G55" s="44" t="n">
        <f aca="false">G54+0.001</f>
        <v>0.051</v>
      </c>
      <c r="H55" s="0" t="n">
        <f aca="false">G55*L0</f>
        <v>2550</v>
      </c>
      <c r="I55" s="52" t="n">
        <f aca="false">H55/R0</f>
        <v>0.728571428571429</v>
      </c>
      <c r="J55" s="45" t="n">
        <f aca="false">IF(I55&gt;1,0,MAX(0,M0*(1-'G.data'!I55)*(1-beta*'G.data'!I55)))</f>
        <v>2714.28571428571</v>
      </c>
      <c r="K55" s="0" t="n">
        <f aca="false">MAX(0,MIN(Pcap,P0-g*'G.data'!H55))</f>
        <v>2714.28571428571</v>
      </c>
      <c r="M55" s="44" t="n">
        <f aca="false">M54+0.001</f>
        <v>0.051</v>
      </c>
      <c r="N55" s="45" t="n">
        <f aca="false">MAX(0,K-(L0-Ldif*M55-alph*M55^0.5))</f>
        <v>7566.75400509604</v>
      </c>
      <c r="O55" s="43" t="n">
        <f aca="false">MIN(Pcap,MAX(0,P0-g*'G.data'!N55))</f>
        <v>0</v>
      </c>
      <c r="P55" s="45" t="n">
        <f aca="false">N55*P$1</f>
        <v>2779.27271303224</v>
      </c>
    </row>
    <row r="56" customFormat="false" ht="12.75" hidden="false" customHeight="false" outlineLevel="0" collapsed="false">
      <c r="G56" s="44" t="n">
        <f aca="false">G55+0.001</f>
        <v>0.052</v>
      </c>
      <c r="H56" s="0" t="n">
        <f aca="false">G56*L0</f>
        <v>2600</v>
      </c>
      <c r="I56" s="52" t="n">
        <f aca="false">H56/R0</f>
        <v>0.742857142857143</v>
      </c>
      <c r="J56" s="45" t="n">
        <f aca="false">IF(I56&gt;1,0,MAX(0,M0*(1-'G.data'!I56)*(1-beta*'G.data'!I56)))</f>
        <v>2571.42857142857</v>
      </c>
      <c r="K56" s="0" t="n">
        <f aca="false">MAX(0,MIN(Pcap,P0-g*'G.data'!H56))</f>
        <v>2571.42857142857</v>
      </c>
      <c r="M56" s="44" t="n">
        <f aca="false">M55+0.001</f>
        <v>0.052</v>
      </c>
      <c r="N56" s="45" t="n">
        <f aca="false">MAX(0,K-(L0-Ldif*M56-alph*M56^0.5))</f>
        <v>7621.83723527363</v>
      </c>
      <c r="O56" s="43" t="n">
        <f aca="false">MIN(Pcap,MAX(0,P0-g*'G.data'!N56))</f>
        <v>0</v>
      </c>
      <c r="P56" s="45" t="n">
        <f aca="false">N56*P$1</f>
        <v>2799.5048123545</v>
      </c>
    </row>
    <row r="57" customFormat="false" ht="12.75" hidden="false" customHeight="false" outlineLevel="0" collapsed="false">
      <c r="G57" s="44" t="n">
        <f aca="false">G56+0.001</f>
        <v>0.053</v>
      </c>
      <c r="H57" s="0" t="n">
        <f aca="false">G57*L0</f>
        <v>2650</v>
      </c>
      <c r="I57" s="52" t="n">
        <f aca="false">H57/R0</f>
        <v>0.757142857142858</v>
      </c>
      <c r="J57" s="45" t="n">
        <f aca="false">IF(I57&gt;1,0,MAX(0,M0*(1-'G.data'!I57)*(1-beta*'G.data'!I57)))</f>
        <v>2428.57142857142</v>
      </c>
      <c r="K57" s="0" t="n">
        <f aca="false">MAX(0,MIN(Pcap,P0-g*'G.data'!H57))</f>
        <v>2428.57142857143</v>
      </c>
      <c r="M57" s="44" t="n">
        <f aca="false">M56+0.001</f>
        <v>0.053</v>
      </c>
      <c r="N57" s="45" t="n">
        <f aca="false">MAX(0,K-(L0-Ldif*M57-alph*M57^0.5))</f>
        <v>7676.3933263886</v>
      </c>
      <c r="O57" s="43" t="n">
        <f aca="false">MIN(Pcap,MAX(0,P0-g*'G.data'!N57))</f>
        <v>0</v>
      </c>
      <c r="P57" s="45" t="n">
        <f aca="false">N57*P$1</f>
        <v>2819.54329322271</v>
      </c>
    </row>
    <row r="58" customFormat="false" ht="12.75" hidden="false" customHeight="false" outlineLevel="0" collapsed="false">
      <c r="G58" s="44" t="n">
        <f aca="false">G57+0.001</f>
        <v>0.054</v>
      </c>
      <c r="H58" s="0" t="n">
        <f aca="false">G58*L0</f>
        <v>2700</v>
      </c>
      <c r="I58" s="52" t="n">
        <f aca="false">H58/R0</f>
        <v>0.771428571428572</v>
      </c>
      <c r="J58" s="45" t="n">
        <f aca="false">IF(I58&gt;1,0,MAX(0,M0*(1-'G.data'!I58)*(1-beta*'G.data'!I58)))</f>
        <v>2285.71428571428</v>
      </c>
      <c r="K58" s="0" t="n">
        <f aca="false">MAX(0,MIN(Pcap,P0-g*'G.data'!H58))</f>
        <v>2285.71428571428</v>
      </c>
      <c r="M58" s="44" t="n">
        <f aca="false">M57+0.001</f>
        <v>0.054</v>
      </c>
      <c r="N58" s="45" t="n">
        <f aca="false">MAX(0,K-(L0-Ldif*M58-alph*M58^0.5))</f>
        <v>7730.43712908905</v>
      </c>
      <c r="O58" s="43" t="n">
        <f aca="false">MIN(Pcap,MAX(0,P0-g*'G.data'!N58))</f>
        <v>0</v>
      </c>
      <c r="P58" s="45" t="n">
        <f aca="false">N58*P$1</f>
        <v>2839.39361028769</v>
      </c>
    </row>
    <row r="59" customFormat="false" ht="12.75" hidden="false" customHeight="false" outlineLevel="0" collapsed="false">
      <c r="G59" s="44" t="n">
        <f aca="false">G58+0.001</f>
        <v>0.055</v>
      </c>
      <c r="H59" s="0" t="n">
        <f aca="false">G59*L0</f>
        <v>2750</v>
      </c>
      <c r="I59" s="52" t="n">
        <f aca="false">H59/R0</f>
        <v>0.785714285714286</v>
      </c>
      <c r="J59" s="45" t="n">
        <f aca="false">IF(I59&gt;1,0,MAX(0,M0*(1-'G.data'!I59)*(1-beta*'G.data'!I59)))</f>
        <v>2142.85714285714</v>
      </c>
      <c r="K59" s="0" t="n">
        <f aca="false">MAX(0,MIN(Pcap,P0-g*'G.data'!H59))</f>
        <v>2142.85714285714</v>
      </c>
      <c r="M59" s="44" t="n">
        <f aca="false">M58+0.001</f>
        <v>0.055</v>
      </c>
      <c r="N59" s="45" t="n">
        <f aca="false">MAX(0,K-(L0-Ldif*M59-alph*M59^0.5))</f>
        <v>7783.98280955722</v>
      </c>
      <c r="O59" s="43" t="n">
        <f aca="false">MIN(Pcap,MAX(0,P0-g*'G.data'!N59))</f>
        <v>0</v>
      </c>
      <c r="P59" s="45" t="n">
        <f aca="false">N59*P$1</f>
        <v>2859.0609667956</v>
      </c>
    </row>
    <row r="60" customFormat="false" ht="12.75" hidden="false" customHeight="false" outlineLevel="0" collapsed="false">
      <c r="G60" s="44" t="n">
        <f aca="false">G59+0.001</f>
        <v>0.056</v>
      </c>
      <c r="H60" s="0" t="n">
        <f aca="false">G60*L0</f>
        <v>2800</v>
      </c>
      <c r="I60" s="52" t="n">
        <f aca="false">H60/R0</f>
        <v>0.800000000000001</v>
      </c>
      <c r="J60" s="45" t="n">
        <f aca="false">IF(I60&gt;1,0,MAX(0,M0*(1-'G.data'!I60)*(1-beta*'G.data'!I60)))</f>
        <v>1999.99999999999</v>
      </c>
      <c r="K60" s="0" t="n">
        <f aca="false">MAX(0,MIN(Pcap,P0-g*'G.data'!H60))</f>
        <v>1999.99999999999</v>
      </c>
      <c r="M60" s="44" t="n">
        <f aca="false">M59+0.001</f>
        <v>0.056</v>
      </c>
      <c r="N60" s="45" t="n">
        <f aca="false">MAX(0,K-(L0-Ldif*M60-alph*M60^0.5))</f>
        <v>7837.04389287754</v>
      </c>
      <c r="O60" s="43" t="n">
        <f aca="false">MIN(Pcap,MAX(0,P0-g*'G.data'!N60))</f>
        <v>0</v>
      </c>
      <c r="P60" s="45" t="n">
        <f aca="false">N60*P$1</f>
        <v>2878.55033051706</v>
      </c>
    </row>
    <row r="61" customFormat="false" ht="12.75" hidden="false" customHeight="false" outlineLevel="0" collapsed="false">
      <c r="G61" s="44" t="n">
        <f aca="false">G60+0.001</f>
        <v>0.057</v>
      </c>
      <c r="H61" s="0" t="n">
        <f aca="false">G61*L0</f>
        <v>2850</v>
      </c>
      <c r="I61" s="52" t="n">
        <f aca="false">H61/R0</f>
        <v>0.814285714285715</v>
      </c>
      <c r="J61" s="45" t="n">
        <f aca="false">IF(I61&gt;1,0,MAX(0,M0*(1-'G.data'!I61)*(1-beta*'G.data'!I61)))</f>
        <v>1857.14285714285</v>
      </c>
      <c r="K61" s="0" t="n">
        <f aca="false">MAX(0,MIN(Pcap,P0-g*'G.data'!H61))</f>
        <v>1857.14285714285</v>
      </c>
      <c r="M61" s="44" t="n">
        <f aca="false">M60+0.001</f>
        <v>0.057</v>
      </c>
      <c r="N61" s="45" t="n">
        <f aca="false">MAX(0,K-(L0-Ldif*M61-alph*M61^0.5))</f>
        <v>7889.63330293459</v>
      </c>
      <c r="O61" s="43" t="n">
        <f aca="false">MIN(Pcap,MAX(0,P0-g*'G.data'!N61))</f>
        <v>0</v>
      </c>
      <c r="P61" s="45" t="n">
        <f aca="false">N61*P$1</f>
        <v>2897.86644840164</v>
      </c>
    </row>
    <row r="62" customFormat="false" ht="12.75" hidden="false" customHeight="false" outlineLevel="0" collapsed="false">
      <c r="G62" s="44" t="n">
        <f aca="false">G61+0.001</f>
        <v>0.058</v>
      </c>
      <c r="H62" s="0" t="n">
        <f aca="false">G62*L0</f>
        <v>2900</v>
      </c>
      <c r="I62" s="52" t="n">
        <f aca="false">H62/R0</f>
        <v>0.828571428571429</v>
      </c>
      <c r="J62" s="45" t="n">
        <f aca="false">IF(I62&gt;1,0,MAX(0,M0*(1-'G.data'!I62)*(1-beta*'G.data'!I62)))</f>
        <v>1714.28571428571</v>
      </c>
      <c r="K62" s="0" t="n">
        <f aca="false">MAX(0,MIN(Pcap,P0-g*'G.data'!H62))</f>
        <v>1714.28571428571</v>
      </c>
      <c r="M62" s="44" t="n">
        <f aca="false">M61+0.001</f>
        <v>0.058</v>
      </c>
      <c r="N62" s="45" t="n">
        <f aca="false">MAX(0,K-(L0-Ldif*M62-alph*M62^0.5))</f>
        <v>7941.76339917407</v>
      </c>
      <c r="O62" s="43" t="n">
        <f aca="false">MIN(Pcap,MAX(0,P0-g*'G.data'!N62))</f>
        <v>0</v>
      </c>
      <c r="P62" s="45" t="n">
        <f aca="false">N62*P$1</f>
        <v>2917.01386008022</v>
      </c>
    </row>
    <row r="63" customFormat="false" ht="12.75" hidden="false" customHeight="false" outlineLevel="0" collapsed="false">
      <c r="G63" s="44" t="n">
        <f aca="false">G62+0.001</f>
        <v>0.059</v>
      </c>
      <c r="H63" s="0" t="n">
        <f aca="false">G63*L0</f>
        <v>2950</v>
      </c>
      <c r="I63" s="52" t="n">
        <f aca="false">H63/R0</f>
        <v>0.842857142857143</v>
      </c>
      <c r="J63" s="45" t="n">
        <f aca="false">IF(I63&gt;1,0,MAX(0,M0*(1-'G.data'!I63)*(1-beta*'G.data'!I63)))</f>
        <v>1571.42857142857</v>
      </c>
      <c r="K63" s="0" t="n">
        <f aca="false">MAX(0,MIN(Pcap,P0-g*'G.data'!H63))</f>
        <v>1571.42857142857</v>
      </c>
      <c r="M63" s="44" t="n">
        <f aca="false">M62+0.001</f>
        <v>0.059</v>
      </c>
      <c r="N63" s="45" t="n">
        <f aca="false">MAX(0,K-(L0-Ldif*M63-alph*M63^0.5))</f>
        <v>7993.44601052349</v>
      </c>
      <c r="O63" s="43" t="n">
        <f aca="false">MIN(Pcap,MAX(0,P0-g*'G.data'!N63))</f>
        <v>0</v>
      </c>
      <c r="P63" s="45" t="n">
        <f aca="false">N63*P$1</f>
        <v>2935.99691032408</v>
      </c>
    </row>
    <row r="64" customFormat="false" ht="12.75" hidden="false" customHeight="false" outlineLevel="0" collapsed="false">
      <c r="G64" s="44" t="n">
        <f aca="false">G63+0.001</f>
        <v>0.06</v>
      </c>
      <c r="H64" s="0" t="n">
        <f aca="false">G64*L0</f>
        <v>3000</v>
      </c>
      <c r="I64" s="52" t="n">
        <f aca="false">H64/R0</f>
        <v>0.857142857142858</v>
      </c>
      <c r="J64" s="45" t="n">
        <f aca="false">IF(I64&gt;1,0,MAX(0,M0*(1-'G.data'!I64)*(1-beta*'G.data'!I64)))</f>
        <v>1428.57142857142</v>
      </c>
      <c r="K64" s="0" t="n">
        <f aca="false">MAX(0,MIN(Pcap,P0-g*'G.data'!H64))</f>
        <v>1428.57142857142</v>
      </c>
      <c r="M64" s="44" t="n">
        <f aca="false">M63+0.001</f>
        <v>0.06</v>
      </c>
      <c r="N64" s="45" t="n">
        <f aca="false">MAX(0,K-(L0-Ldif*M64-alph*M64^0.5))</f>
        <v>8044.69246673587</v>
      </c>
      <c r="O64" s="43" t="n">
        <f aca="false">MIN(Pcap,MAX(0,P0-g*'G.data'!N64))</f>
        <v>0</v>
      </c>
      <c r="P64" s="45" t="n">
        <f aca="false">N64*P$1</f>
        <v>2954.81976055745</v>
      </c>
    </row>
    <row r="65" customFormat="false" ht="12.75" hidden="false" customHeight="false" outlineLevel="0" collapsed="false">
      <c r="G65" s="44" t="n">
        <f aca="false">G64+0.001</f>
        <v>0.0610000000000001</v>
      </c>
      <c r="H65" s="0" t="n">
        <f aca="false">G65*L0</f>
        <v>3050</v>
      </c>
      <c r="I65" s="52" t="n">
        <f aca="false">H65/R0</f>
        <v>0.871428571428572</v>
      </c>
      <c r="J65" s="45" t="n">
        <f aca="false">IF(I65&gt;1,0,MAX(0,M0*(1-'G.data'!I65)*(1-beta*'G.data'!I65)))</f>
        <v>1285.71428571428</v>
      </c>
      <c r="K65" s="0" t="n">
        <f aca="false">MAX(0,MIN(Pcap,P0-g*'G.data'!H65))</f>
        <v>1285.71428571428</v>
      </c>
      <c r="M65" s="44" t="n">
        <f aca="false">M64+0.001</f>
        <v>0.0610000000000001</v>
      </c>
      <c r="N65" s="45" t="n">
        <f aca="false">MAX(0,K-(L0-Ldif*M65-alph*M65^0.5))</f>
        <v>8095.51362739217</v>
      </c>
      <c r="O65" s="43" t="n">
        <f aca="false">MIN(Pcap,MAX(0,P0-g*'G.data'!N65))</f>
        <v>0</v>
      </c>
      <c r="P65" s="45" t="n">
        <f aca="false">N65*P$1</f>
        <v>2973.4863995101</v>
      </c>
    </row>
    <row r="66" customFormat="false" ht="12.75" hidden="false" customHeight="false" outlineLevel="0" collapsed="false">
      <c r="G66" s="44" t="n">
        <f aca="false">G65+0.001</f>
        <v>0.0620000000000001</v>
      </c>
      <c r="H66" s="0" t="n">
        <f aca="false">G66*L0</f>
        <v>3100</v>
      </c>
      <c r="I66" s="52" t="n">
        <f aca="false">H66/R0</f>
        <v>0.885714285714286</v>
      </c>
      <c r="J66" s="45" t="n">
        <f aca="false">IF(I66&gt;1,0,MAX(0,M0*(1-'G.data'!I66)*(1-beta*'G.data'!I66)))</f>
        <v>1142.85714285714</v>
      </c>
      <c r="K66" s="0" t="n">
        <f aca="false">MAX(0,MIN(Pcap,P0-g*'G.data'!H66))</f>
        <v>1142.85714285714</v>
      </c>
      <c r="M66" s="44" t="n">
        <f aca="false">M65+0.001</f>
        <v>0.0620000000000001</v>
      </c>
      <c r="N66" s="45" t="n">
        <f aca="false">MAX(0,K-(L0-Ldif*M66-alph*M66^0.5))</f>
        <v>8145.9199087723</v>
      </c>
      <c r="O66" s="43" t="n">
        <f aca="false">MIN(Pcap,MAX(0,P0-g*'G.data'!N66))</f>
        <v>0</v>
      </c>
      <c r="P66" s="45" t="n">
        <f aca="false">N66*P$1</f>
        <v>2992.00065308712</v>
      </c>
    </row>
    <row r="67" customFormat="false" ht="12.75" hidden="false" customHeight="false" outlineLevel="0" collapsed="false">
      <c r="G67" s="44" t="n">
        <f aca="false">G66+0.001</f>
        <v>0.063</v>
      </c>
      <c r="H67" s="0" t="n">
        <f aca="false">G67*L0</f>
        <v>3150</v>
      </c>
      <c r="I67" s="52" t="n">
        <f aca="false">H67/R0</f>
        <v>0.900000000000001</v>
      </c>
      <c r="J67" s="45" t="n">
        <f aca="false">IF(I67&gt;1,0,MAX(0,M0*(1-'G.data'!I67)*(1-beta*'G.data'!I67)))</f>
        <v>999.999999999994</v>
      </c>
      <c r="K67" s="0" t="n">
        <f aca="false">MAX(0,MIN(Pcap,P0-g*'G.data'!H67))</f>
        <v>999.999999999995</v>
      </c>
      <c r="M67" s="44" t="n">
        <f aca="false">M66+0.001</f>
        <v>0.063</v>
      </c>
      <c r="N67" s="45" t="n">
        <f aca="false">MAX(0,K-(L0-Ldif*M67-alph*M67^0.5))</f>
        <v>8195.92130878349</v>
      </c>
      <c r="O67" s="43" t="n">
        <f aca="false">MIN(Pcap,MAX(0,P0-g*'G.data'!N67))</f>
        <v>0</v>
      </c>
      <c r="P67" s="45" t="n">
        <f aca="false">N67*P$1</f>
        <v>3010.36619352506</v>
      </c>
    </row>
    <row r="68" customFormat="false" ht="12.75" hidden="false" customHeight="false" outlineLevel="0" collapsed="false">
      <c r="G68" s="44" t="n">
        <f aca="false">G67+0.001</f>
        <v>0.064</v>
      </c>
      <c r="H68" s="0" t="n">
        <f aca="false">G68*L0</f>
        <v>3200</v>
      </c>
      <c r="I68" s="52" t="n">
        <f aca="false">H68/R0</f>
        <v>0.914285714285715</v>
      </c>
      <c r="J68" s="45" t="n">
        <f aca="false">IF(I68&gt;1,0,MAX(0,M0*(1-'G.data'!I68)*(1-beta*'G.data'!I68)))</f>
        <v>857.142857142852</v>
      </c>
      <c r="K68" s="0" t="n">
        <f aca="false">MAX(0,MIN(Pcap,P0-g*'G.data'!H68))</f>
        <v>857.142857142851</v>
      </c>
      <c r="M68" s="44" t="n">
        <f aca="false">M67+0.001</f>
        <v>0.064</v>
      </c>
      <c r="N68" s="45" t="n">
        <f aca="false">MAX(0,K-(L0-Ldif*M68-alph*M68^0.5))</f>
        <v>8245.52743011469</v>
      </c>
      <c r="O68" s="43" t="n">
        <f aca="false">MIN(Pcap,MAX(0,P0-g*'G.data'!N68))</f>
        <v>0</v>
      </c>
      <c r="P68" s="45" t="n">
        <f aca="false">N68*P$1</f>
        <v>3028.5865478966</v>
      </c>
    </row>
    <row r="69" customFormat="false" ht="12.75" hidden="false" customHeight="false" outlineLevel="0" collapsed="false">
      <c r="G69" s="44" t="n">
        <f aca="false">G68+0.001</f>
        <v>0.065</v>
      </c>
      <c r="H69" s="0" t="n">
        <f aca="false">G69*L0</f>
        <v>3250</v>
      </c>
      <c r="I69" s="52" t="n">
        <f aca="false">H69/R0</f>
        <v>0.928571428571429</v>
      </c>
      <c r="J69" s="45" t="n">
        <f aca="false">IF(I69&gt;1,0,MAX(0,M0*(1-'G.data'!I69)*(1-beta*'G.data'!I69)))</f>
        <v>714.28571428571</v>
      </c>
      <c r="K69" s="0" t="n">
        <f aca="false">MAX(0,MIN(Pcap,P0-g*'G.data'!H69))</f>
        <v>714.285714285708</v>
      </c>
      <c r="M69" s="44" t="n">
        <f aca="false">M68+0.001</f>
        <v>0.065</v>
      </c>
      <c r="N69" s="45" t="n">
        <f aca="false">MAX(0,K-(L0-Ldif*M69-alph*M69^0.5))</f>
        <v>8294.74750176891</v>
      </c>
      <c r="O69" s="43" t="n">
        <f aca="false">MIN(Pcap,MAX(0,P0-g*'G.data'!N69))</f>
        <v>0</v>
      </c>
      <c r="P69" s="45" t="n">
        <f aca="false">N69*P$1</f>
        <v>3046.6651060194</v>
      </c>
    </row>
    <row r="70" customFormat="false" ht="12.75" hidden="false" customHeight="false" outlineLevel="0" collapsed="false">
      <c r="G70" s="44" t="n">
        <f aca="false">G69+0.001</f>
        <v>0.066</v>
      </c>
      <c r="H70" s="0" t="n">
        <f aca="false">G70*L0</f>
        <v>3300</v>
      </c>
      <c r="I70" s="52" t="n">
        <f aca="false">H70/R0</f>
        <v>0.942857142857143</v>
      </c>
      <c r="J70" s="45" t="n">
        <f aca="false">IF(I70&gt;1,0,MAX(0,M0*(1-'G.data'!I70)*(1-beta*'G.data'!I70)))</f>
        <v>571.428571428566</v>
      </c>
      <c r="K70" s="0" t="n">
        <f aca="false">MAX(0,MIN(Pcap,P0-g*'G.data'!H70))</f>
        <v>571.428571428567</v>
      </c>
      <c r="M70" s="44" t="n">
        <f aca="false">M69+0.001</f>
        <v>0.066</v>
      </c>
      <c r="N70" s="45" t="n">
        <f aca="false">MAX(0,K-(L0-Ldif*M70-alph*M70^0.5))</f>
        <v>8343.59039911049</v>
      </c>
      <c r="O70" s="43" t="n">
        <f aca="false">MIN(Pcap,MAX(0,P0-g*'G.data'!N70))</f>
        <v>0</v>
      </c>
      <c r="P70" s="45" t="n">
        <f aca="false">N70*P$1</f>
        <v>3064.60512781943</v>
      </c>
    </row>
    <row r="71" customFormat="false" ht="12.75" hidden="false" customHeight="false" outlineLevel="0" collapsed="false">
      <c r="G71" s="44" t="n">
        <f aca="false">G70+0.001</f>
        <v>0.0670000000000001</v>
      </c>
      <c r="H71" s="0" t="n">
        <f aca="false">G71*L0</f>
        <v>3350</v>
      </c>
      <c r="I71" s="52" t="n">
        <f aca="false">H71/R0</f>
        <v>0.957142857142858</v>
      </c>
      <c r="J71" s="45" t="n">
        <f aca="false">IF(I71&gt;1,0,MAX(0,M0*(1-'G.data'!I71)*(1-beta*'G.data'!I71)))</f>
        <v>428.571428571424</v>
      </c>
      <c r="K71" s="0" t="n">
        <f aca="false">MAX(0,MIN(Pcap,P0-g*'G.data'!H71))</f>
        <v>428.571428571424</v>
      </c>
      <c r="M71" s="44" t="n">
        <f aca="false">M70+0.001</f>
        <v>0.0670000000000001</v>
      </c>
      <c r="N71" s="45" t="n">
        <f aca="false">MAX(0,K-(L0-Ldif*M71-alph*M71^0.5))</f>
        <v>8392.06466255032</v>
      </c>
      <c r="O71" s="43" t="n">
        <f aca="false">MIN(Pcap,MAX(0,P0-g*'G.data'!N71))</f>
        <v>0</v>
      </c>
      <c r="P71" s="45" t="n">
        <f aca="false">N71*P$1</f>
        <v>3082.40975019409</v>
      </c>
    </row>
    <row r="72" customFormat="false" ht="12.75" hidden="false" customHeight="false" outlineLevel="0" collapsed="false">
      <c r="G72" s="44" t="n">
        <f aca="false">G71+0.001</f>
        <v>0.0680000000000001</v>
      </c>
      <c r="H72" s="0" t="n">
        <f aca="false">G72*L0</f>
        <v>3400</v>
      </c>
      <c r="I72" s="52" t="n">
        <f aca="false">H72/R0</f>
        <v>0.971428571428572</v>
      </c>
      <c r="J72" s="45" t="n">
        <f aca="false">IF(I72&gt;1,0,MAX(0,M0*(1-'G.data'!I72)*(1-beta*'G.data'!I72)))</f>
        <v>285.71428571428</v>
      </c>
      <c r="K72" s="0" t="n">
        <f aca="false">MAX(0,MIN(Pcap,P0-g*'G.data'!H72))</f>
        <v>285.714285714281</v>
      </c>
      <c r="M72" s="44" t="n">
        <f aca="false">M71+0.001</f>
        <v>0.0680000000000001</v>
      </c>
      <c r="N72" s="45" t="n">
        <f aca="false">MAX(0,K-(L0-Ldif*M72-alph*M72^0.5))</f>
        <v>8440.17851498058</v>
      </c>
      <c r="O72" s="43" t="n">
        <f aca="false">MIN(Pcap,MAX(0,P0-g*'G.data'!N72))</f>
        <v>0</v>
      </c>
      <c r="P72" s="45" t="n">
        <f aca="false">N72*P$1</f>
        <v>3100.08199341598</v>
      </c>
    </row>
    <row r="73" customFormat="false" ht="12.75" hidden="false" customHeight="false" outlineLevel="0" collapsed="false">
      <c r="G73" s="44" t="n">
        <f aca="false">G72+0.001</f>
        <v>0.0690000000000001</v>
      </c>
      <c r="H73" s="0" t="n">
        <f aca="false">G73*L0</f>
        <v>3450</v>
      </c>
      <c r="I73" s="52" t="n">
        <f aca="false">H73/R0</f>
        <v>0.985714285714286</v>
      </c>
      <c r="J73" s="45" t="n">
        <f aca="false">IF(I73&gt;1,0,MAX(0,M0*(1-'G.data'!I73)*(1-beta*'G.data'!I73)))</f>
        <v>142.857142857138</v>
      </c>
      <c r="K73" s="0" t="n">
        <f aca="false">MAX(0,MIN(Pcap,P0-g*'G.data'!H73))</f>
        <v>142.857142857138</v>
      </c>
      <c r="M73" s="44" t="n">
        <f aca="false">M72+0.001</f>
        <v>0.0690000000000001</v>
      </c>
      <c r="N73" s="45" t="n">
        <f aca="false">MAX(0,K-(L0-Ldif*M73-alph*M73^0.5))</f>
        <v>8487.93987805978</v>
      </c>
      <c r="O73" s="43" t="n">
        <f aca="false">MIN(Pcap,MAX(0,P0-g*'G.data'!N73))</f>
        <v>0</v>
      </c>
      <c r="P73" s="45" t="n">
        <f aca="false">N73*P$1</f>
        <v>3117.62476711443</v>
      </c>
    </row>
    <row r="74" customFormat="false" ht="12.75" hidden="false" customHeight="false" outlineLevel="0" collapsed="false">
      <c r="G74" s="44" t="n">
        <f aca="false">G73+0.001</f>
        <v>0.0700000000000001</v>
      </c>
      <c r="H74" s="0" t="n">
        <f aca="false">G74*L0</f>
        <v>3500</v>
      </c>
      <c r="I74" s="52" t="n">
        <f aca="false">H74/R0</f>
        <v>1</v>
      </c>
      <c r="J74" s="45" t="n">
        <f aca="false">IF(I74&gt;1,0,MAX(0,M0*(1-'G.data'!I74)*(1-beta*'G.data'!I74)))</f>
        <v>0</v>
      </c>
      <c r="K74" s="0" t="n">
        <f aca="false">MAX(0,MIN(Pcap,P0-g*'G.data'!H74))</f>
        <v>0</v>
      </c>
      <c r="M74" s="44" t="n">
        <f aca="false">M73+0.001</f>
        <v>0.0700000000000001</v>
      </c>
      <c r="N74" s="45" t="n">
        <f aca="false">MAX(0,K-(L0-Ldif*M74-alph*M74^0.5))</f>
        <v>8535.3563874394</v>
      </c>
      <c r="O74" s="43" t="n">
        <f aca="false">MIN(Pcap,MAX(0,P0-g*'G.data'!N74))</f>
        <v>0</v>
      </c>
      <c r="P74" s="45" t="n">
        <f aca="false">N74*P$1</f>
        <v>3135.04087586823</v>
      </c>
    </row>
    <row r="75" customFormat="false" ht="12.75" hidden="false" customHeight="false" outlineLevel="0" collapsed="false">
      <c r="G75" s="44" t="n">
        <f aca="false">G74+0.001</f>
        <v>0.0710000000000001</v>
      </c>
      <c r="H75" s="0" t="n">
        <f aca="false">G75*L0</f>
        <v>3550</v>
      </c>
      <c r="I75" s="52" t="n">
        <f aca="false">H75/R0</f>
        <v>1.01428571428572</v>
      </c>
      <c r="J75" s="45" t="n">
        <f aca="false">IF(I75&gt;1,0,MAX(0,M0*(1-'G.data'!I75)*(1-beta*'G.data'!I75)))</f>
        <v>0</v>
      </c>
      <c r="K75" s="0" t="n">
        <f aca="false">MAX(0,MIN(Pcap,P0-g*'G.data'!H75))</f>
        <v>0</v>
      </c>
      <c r="M75" s="44" t="n">
        <f aca="false">M74+0.001</f>
        <v>0.0710000000000001</v>
      </c>
      <c r="N75" s="45" t="n">
        <f aca="false">MAX(0,K-(L0-Ldif*M75-alph*M75^0.5))</f>
        <v>8582.43540701504</v>
      </c>
      <c r="O75" s="43" t="n">
        <f aca="false">MIN(Pcap,MAX(0,P0-g*'G.data'!N75))</f>
        <v>0</v>
      </c>
      <c r="P75" s="45" t="n">
        <f aca="false">N75*P$1</f>
        <v>3152.3330244401</v>
      </c>
    </row>
    <row r="76" customFormat="false" ht="12.75" hidden="false" customHeight="false" outlineLevel="0" collapsed="false">
      <c r="G76" s="44" t="n">
        <f aca="false">G75+0.001</f>
        <v>0.0720000000000001</v>
      </c>
      <c r="H76" s="0" t="n">
        <f aca="false">G76*L0</f>
        <v>3600</v>
      </c>
      <c r="I76" s="52" t="n">
        <f aca="false">H76/R0</f>
        <v>1.02857142857143</v>
      </c>
      <c r="J76" s="45" t="n">
        <f aca="false">IF(I76&gt;1,0,MAX(0,M0*(1-'G.data'!I76)*(1-beta*'G.data'!I76)))</f>
        <v>0</v>
      </c>
      <c r="K76" s="0" t="n">
        <f aca="false">MAX(0,MIN(Pcap,P0-g*'G.data'!H76))</f>
        <v>0</v>
      </c>
      <c r="M76" s="44" t="n">
        <f aca="false">M75+0.001</f>
        <v>0.0720000000000001</v>
      </c>
      <c r="N76" s="45" t="n">
        <f aca="false">MAX(0,K-(L0-Ldif*M76-alph*M76^0.5))</f>
        <v>8629.1840422773</v>
      </c>
      <c r="O76" s="43" t="n">
        <f aca="false">MIN(Pcap,MAX(0,P0-g*'G.data'!N76))</f>
        <v>0</v>
      </c>
      <c r="P76" s="45" t="n">
        <f aca="false">N76*P$1</f>
        <v>3169.50382268045</v>
      </c>
    </row>
    <row r="77" customFormat="false" ht="12.75" hidden="false" customHeight="false" outlineLevel="0" collapsed="false">
      <c r="G77" s="44" t="n">
        <f aca="false">G76+0.001</f>
        <v>0.0730000000000001</v>
      </c>
      <c r="H77" s="0" t="n">
        <f aca="false">G77*L0</f>
        <v>3650</v>
      </c>
      <c r="I77" s="52" t="n">
        <f aca="false">H77/R0</f>
        <v>1.04285714285714</v>
      </c>
      <c r="J77" s="45" t="n">
        <f aca="false">IF(I77&gt;1,0,MAX(0,M0*(1-'G.data'!I77)*(1-beta*'G.data'!I77)))</f>
        <v>0</v>
      </c>
      <c r="K77" s="0" t="n">
        <f aca="false">MAX(0,MIN(Pcap,P0-g*'G.data'!H77))</f>
        <v>0</v>
      </c>
      <c r="M77" s="44" t="n">
        <f aca="false">M76+0.001</f>
        <v>0.0730000000000001</v>
      </c>
      <c r="N77" s="45" t="n">
        <f aca="false">MAX(0,K-(L0-Ldif*M77-alph*M77^0.5))</f>
        <v>8675.60915283107</v>
      </c>
      <c r="O77" s="43" t="n">
        <f aca="false">MIN(Pcap,MAX(0,P0-g*'G.data'!N77))</f>
        <v>0</v>
      </c>
      <c r="P77" s="45" t="n">
        <f aca="false">N77*P$1</f>
        <v>3186.55579012577</v>
      </c>
    </row>
    <row r="78" customFormat="false" ht="12.75" hidden="false" customHeight="false" outlineLevel="0" collapsed="false">
      <c r="G78" s="44" t="n">
        <f aca="false">G77+0.001</f>
        <v>0.0740000000000001</v>
      </c>
      <c r="H78" s="0" t="n">
        <f aca="false">G78*L0</f>
        <v>3700</v>
      </c>
      <c r="I78" s="52" t="n">
        <f aca="false">H78/R0</f>
        <v>1.05714285714286</v>
      </c>
      <c r="J78" s="45" t="n">
        <f aca="false">IF(I78&gt;1,0,MAX(0,M0*(1-'G.data'!I78)*(1-beta*'G.data'!I78)))</f>
        <v>0</v>
      </c>
      <c r="K78" s="0" t="n">
        <f aca="false">MAX(0,MIN(Pcap,P0-g*'G.data'!H78))</f>
        <v>0</v>
      </c>
      <c r="M78" s="44" t="n">
        <f aca="false">M77+0.001</f>
        <v>0.0740000000000001</v>
      </c>
      <c r="N78" s="45" t="n">
        <f aca="false">MAX(0,K-(L0-Ldif*M78-alph*M78^0.5))</f>
        <v>8721.71736414565</v>
      </c>
      <c r="O78" s="43" t="n">
        <f aca="false">MIN(Pcap,MAX(0,P0-g*'G.data'!N78))</f>
        <v>0</v>
      </c>
      <c r="P78" s="45" t="n">
        <f aca="false">N78*P$1</f>
        <v>3203.49136031439</v>
      </c>
    </row>
    <row r="79" customFormat="false" ht="12.75" hidden="false" customHeight="false" outlineLevel="0" collapsed="false">
      <c r="G79" s="44" t="n">
        <f aca="false">G78+0.001</f>
        <v>0.0750000000000001</v>
      </c>
      <c r="H79" s="0" t="n">
        <f aca="false">G79*L0</f>
        <v>3750</v>
      </c>
      <c r="I79" s="52" t="n">
        <f aca="false">H79/R0</f>
        <v>1.07142857142857</v>
      </c>
      <c r="J79" s="45" t="n">
        <f aca="false">IF(I79&gt;1,0,MAX(0,M0*(1-'G.data'!I79)*(1-beta*'G.data'!I79)))</f>
        <v>0</v>
      </c>
      <c r="K79" s="0" t="n">
        <f aca="false">MAX(0,MIN(Pcap,P0-g*'G.data'!H79))</f>
        <v>0</v>
      </c>
      <c r="M79" s="44" t="n">
        <f aca="false">M78+0.001</f>
        <v>0.0750000000000001</v>
      </c>
      <c r="N79" s="45" t="n">
        <f aca="false">MAX(0,K-(L0-Ldif*M79-alph*M79^0.5))</f>
        <v>8767.51507859251</v>
      </c>
      <c r="O79" s="43" t="n">
        <f aca="false">MIN(Pcap,MAX(0,P0-g*'G.data'!N79))</f>
        <v>0</v>
      </c>
      <c r="P79" s="45" t="n">
        <f aca="false">N79*P$1</f>
        <v>3220.31288484071</v>
      </c>
    </row>
    <row r="80" customFormat="false" ht="12.75" hidden="false" customHeight="false" outlineLevel="0" collapsed="false">
      <c r="G80" s="44" t="n">
        <f aca="false">G79+0.001</f>
        <v>0.0760000000000001</v>
      </c>
      <c r="H80" s="0" t="n">
        <f aca="false">G80*L0</f>
        <v>3800</v>
      </c>
      <c r="I80" s="52" t="n">
        <f aca="false">H80/R0</f>
        <v>1.08571428571429</v>
      </c>
      <c r="J80" s="45" t="n">
        <f aca="false">IF(I80&gt;1,0,MAX(0,M0*(1-'G.data'!I80)*(1-beta*'G.data'!I80)))</f>
        <v>0</v>
      </c>
      <c r="K80" s="0" t="n">
        <f aca="false">MAX(0,MIN(Pcap,P0-g*'G.data'!H80))</f>
        <v>0</v>
      </c>
      <c r="M80" s="44" t="n">
        <f aca="false">M79+0.001</f>
        <v>0.0760000000000001</v>
      </c>
      <c r="N80" s="45" t="n">
        <f aca="false">MAX(0,K-(L0-Ldif*M80-alph*M80^0.5))</f>
        <v>8813.00848582304</v>
      </c>
      <c r="O80" s="43" t="n">
        <f aca="false">MIN(Pcap,MAX(0,P0-g*'G.data'!N80))</f>
        <v>0</v>
      </c>
      <c r="P80" s="45" t="n">
        <f aca="false">N80*P$1</f>
        <v>3237.02263716695</v>
      </c>
    </row>
    <row r="81" customFormat="false" ht="12.75" hidden="false" customHeight="false" outlineLevel="0" collapsed="false">
      <c r="G81" s="44" t="n">
        <f aca="false">G80+0.001</f>
        <v>0.0770000000000001</v>
      </c>
      <c r="H81" s="0" t="n">
        <f aca="false">G81*L0</f>
        <v>3850</v>
      </c>
      <c r="I81" s="52" t="n">
        <f aca="false">H81/R0</f>
        <v>1.1</v>
      </c>
      <c r="J81" s="45" t="n">
        <f aca="false">IF(I81&gt;1,0,MAX(0,M0*(1-'G.data'!I81)*(1-beta*'G.data'!I81)))</f>
        <v>0</v>
      </c>
      <c r="K81" s="0" t="n">
        <f aca="false">MAX(0,MIN(Pcap,P0-g*'G.data'!H81))</f>
        <v>0</v>
      </c>
      <c r="M81" s="44" t="n">
        <f aca="false">M80+0.001</f>
        <v>0.0770000000000001</v>
      </c>
      <c r="N81" s="45" t="n">
        <f aca="false">MAX(0,K-(L0-Ldif*M81-alph*M81^0.5))</f>
        <v>8858.20357253373</v>
      </c>
      <c r="O81" s="43" t="n">
        <f aca="false">MIN(Pcap,MAX(0,P0-g*'G.data'!N81))</f>
        <v>0</v>
      </c>
      <c r="P81" s="45" t="n">
        <f aca="false">N81*P$1</f>
        <v>3253.62281620984</v>
      </c>
    </row>
    <row r="82" customFormat="false" ht="12.75" hidden="false" customHeight="false" outlineLevel="0" collapsed="false">
      <c r="G82" s="44" t="n">
        <f aca="false">G81+0.001</f>
        <v>0.0780000000000001</v>
      </c>
      <c r="H82" s="0" t="n">
        <f aca="false">G82*L0</f>
        <v>3900</v>
      </c>
      <c r="I82" s="52" t="n">
        <f aca="false">H82/R0</f>
        <v>1.11428571428572</v>
      </c>
      <c r="J82" s="45" t="n">
        <f aca="false">IF(I82&gt;1,0,MAX(0,M0*(1-'G.data'!I82)*(1-beta*'G.data'!I82)))</f>
        <v>0</v>
      </c>
      <c r="K82" s="0" t="n">
        <f aca="false">MAX(0,MIN(Pcap,P0-g*'G.data'!H82))</f>
        <v>0</v>
      </c>
      <c r="M82" s="44" t="n">
        <f aca="false">M81+0.001</f>
        <v>0.0780000000000001</v>
      </c>
      <c r="N82" s="45" t="n">
        <f aca="false">MAX(0,K-(L0-Ldif*M82-alph*M82^0.5))</f>
        <v>8903.1061316624</v>
      </c>
      <c r="O82" s="43" t="n">
        <f aca="false">MIN(Pcap,MAX(0,P0-g*'G.data'!N82))</f>
        <v>0</v>
      </c>
      <c r="P82" s="45" t="n">
        <f aca="false">N82*P$1</f>
        <v>3270.1155497185</v>
      </c>
    </row>
    <row r="83" customFormat="false" ht="12.75" hidden="false" customHeight="false" outlineLevel="0" collapsed="false">
      <c r="G83" s="44" t="n">
        <f aca="false">G82+0.001</f>
        <v>0.0790000000000001</v>
      </c>
      <c r="H83" s="0" t="n">
        <f aca="false">G83*L0</f>
        <v>3950</v>
      </c>
      <c r="I83" s="52" t="n">
        <f aca="false">H83/R0</f>
        <v>1.12857142857143</v>
      </c>
      <c r="J83" s="45" t="n">
        <f aca="false">IF(I83&gt;1,0,MAX(0,M0*(1-'G.data'!I83)*(1-beta*'G.data'!I83)))</f>
        <v>0</v>
      </c>
      <c r="K83" s="0" t="n">
        <f aca="false">MAX(0,MIN(Pcap,P0-g*'G.data'!H83))</f>
        <v>0</v>
      </c>
      <c r="M83" s="44" t="n">
        <f aca="false">M82+0.001</f>
        <v>0.0790000000000001</v>
      </c>
      <c r="N83" s="45" t="n">
        <f aca="false">MAX(0,K-(L0-Ldif*M83-alph*M83^0.5))</f>
        <v>8947.72177105553</v>
      </c>
      <c r="O83" s="43" t="n">
        <f aca="false">MIN(Pcap,MAX(0,P0-g*'G.data'!N83))</f>
        <v>0</v>
      </c>
      <c r="P83" s="45" t="n">
        <f aca="false">N83*P$1</f>
        <v>3286.50289745788</v>
      </c>
    </row>
    <row r="84" customFormat="false" ht="12.75" hidden="false" customHeight="false" outlineLevel="0" collapsed="false">
      <c r="G84" s="44" t="n">
        <f aca="false">G83+0.001</f>
        <v>0.0800000000000001</v>
      </c>
      <c r="H84" s="0" t="n">
        <f aca="false">G84*L0</f>
        <v>4000</v>
      </c>
      <c r="I84" s="52" t="n">
        <f aca="false">H84/R0</f>
        <v>1.14285714285714</v>
      </c>
      <c r="J84" s="45" t="n">
        <f aca="false">IF(I84&gt;1,0,MAX(0,M0*(1-'G.data'!I84)*(1-beta*'G.data'!I84)))</f>
        <v>0</v>
      </c>
      <c r="K84" s="0" t="n">
        <f aca="false">MAX(0,MIN(Pcap,P0-g*'G.data'!H84))</f>
        <v>0</v>
      </c>
      <c r="M84" s="44" t="n">
        <f aca="false">M83+0.001</f>
        <v>0.0800000000000001</v>
      </c>
      <c r="N84" s="45" t="n">
        <f aca="false">MAX(0,K-(L0-Ldif*M84-alph*M84^0.5))</f>
        <v>8992.05592164341</v>
      </c>
      <c r="O84" s="43" t="n">
        <f aca="false">MIN(Pcap,MAX(0,P0-g*'G.data'!N84))</f>
        <v>0</v>
      </c>
      <c r="P84" s="45" t="n">
        <f aca="false">N84*P$1</f>
        <v>3302.78685421151</v>
      </c>
    </row>
    <row r="85" customFormat="false" ht="12.75" hidden="false" customHeight="false" outlineLevel="0" collapsed="false">
      <c r="G85" s="44" t="n">
        <f aca="false">G84+0.001</f>
        <v>0.0810000000000001</v>
      </c>
      <c r="H85" s="0" t="n">
        <f aca="false">G85*L0</f>
        <v>4050</v>
      </c>
      <c r="I85" s="52" t="n">
        <f aca="false">H85/R0</f>
        <v>1.15714285714286</v>
      </c>
      <c r="J85" s="45" t="n">
        <f aca="false">IF(I85&gt;1,0,MAX(0,M0*(1-'G.data'!I85)*(1-beta*'G.data'!I85)))</f>
        <v>0</v>
      </c>
      <c r="K85" s="0" t="n">
        <f aca="false">MAX(0,MIN(Pcap,P0-g*'G.data'!H85))</f>
        <v>0</v>
      </c>
      <c r="M85" s="44" t="n">
        <f aca="false">M84+0.001</f>
        <v>0.0810000000000001</v>
      </c>
      <c r="N85" s="45" t="n">
        <f aca="false">MAX(0,K-(L0-Ldif*M85-alph*M85^0.5))</f>
        <v>9036.11384515678</v>
      </c>
      <c r="O85" s="43" t="n">
        <f aca="false">MIN(Pcap,MAX(0,P0-g*'G.data'!N85))</f>
        <v>0</v>
      </c>
      <c r="P85" s="45" t="n">
        <f aca="false">N85*P$1</f>
        <v>3318.96935261586</v>
      </c>
    </row>
    <row r="86" customFormat="false" ht="12.75" hidden="false" customHeight="false" outlineLevel="0" collapsed="false">
      <c r="G86" s="44" t="n">
        <f aca="false">G85+0.001</f>
        <v>0.0820000000000001</v>
      </c>
      <c r="H86" s="0" t="n">
        <f aca="false">G86*L0</f>
        <v>4100</v>
      </c>
      <c r="I86" s="52" t="n">
        <f aca="false">H86/R0</f>
        <v>1.17142857142857</v>
      </c>
      <c r="J86" s="45" t="n">
        <f aca="false">IF(I86&gt;1,0,MAX(0,M0*(1-'G.data'!I86)*(1-beta*'G.data'!I86)))</f>
        <v>0</v>
      </c>
      <c r="K86" s="0" t="n">
        <f aca="false">MAX(0,MIN(Pcap,P0-g*'G.data'!H86))</f>
        <v>0</v>
      </c>
      <c r="M86" s="44" t="n">
        <f aca="false">M85+0.001</f>
        <v>0.0820000000000001</v>
      </c>
      <c r="N86" s="45" t="n">
        <f aca="false">MAX(0,K-(L0-Ldif*M86-alph*M86^0.5))</f>
        <v>9079.90064141611</v>
      </c>
      <c r="O86" s="43" t="n">
        <f aca="false">MIN(Pcap,MAX(0,P0-g*'G.data'!N86))</f>
        <v>0</v>
      </c>
      <c r="P86" s="45" t="n">
        <f aca="false">N86*P$1</f>
        <v>3335.05226583766</v>
      </c>
    </row>
    <row r="87" customFormat="false" ht="12.75" hidden="false" customHeight="false" outlineLevel="0" collapsed="false">
      <c r="G87" s="44" t="n">
        <f aca="false">G86+0.001</f>
        <v>0.0830000000000001</v>
      </c>
      <c r="H87" s="0" t="n">
        <f aca="false">G87*L0</f>
        <v>4150</v>
      </c>
      <c r="I87" s="52" t="n">
        <f aca="false">H87/R0</f>
        <v>1.18571428571429</v>
      </c>
      <c r="J87" s="45" t="n">
        <f aca="false">IF(I87&gt;1,0,MAX(0,M0*(1-'G.data'!I87)*(1-beta*'G.data'!I87)))</f>
        <v>0</v>
      </c>
      <c r="K87" s="0" t="n">
        <f aca="false">MAX(0,MIN(Pcap,P0-g*'G.data'!H87))</f>
        <v>0</v>
      </c>
      <c r="M87" s="44" t="n">
        <f aca="false">M86+0.001</f>
        <v>0.0830000000000001</v>
      </c>
      <c r="N87" s="45" t="n">
        <f aca="false">MAX(0,K-(L0-Ldif*M87-alph*M87^0.5))</f>
        <v>9123.4212552219</v>
      </c>
      <c r="O87" s="43" t="n">
        <f aca="false">MIN(Pcap,MAX(0,P0-g*'G.data'!N87))</f>
        <v>0</v>
      </c>
      <c r="P87" s="45" t="n">
        <f aca="false">N87*P$1</f>
        <v>3351.03741010472</v>
      </c>
    </row>
    <row r="88" customFormat="false" ht="12.75" hidden="false" customHeight="false" outlineLevel="0" collapsed="false">
      <c r="G88" s="44" t="n">
        <f aca="false">G87+0.001</f>
        <v>0.0840000000000001</v>
      </c>
      <c r="H88" s="0" t="n">
        <f aca="false">G88*L0</f>
        <v>4200</v>
      </c>
      <c r="I88" s="52" t="n">
        <f aca="false">H88/R0</f>
        <v>1.2</v>
      </c>
      <c r="J88" s="45" t="n">
        <f aca="false">IF(I88&gt;1,0,MAX(0,M0*(1-'G.data'!I88)*(1-beta*'G.data'!I88)))</f>
        <v>0</v>
      </c>
      <c r="K88" s="0" t="n">
        <f aca="false">MAX(0,MIN(Pcap,P0-g*'G.data'!H88))</f>
        <v>0</v>
      </c>
      <c r="M88" s="44" t="n">
        <f aca="false">M87+0.001</f>
        <v>0.0840000000000001</v>
      </c>
      <c r="N88" s="45" t="n">
        <f aca="false">MAX(0,K-(L0-Ldif*M88-alph*M88^0.5))</f>
        <v>9166.68048287265</v>
      </c>
      <c r="O88" s="43" t="n">
        <f aca="false">MIN(Pcap,MAX(0,P0-g*'G.data'!N88))</f>
        <v>0</v>
      </c>
      <c r="P88" s="45" t="n">
        <f aca="false">N88*P$1</f>
        <v>3366.92654710001</v>
      </c>
    </row>
    <row r="89" customFormat="false" ht="12.75" hidden="false" customHeight="false" outlineLevel="0" collapsed="false">
      <c r="G89" s="44" t="n">
        <f aca="false">G88+0.001</f>
        <v>0.0850000000000001</v>
      </c>
      <c r="H89" s="0" t="n">
        <f aca="false">G89*L0</f>
        <v>4250</v>
      </c>
      <c r="I89" s="52" t="n">
        <f aca="false">H89/R0</f>
        <v>1.21428571428571</v>
      </c>
      <c r="J89" s="45" t="n">
        <f aca="false">IF(I89&gt;1,0,MAX(0,M0*(1-'G.data'!I89)*(1-beta*'G.data'!I89)))</f>
        <v>0</v>
      </c>
      <c r="K89" s="0" t="n">
        <f aca="false">MAX(0,MIN(Pcap,P0-g*'G.data'!H89))</f>
        <v>0</v>
      </c>
      <c r="M89" s="44" t="n">
        <f aca="false">M88+0.001</f>
        <v>0.0850000000000001</v>
      </c>
      <c r="N89" s="45" t="n">
        <f aca="false">MAX(0,K-(L0-Ldif*M89-alph*M89^0.5))</f>
        <v>9209.68297833455</v>
      </c>
      <c r="O89" s="43" t="n">
        <f aca="false">MIN(Pcap,MAX(0,P0-g*'G.data'!N89))</f>
        <v>0</v>
      </c>
      <c r="P89" s="45" t="n">
        <f aca="false">N89*P$1</f>
        <v>3382.72138622773</v>
      </c>
    </row>
    <row r="90" customFormat="false" ht="12.75" hidden="false" customHeight="false" outlineLevel="0" collapsed="false">
      <c r="G90" s="44" t="n">
        <f aca="false">G89+0.001</f>
        <v>0.0860000000000001</v>
      </c>
      <c r="H90" s="0" t="n">
        <f aca="false">G90*L0</f>
        <v>4300</v>
      </c>
      <c r="I90" s="52" t="n">
        <f aca="false">H90/R0</f>
        <v>1.22857142857143</v>
      </c>
      <c r="J90" s="45" t="n">
        <f aca="false">IF(I90&gt;1,0,MAX(0,M0*(1-'G.data'!I90)*(1-beta*'G.data'!I90)))</f>
        <v>0</v>
      </c>
      <c r="K90" s="0" t="n">
        <f aca="false">MAX(0,MIN(Pcap,P0-g*'G.data'!H90))</f>
        <v>0</v>
      </c>
      <c r="M90" s="44" t="n">
        <f aca="false">M89+0.001</f>
        <v>0.0860000000000001</v>
      </c>
      <c r="N90" s="45" t="n">
        <f aca="false">MAX(0,K-(L0-Ldif*M90-alph*M90^0.5))</f>
        <v>9252.43325908553</v>
      </c>
      <c r="O90" s="43" t="n">
        <f aca="false">MIN(Pcap,MAX(0,P0-g*'G.data'!N90))</f>
        <v>0</v>
      </c>
      <c r="P90" s="45" t="n">
        <f aca="false">N90*P$1</f>
        <v>3398.4235867599</v>
      </c>
    </row>
    <row r="91" customFormat="false" ht="12.75" hidden="false" customHeight="false" outlineLevel="0" collapsed="false">
      <c r="G91" s="44" t="n">
        <f aca="false">G90+0.001</f>
        <v>0.0870000000000001</v>
      </c>
      <c r="H91" s="0" t="n">
        <f aca="false">G91*L0</f>
        <v>4350</v>
      </c>
      <c r="I91" s="52" t="n">
        <f aca="false">H91/R0</f>
        <v>1.24285714285714</v>
      </c>
      <c r="J91" s="45" t="n">
        <f aca="false">IF(I91&gt;1,0,MAX(0,M0*(1-'G.data'!I91)*(1-beta*'G.data'!I91)))</f>
        <v>0</v>
      </c>
      <c r="K91" s="0" t="n">
        <f aca="false">MAX(0,MIN(Pcap,P0-g*'G.data'!H91))</f>
        <v>0</v>
      </c>
      <c r="M91" s="44" t="n">
        <f aca="false">M90+0.001</f>
        <v>0.0870000000000001</v>
      </c>
      <c r="N91" s="45" t="n">
        <f aca="false">MAX(0,K-(L0-Ldif*M91-alph*M91^0.5))</f>
        <v>9294.93571165424</v>
      </c>
      <c r="O91" s="43" t="n">
        <f aca="false">MIN(Pcap,MAX(0,P0-g*'G.data'!N91))</f>
        <v>0</v>
      </c>
      <c r="P91" s="45" t="n">
        <f aca="false">N91*P$1</f>
        <v>3414.03475987081</v>
      </c>
    </row>
    <row r="92" customFormat="false" ht="12.75" hidden="false" customHeight="false" outlineLevel="0" collapsed="false">
      <c r="G92" s="44" t="n">
        <f aca="false">G91+0.001</f>
        <v>0.0880000000000001</v>
      </c>
      <c r="H92" s="0" t="n">
        <f aca="false">G92*L0</f>
        <v>4400</v>
      </c>
      <c r="I92" s="52" t="n">
        <f aca="false">H92/R0</f>
        <v>1.25714285714286</v>
      </c>
      <c r="J92" s="45" t="n">
        <f aca="false">IF(I92&gt;1,0,MAX(0,M0*(1-'G.data'!I92)*(1-beta*'G.data'!I92)))</f>
        <v>0</v>
      </c>
      <c r="K92" s="0" t="n">
        <f aca="false">MAX(0,MIN(Pcap,P0-g*'G.data'!H92))</f>
        <v>0</v>
      </c>
      <c r="M92" s="44" t="n">
        <f aca="false">M91+0.001</f>
        <v>0.0880000000000001</v>
      </c>
      <c r="N92" s="45" t="n">
        <f aca="false">MAX(0,K-(L0-Ldif*M92-alph*M92^0.5))</f>
        <v>9337.1945968736</v>
      </c>
      <c r="O92" s="43" t="n">
        <f aca="false">MIN(Pcap,MAX(0,P0-g*'G.data'!N92))</f>
        <v>0</v>
      </c>
      <c r="P92" s="45" t="n">
        <f aca="false">N92*P$1</f>
        <v>3429.5564705666</v>
      </c>
    </row>
    <row r="93" customFormat="false" ht="12.75" hidden="false" customHeight="false" outlineLevel="0" collapsed="false">
      <c r="G93" s="44" t="n">
        <f aca="false">G92+0.001</f>
        <v>0.0890000000000001</v>
      </c>
      <c r="H93" s="0" t="n">
        <f aca="false">G93*L0</f>
        <v>4450</v>
      </c>
      <c r="I93" s="52" t="n">
        <f aca="false">H93/R0</f>
        <v>1.27142857142857</v>
      </c>
      <c r="J93" s="45" t="n">
        <f aca="false">IF(I93&gt;1,0,MAX(0,M0*(1-'G.data'!I93)*(1-beta*'G.data'!I93)))</f>
        <v>0</v>
      </c>
      <c r="K93" s="0" t="n">
        <f aca="false">MAX(0,MIN(Pcap,P0-g*'G.data'!H93))</f>
        <v>0</v>
      </c>
      <c r="M93" s="44" t="n">
        <f aca="false">M92+0.001</f>
        <v>0.0890000000000001</v>
      </c>
      <c r="N93" s="45" t="n">
        <f aca="false">MAX(0,K-(L0-Ldif*M93-alph*M93^0.5))</f>
        <v>9379.21405486608</v>
      </c>
      <c r="O93" s="43" t="n">
        <f aca="false">MIN(Pcap,MAX(0,P0-g*'G.data'!N93))</f>
        <v>0</v>
      </c>
      <c r="P93" s="45" t="n">
        <f aca="false">N93*P$1</f>
        <v>3444.99023951644</v>
      </c>
    </row>
    <row r="94" customFormat="false" ht="12.75" hidden="false" customHeight="false" outlineLevel="0" collapsed="false">
      <c r="G94" s="44" t="n">
        <f aca="false">G93+0.001</f>
        <v>0.0900000000000001</v>
      </c>
      <c r="H94" s="0" t="n">
        <f aca="false">G94*L0</f>
        <v>4500</v>
      </c>
      <c r="I94" s="52" t="n">
        <f aca="false">H94/R0</f>
        <v>1.28571428571429</v>
      </c>
      <c r="J94" s="45" t="n">
        <f aca="false">IF(I94&gt;1,0,MAX(0,M0*(1-'G.data'!I94)*(1-beta*'G.data'!I94)))</f>
        <v>0</v>
      </c>
      <c r="K94" s="0" t="n">
        <f aca="false">MAX(0,MIN(Pcap,P0-g*'G.data'!H94))</f>
        <v>0</v>
      </c>
      <c r="M94" s="44" t="n">
        <f aca="false">M93+0.001</f>
        <v>0.0900000000000001</v>
      </c>
      <c r="N94" s="45" t="n">
        <f aca="false">MAX(0,K-(L0-Ldif*M94-alph*M94^0.5))</f>
        <v>9420.99810977792</v>
      </c>
      <c r="O94" s="43" t="n">
        <f aca="false">MIN(Pcap,MAX(0,P0-g*'G.data'!N94))</f>
        <v>0</v>
      </c>
      <c r="P94" s="45" t="n">
        <f aca="false">N94*P$1</f>
        <v>3460.33754479134</v>
      </c>
    </row>
    <row r="95" customFormat="false" ht="12.75" hidden="false" customHeight="false" outlineLevel="0" collapsed="false">
      <c r="G95" s="44" t="n">
        <f aca="false">G94+0.001</f>
        <v>0.0910000000000001</v>
      </c>
      <c r="H95" s="0" t="n">
        <f aca="false">G95*L0</f>
        <v>4550</v>
      </c>
      <c r="I95" s="52" t="n">
        <f aca="false">H95/R0</f>
        <v>1.3</v>
      </c>
      <c r="J95" s="45" t="n">
        <f aca="false">IF(I95&gt;1,0,MAX(0,M0*(1-'G.data'!I95)*(1-beta*'G.data'!I95)))</f>
        <v>0</v>
      </c>
      <c r="K95" s="0" t="n">
        <f aca="false">MAX(0,MIN(Pcap,P0-g*'G.data'!H95))</f>
        <v>0</v>
      </c>
      <c r="M95" s="44" t="n">
        <f aca="false">M94+0.001</f>
        <v>0.0910000000000001</v>
      </c>
      <c r="N95" s="45" t="n">
        <f aca="false">MAX(0,K-(L0-Ldif*M95-alph*M95^0.5))</f>
        <v>9462.55067427711</v>
      </c>
      <c r="O95" s="43" t="n">
        <f aca="false">MIN(Pcap,MAX(0,P0-g*'G.data'!N95))</f>
        <v>0</v>
      </c>
      <c r="P95" s="45" t="n">
        <f aca="false">N95*P$1</f>
        <v>3475.59982351632</v>
      </c>
    </row>
    <row r="96" customFormat="false" ht="12.75" hidden="false" customHeight="false" outlineLevel="0" collapsed="false">
      <c r="G96" s="44" t="n">
        <f aca="false">G95+0.001</f>
        <v>0.0920000000000001</v>
      </c>
      <c r="H96" s="0" t="n">
        <f aca="false">G96*L0</f>
        <v>4600</v>
      </c>
      <c r="I96" s="52" t="n">
        <f aca="false">H96/R0</f>
        <v>1.31428571428572</v>
      </c>
      <c r="J96" s="45" t="n">
        <f aca="false">IF(I96&gt;1,0,MAX(0,M0*(1-'G.data'!I96)*(1-beta*'G.data'!I96)))</f>
        <v>0</v>
      </c>
      <c r="K96" s="0" t="n">
        <f aca="false">MAX(0,MIN(Pcap,P0-g*'G.data'!H96))</f>
        <v>0</v>
      </c>
      <c r="M96" s="44" t="n">
        <f aca="false">M95+0.001</f>
        <v>0.0920000000000001</v>
      </c>
      <c r="N96" s="45" t="n">
        <f aca="false">MAX(0,K-(L0-Ldif*M96-alph*M96^0.5))</f>
        <v>9503.87555382948</v>
      </c>
      <c r="O96" s="43" t="n">
        <f aca="false">MIN(Pcap,MAX(0,P0-g*'G.data'!N96))</f>
        <v>0</v>
      </c>
      <c r="P96" s="45" t="n">
        <f aca="false">N96*P$1</f>
        <v>3490.77847344096</v>
      </c>
    </row>
    <row r="97" customFormat="false" ht="12.75" hidden="false" customHeight="false" outlineLevel="0" collapsed="false">
      <c r="G97" s="44" t="n">
        <f aca="false">G96+0.001</f>
        <v>0.0930000000000001</v>
      </c>
      <c r="H97" s="0" t="n">
        <f aca="false">G97*L0</f>
        <v>4650</v>
      </c>
      <c r="I97" s="52" t="n">
        <f aca="false">H97/R0</f>
        <v>1.32857142857143</v>
      </c>
      <c r="J97" s="45" t="n">
        <f aca="false">IF(I97&gt;1,0,MAX(0,M0*(1-'G.data'!I97)*(1-beta*'G.data'!I97)))</f>
        <v>0</v>
      </c>
      <c r="K97" s="0" t="n">
        <f aca="false">MAX(0,MIN(Pcap,P0-g*'G.data'!H97))</f>
        <v>0</v>
      </c>
      <c r="M97" s="44" t="n">
        <f aca="false">M96+0.001</f>
        <v>0.0930000000000001</v>
      </c>
      <c r="N97" s="45" t="n">
        <f aca="false">MAX(0,K-(L0-Ldif*M97-alph*M97^0.5))</f>
        <v>9544.97645076639</v>
      </c>
      <c r="O97" s="43" t="n">
        <f aca="false">MIN(Pcap,MAX(0,P0-g*'G.data'!N97))</f>
        <v>0</v>
      </c>
      <c r="P97" s="45" t="n">
        <f aca="false">N97*P$1</f>
        <v>3505.87485443352</v>
      </c>
    </row>
    <row r="98" customFormat="false" ht="12.75" hidden="false" customHeight="false" outlineLevel="0" collapsed="false">
      <c r="G98" s="44" t="n">
        <f aca="false">G97+0.001</f>
        <v>0.0940000000000001</v>
      </c>
      <c r="H98" s="0" t="n">
        <f aca="false">G98*L0</f>
        <v>4700</v>
      </c>
      <c r="I98" s="52" t="n">
        <f aca="false">H98/R0</f>
        <v>1.34285714285714</v>
      </c>
      <c r="J98" s="45" t="n">
        <f aca="false">IF(I98&gt;1,0,MAX(0,M0*(1-'G.data'!I98)*(1-beta*'G.data'!I98)))</f>
        <v>0</v>
      </c>
      <c r="K98" s="0" t="n">
        <f aca="false">MAX(0,MIN(Pcap,P0-g*'G.data'!H98))</f>
        <v>0</v>
      </c>
      <c r="M98" s="44" t="n">
        <f aca="false">M97+0.001</f>
        <v>0.0940000000000001</v>
      </c>
      <c r="N98" s="45" t="n">
        <f aca="false">MAX(0,K-(L0-Ldif*M98-alph*M98^0.5))</f>
        <v>9585.85696815587</v>
      </c>
      <c r="O98" s="43" t="n">
        <f aca="false">MIN(Pcap,MAX(0,P0-g*'G.data'!N98))</f>
        <v>0</v>
      </c>
      <c r="P98" s="45" t="n">
        <f aca="false">N98*P$1</f>
        <v>3520.89028990277</v>
      </c>
    </row>
    <row r="99" customFormat="false" ht="12.75" hidden="false" customHeight="false" outlineLevel="0" collapsed="false">
      <c r="G99" s="44" t="n">
        <f aca="false">G98+0.001</f>
        <v>0.0950000000000001</v>
      </c>
      <c r="H99" s="0" t="n">
        <f aca="false">G99*L0</f>
        <v>4750</v>
      </c>
      <c r="I99" s="52" t="n">
        <f aca="false">H99/R0</f>
        <v>1.35714285714286</v>
      </c>
      <c r="J99" s="45" t="n">
        <f aca="false">IF(I99&gt;1,0,MAX(0,M0*(1-'G.data'!I99)*(1-beta*'G.data'!I99)))</f>
        <v>0</v>
      </c>
      <c r="K99" s="0" t="n">
        <f aca="false">MAX(0,MIN(Pcap,P0-g*'G.data'!H99))</f>
        <v>0</v>
      </c>
      <c r="M99" s="44" t="n">
        <f aca="false">M98+0.001</f>
        <v>0.0950000000000001</v>
      </c>
      <c r="N99" s="45" t="n">
        <f aca="false">MAX(0,K-(L0-Ldif*M99-alph*M99^0.5))</f>
        <v>9626.52061348915</v>
      </c>
      <c r="O99" s="43" t="n">
        <f aca="false">MIN(Pcap,MAX(0,P0-g*'G.data'!N99))</f>
        <v>0</v>
      </c>
      <c r="P99" s="45" t="n">
        <f aca="false">N99*P$1</f>
        <v>3535.82606815208</v>
      </c>
    </row>
    <row r="100" customFormat="false" ht="12.75" hidden="false" customHeight="false" outlineLevel="0" collapsed="false">
      <c r="G100" s="44" t="n">
        <f aca="false">G99+0.001</f>
        <v>0.0960000000000001</v>
      </c>
      <c r="H100" s="0" t="n">
        <f aca="false">G100*L0</f>
        <v>4800</v>
      </c>
      <c r="I100" s="52" t="n">
        <f aca="false">H100/R0</f>
        <v>1.37142857142857</v>
      </c>
      <c r="J100" s="45" t="n">
        <f aca="false">IF(I100&gt;1,0,MAX(0,M0*(1-'G.data'!I100)*(1-beta*'G.data'!I100)))</f>
        <v>0</v>
      </c>
      <c r="K100" s="0" t="n">
        <f aca="false">MAX(0,MIN(Pcap,P0-g*'G.data'!H100))</f>
        <v>0</v>
      </c>
      <c r="M100" s="44" t="n">
        <f aca="false">M99+0.001</f>
        <v>0.0960000000000001</v>
      </c>
      <c r="N100" s="45" t="n">
        <f aca="false">MAX(0,K-(L0-Ldif*M100-alph*M100^0.5))</f>
        <v>9666.97080219277</v>
      </c>
      <c r="O100" s="43" t="n">
        <f aca="false">MIN(Pcap,MAX(0,P0-g*'G.data'!N100))</f>
        <v>0</v>
      </c>
      <c r="P100" s="45" t="n">
        <f aca="false">N100*P$1</f>
        <v>3550.68344366941</v>
      </c>
    </row>
    <row r="101" customFormat="false" ht="12.75" hidden="false" customHeight="false" outlineLevel="0" collapsed="false">
      <c r="G101" s="44" t="n">
        <f aca="false">G100+0.001</f>
        <v>0.0970000000000001</v>
      </c>
      <c r="H101" s="0" t="n">
        <f aca="false">G101*L0</f>
        <v>4850</v>
      </c>
      <c r="I101" s="52" t="n">
        <f aca="false">H101/R0</f>
        <v>1.38571428571429</v>
      </c>
      <c r="J101" s="45" t="n">
        <f aca="false">IF(I101&gt;1,0,MAX(0,M0*(1-'G.data'!I101)*(1-beta*'G.data'!I101)))</f>
        <v>0</v>
      </c>
      <c r="K101" s="0" t="n">
        <f aca="false">MAX(0,MIN(Pcap,P0-g*'G.data'!H101))</f>
        <v>0</v>
      </c>
      <c r="M101" s="44" t="n">
        <f aca="false">M100+0.001</f>
        <v>0.0970000000000001</v>
      </c>
      <c r="N101" s="45" t="n">
        <f aca="false">MAX(0,K-(L0-Ldif*M101-alph*M101^0.5))</f>
        <v>9707.21086097665</v>
      </c>
      <c r="O101" s="43" t="n">
        <f aca="false">MIN(Pcap,MAX(0,P0-g*'G.data'!N101))</f>
        <v>0</v>
      </c>
      <c r="P101" s="45" t="n">
        <f aca="false">N101*P$1</f>
        <v>3565.46363835706</v>
      </c>
    </row>
    <row r="102" customFormat="false" ht="12.75" hidden="false" customHeight="false" outlineLevel="0" collapsed="false">
      <c r="G102" s="44" t="n">
        <f aca="false">G101+0.001</f>
        <v>0.0980000000000001</v>
      </c>
      <c r="H102" s="0" t="n">
        <f aca="false">G102*L0</f>
        <v>4900</v>
      </c>
      <c r="I102" s="52" t="n">
        <f aca="false">H102/R0</f>
        <v>1.4</v>
      </c>
      <c r="J102" s="45" t="n">
        <f aca="false">IF(I102&gt;1,0,MAX(0,M0*(1-'G.data'!I102)*(1-beta*'G.data'!I102)))</f>
        <v>0</v>
      </c>
      <c r="K102" s="0" t="n">
        <f aca="false">MAX(0,MIN(Pcap,P0-g*'G.data'!H102))</f>
        <v>0</v>
      </c>
      <c r="M102" s="44" t="n">
        <f aca="false">M101+0.001</f>
        <v>0.0980000000000001</v>
      </c>
      <c r="N102" s="45" t="n">
        <f aca="false">MAX(0,K-(L0-Ldif*M102-alph*M102^0.5))</f>
        <v>9747.24403102719</v>
      </c>
      <c r="O102" s="43" t="n">
        <f aca="false">MIN(Pcap,MAX(0,P0-g*'G.data'!N102))</f>
        <v>0</v>
      </c>
      <c r="P102" s="45" t="n">
        <f aca="false">N102*P$1</f>
        <v>3580.16784270449</v>
      </c>
    </row>
    <row r="103" customFormat="false" ht="12.75" hidden="false" customHeight="false" outlineLevel="0" collapsed="false">
      <c r="G103" s="44" t="n">
        <f aca="false">G102+0.001</f>
        <v>0.0990000000000001</v>
      </c>
      <c r="H103" s="0" t="n">
        <f aca="false">G103*L0</f>
        <v>4950</v>
      </c>
      <c r="I103" s="52" t="n">
        <f aca="false">H103/R0</f>
        <v>1.41428571428572</v>
      </c>
      <c r="J103" s="45" t="n">
        <f aca="false">IF(I103&gt;1,0,MAX(0,M0*(1-'G.data'!I103)*(1-beta*'G.data'!I103)))</f>
        <v>0</v>
      </c>
      <c r="K103" s="0" t="n">
        <f aca="false">MAX(0,MIN(Pcap,P0-g*'G.data'!H103))</f>
        <v>0</v>
      </c>
      <c r="M103" s="44" t="n">
        <f aca="false">M102+0.001</f>
        <v>0.0990000000000001</v>
      </c>
      <c r="N103" s="45" t="n">
        <f aca="false">MAX(0,K-(L0-Ldif*M103-alph*M103^0.5))</f>
        <v>9787.07347105407</v>
      </c>
      <c r="O103" s="43" t="n">
        <f aca="false">MIN(Pcap,MAX(0,P0-g*'G.data'!N103))</f>
        <v>0</v>
      </c>
      <c r="P103" s="45" t="n">
        <f aca="false">N103*P$1</f>
        <v>3594.79721690742</v>
      </c>
    </row>
    <row r="104" customFormat="false" ht="12.75" hidden="false" customHeight="false" outlineLevel="0" collapsed="false">
      <c r="G104" s="44" t="n">
        <f aca="false">G103+0.001</f>
        <v>0.1</v>
      </c>
      <c r="H104" s="0" t="n">
        <f aca="false">G104*L0</f>
        <v>5000</v>
      </c>
      <c r="I104" s="52" t="n">
        <f aca="false">H104/R0</f>
        <v>1.42857142857143</v>
      </c>
      <c r="J104" s="45" t="n">
        <f aca="false">IF(I104&gt;1,0,MAX(0,M0*(1-'G.data'!I104)*(1-beta*'G.data'!I104)))</f>
        <v>0</v>
      </c>
      <c r="K104" s="0" t="n">
        <f aca="false">MAX(0,MIN(Pcap,P0-g*'G.data'!H104))</f>
        <v>0</v>
      </c>
      <c r="M104" s="44" t="n">
        <f aca="false">M103+0.001</f>
        <v>0.1</v>
      </c>
      <c r="N104" s="45" t="n">
        <f aca="false">MAX(0,K-(L0-Ldif*M104-alph*M104^0.5))</f>
        <v>9826.70226019888</v>
      </c>
      <c r="O104" s="43" t="n">
        <f aca="false">MIN(Pcap,MAX(0,P0-g*'G.data'!N104))</f>
        <v>0</v>
      </c>
      <c r="P104" s="45" t="n">
        <f aca="false">N104*P$1</f>
        <v>3609.35289193617</v>
      </c>
    </row>
    <row r="105" customFormat="false" ht="12.75" hidden="false" customHeight="false" outlineLevel="0" collapsed="false">
      <c r="G105" s="44" t="n">
        <f aca="false">G104+0.001</f>
        <v>0.101</v>
      </c>
      <c r="H105" s="0" t="n">
        <f aca="false">G105*L0</f>
        <v>5050</v>
      </c>
      <c r="I105" s="52" t="n">
        <f aca="false">H105/R0</f>
        <v>1.44285714285714</v>
      </c>
      <c r="J105" s="45" t="n">
        <f aca="false">IF(I105&gt;1,0,MAX(0,M0*(1-'G.data'!I105)*(1-beta*'G.data'!I105)))</f>
        <v>0</v>
      </c>
      <c r="K105" s="0" t="n">
        <f aca="false">MAX(0,MIN(Pcap,P0-g*'G.data'!H105))</f>
        <v>0</v>
      </c>
      <c r="N105" s="45"/>
      <c r="P105" s="45"/>
    </row>
    <row r="106" customFormat="false" ht="12.75" hidden="false" customHeight="false" outlineLevel="0" collapsed="false">
      <c r="G106" s="44" t="n">
        <f aca="false">G105+0.001</f>
        <v>0.102</v>
      </c>
      <c r="H106" s="0" t="n">
        <f aca="false">G106*L0</f>
        <v>5100</v>
      </c>
      <c r="I106" s="52" t="n">
        <f aca="false">H106/R0</f>
        <v>1.45714285714286</v>
      </c>
      <c r="J106" s="45" t="n">
        <f aca="false">IF(I106&gt;1,0,MAX(0,M0*(1-'G.data'!I106)*(1-beta*'G.data'!I106)))</f>
        <v>0</v>
      </c>
      <c r="K106" s="0" t="n">
        <f aca="false">MAX(0,MIN(Pcap,P0-g*'G.data'!H106))</f>
        <v>0</v>
      </c>
      <c r="N106" s="45"/>
      <c r="P106" s="45"/>
    </row>
    <row r="107" customFormat="false" ht="12.75" hidden="false" customHeight="false" outlineLevel="0" collapsed="false">
      <c r="G107" s="44" t="n">
        <f aca="false">G106+0.001</f>
        <v>0.103</v>
      </c>
      <c r="H107" s="0" t="n">
        <f aca="false">G107*L0</f>
        <v>5150</v>
      </c>
      <c r="I107" s="52" t="n">
        <f aca="false">H107/R0</f>
        <v>1.47142857142857</v>
      </c>
      <c r="J107" s="45" t="n">
        <f aca="false">IF(I107&gt;1,0,MAX(0,M0*(1-'G.data'!I107)*(1-beta*'G.data'!I107)))</f>
        <v>0</v>
      </c>
      <c r="K107" s="0" t="n">
        <f aca="false">MAX(0,MIN(Pcap,P0-g*'G.data'!H107))</f>
        <v>0</v>
      </c>
      <c r="N107" s="45"/>
      <c r="P107" s="45"/>
    </row>
    <row r="108" customFormat="false" ht="12.75" hidden="false" customHeight="false" outlineLevel="0" collapsed="false">
      <c r="G108" s="44" t="n">
        <f aca="false">G107+0.001</f>
        <v>0.104</v>
      </c>
      <c r="H108" s="0" t="n">
        <f aca="false">G108*L0</f>
        <v>5200</v>
      </c>
      <c r="I108" s="52" t="n">
        <f aca="false">H108/R0</f>
        <v>1.48571428571429</v>
      </c>
      <c r="J108" s="45" t="n">
        <f aca="false">IF(I108&gt;1,0,MAX(0,M0*(1-'G.data'!I108)*(1-beta*'G.data'!I108)))</f>
        <v>0</v>
      </c>
      <c r="K108" s="0" t="n">
        <f aca="false">MAX(0,MIN(Pcap,P0-g*'G.data'!H108))</f>
        <v>0</v>
      </c>
      <c r="N108" s="45"/>
      <c r="P108" s="45"/>
    </row>
    <row r="109" customFormat="false" ht="12.75" hidden="false" customHeight="false" outlineLevel="0" collapsed="false">
      <c r="G109" s="44" t="n">
        <f aca="false">G108+0.001</f>
        <v>0.105</v>
      </c>
      <c r="H109" s="0" t="n">
        <f aca="false">G109*L0</f>
        <v>5250</v>
      </c>
      <c r="I109" s="52" t="n">
        <f aca="false">H109/R0</f>
        <v>1.5</v>
      </c>
      <c r="J109" s="45" t="n">
        <f aca="false">IF(I109&gt;1,0,MAX(0,M0*(1-'G.data'!I109)*(1-beta*'G.data'!I109)))</f>
        <v>0</v>
      </c>
      <c r="K109" s="0" t="n">
        <f aca="false">MAX(0,MIN(Pcap,P0-g*'G.data'!H109))</f>
        <v>0</v>
      </c>
    </row>
    <row r="110" customFormat="false" ht="12.75" hidden="false" customHeight="false" outlineLevel="0" collapsed="false">
      <c r="G110" s="44" t="n">
        <f aca="false">G109+0.001</f>
        <v>0.106</v>
      </c>
      <c r="H110" s="0" t="n">
        <f aca="false">G110*L0</f>
        <v>5300</v>
      </c>
      <c r="I110" s="52" t="n">
        <f aca="false">H110/R0</f>
        <v>1.51428571428572</v>
      </c>
      <c r="J110" s="45" t="n">
        <f aca="false">IF(I110&gt;1,0,MAX(0,M0*(1-'G.data'!I110)*(1-beta*'G.data'!I110)))</f>
        <v>0</v>
      </c>
      <c r="K110" s="0" t="n">
        <f aca="false">MAX(0,MIN(Pcap,P0-g*'G.data'!H110))</f>
        <v>0</v>
      </c>
    </row>
    <row r="111" customFormat="false" ht="12.75" hidden="false" customHeight="false" outlineLevel="0" collapsed="false">
      <c r="G111" s="44" t="n">
        <f aca="false">G110+0.001</f>
        <v>0.107</v>
      </c>
      <c r="H111" s="0" t="n">
        <f aca="false">G111*L0</f>
        <v>5350</v>
      </c>
      <c r="I111" s="52" t="n">
        <f aca="false">H111/R0</f>
        <v>1.52857142857143</v>
      </c>
      <c r="J111" s="45" t="n">
        <f aca="false">IF(I111&gt;1,0,MAX(0,M0*(1-'G.data'!I111)*(1-beta*'G.data'!I111)))</f>
        <v>0</v>
      </c>
      <c r="K111" s="0" t="n">
        <f aca="false">MAX(0,MIN(Pcap,P0-g*'G.data'!H111))</f>
        <v>0</v>
      </c>
    </row>
    <row r="112" customFormat="false" ht="12.75" hidden="false" customHeight="false" outlineLevel="0" collapsed="false">
      <c r="G112" s="44" t="n">
        <f aca="false">G111+0.001</f>
        <v>0.108</v>
      </c>
      <c r="H112" s="0" t="n">
        <f aca="false">G112*L0</f>
        <v>5400.00000000001</v>
      </c>
      <c r="I112" s="52" t="n">
        <f aca="false">H112/R0</f>
        <v>1.54285714285714</v>
      </c>
      <c r="J112" s="45" t="n">
        <f aca="false">IF(I112&gt;1,0,MAX(0,M0*(1-'G.data'!I112)*(1-beta*'G.data'!I112)))</f>
        <v>0</v>
      </c>
      <c r="K112" s="0" t="n">
        <f aca="false">MAX(0,MIN(Pcap,P0-g*'G.data'!H112))</f>
        <v>0</v>
      </c>
      <c r="N112" s="45"/>
      <c r="P112" s="45"/>
    </row>
    <row r="113" customFormat="false" ht="12.75" hidden="false" customHeight="false" outlineLevel="0" collapsed="false">
      <c r="G113" s="44" t="n">
        <f aca="false">G112+0.001</f>
        <v>0.109</v>
      </c>
      <c r="H113" s="0" t="n">
        <f aca="false">G113*L0</f>
        <v>5450.00000000001</v>
      </c>
      <c r="I113" s="52" t="n">
        <f aca="false">H113/R0</f>
        <v>1.55714285714286</v>
      </c>
      <c r="J113" s="45" t="n">
        <f aca="false">IF(I113&gt;1,0,MAX(0,M0*(1-'G.data'!I113)*(1-beta*'G.data'!I113)))</f>
        <v>0</v>
      </c>
      <c r="K113" s="0" t="n">
        <f aca="false">MAX(0,MIN(Pcap,P0-g*'G.data'!H113))</f>
        <v>0</v>
      </c>
      <c r="N113" s="45"/>
      <c r="P113" s="45"/>
    </row>
    <row r="114" customFormat="false" ht="12.75" hidden="false" customHeight="false" outlineLevel="0" collapsed="false">
      <c r="G114" s="44" t="n">
        <f aca="false">G113+0.001</f>
        <v>0.11</v>
      </c>
      <c r="H114" s="0" t="n">
        <f aca="false">G114*L0</f>
        <v>5500.00000000001</v>
      </c>
      <c r="I114" s="52" t="n">
        <f aca="false">H114/R0</f>
        <v>1.57142857142857</v>
      </c>
      <c r="J114" s="45" t="n">
        <f aca="false">IF(I114&gt;1,0,MAX(0,M0*(1-'G.data'!I114)*(1-beta*'G.data'!I114)))</f>
        <v>0</v>
      </c>
      <c r="K114" s="0" t="n">
        <f aca="false">MAX(0,MIN(Pcap,P0-g*'G.data'!H114))</f>
        <v>0</v>
      </c>
      <c r="N114" s="45"/>
      <c r="P114" s="45"/>
    </row>
    <row r="115" customFormat="false" ht="12.75" hidden="false" customHeight="false" outlineLevel="0" collapsed="false">
      <c r="G115" s="44" t="n">
        <f aca="false">G114+0.001</f>
        <v>0.111</v>
      </c>
      <c r="H115" s="0" t="n">
        <f aca="false">G115*L0</f>
        <v>5550.00000000001</v>
      </c>
      <c r="I115" s="52" t="n">
        <f aca="false">H115/R0</f>
        <v>1.58571428571429</v>
      </c>
      <c r="J115" s="45" t="n">
        <f aca="false">IF(I115&gt;1,0,MAX(0,M0*(1-'G.data'!I115)*(1-beta*'G.data'!I115)))</f>
        <v>0</v>
      </c>
      <c r="K115" s="0" t="n">
        <f aca="false">MAX(0,MIN(Pcap,P0-g*'G.data'!H115))</f>
        <v>0</v>
      </c>
      <c r="N115" s="45"/>
      <c r="P115" s="45"/>
    </row>
    <row r="116" customFormat="false" ht="12.75" hidden="false" customHeight="false" outlineLevel="0" collapsed="false">
      <c r="G116" s="44" t="n">
        <f aca="false">G115+0.001</f>
        <v>0.112</v>
      </c>
      <c r="H116" s="0" t="n">
        <f aca="false">G116*L0</f>
        <v>5600.00000000001</v>
      </c>
      <c r="I116" s="52" t="n">
        <f aca="false">H116/R0</f>
        <v>1.6</v>
      </c>
      <c r="J116" s="45" t="n">
        <f aca="false">IF(I116&gt;1,0,MAX(0,M0*(1-'G.data'!I116)*(1-beta*'G.data'!I116)))</f>
        <v>0</v>
      </c>
      <c r="K116" s="0" t="n">
        <f aca="false">MAX(0,MIN(Pcap,P0-g*'G.data'!H116))</f>
        <v>0</v>
      </c>
      <c r="N116" s="45"/>
      <c r="P116" s="45"/>
    </row>
    <row r="117" customFormat="false" ht="12.75" hidden="false" customHeight="false" outlineLevel="0" collapsed="false">
      <c r="G117" s="44" t="n">
        <f aca="false">G116+0.001</f>
        <v>0.113</v>
      </c>
      <c r="H117" s="0" t="n">
        <f aca="false">G117*L0</f>
        <v>5650.00000000001</v>
      </c>
      <c r="I117" s="52" t="n">
        <f aca="false">H117/R0</f>
        <v>1.61428571428572</v>
      </c>
      <c r="J117" s="45" t="n">
        <f aca="false">IF(I117&gt;1,0,MAX(0,M0*(1-'G.data'!I117)*(1-beta*'G.data'!I117)))</f>
        <v>0</v>
      </c>
      <c r="K117" s="0" t="n">
        <f aca="false">MAX(0,MIN(Pcap,P0-g*'G.data'!H117))</f>
        <v>0</v>
      </c>
      <c r="N117" s="45"/>
      <c r="P117" s="45"/>
    </row>
    <row r="118" customFormat="false" ht="12.75" hidden="false" customHeight="false" outlineLevel="0" collapsed="false">
      <c r="G118" s="44" t="n">
        <f aca="false">G117+0.001</f>
        <v>0.114</v>
      </c>
      <c r="H118" s="0" t="n">
        <f aca="false">G118*L0</f>
        <v>5700.00000000001</v>
      </c>
      <c r="I118" s="52" t="n">
        <f aca="false">H118/R0</f>
        <v>1.62857142857143</v>
      </c>
      <c r="J118" s="45" t="n">
        <f aca="false">IF(I118&gt;1,0,MAX(0,M0*(1-'G.data'!I118)*(1-beta*'G.data'!I118)))</f>
        <v>0</v>
      </c>
      <c r="K118" s="0" t="n">
        <f aca="false">MAX(0,MIN(Pcap,P0-g*'G.data'!H118))</f>
        <v>0</v>
      </c>
      <c r="N118" s="45"/>
      <c r="P118" s="45"/>
    </row>
    <row r="119" customFormat="false" ht="12.75" hidden="false" customHeight="false" outlineLevel="0" collapsed="false">
      <c r="G119" s="44" t="n">
        <f aca="false">G118+0.001</f>
        <v>0.115</v>
      </c>
      <c r="H119" s="0" t="n">
        <f aca="false">G119*L0</f>
        <v>5750.00000000001</v>
      </c>
      <c r="I119" s="52" t="n">
        <f aca="false">H119/R0</f>
        <v>1.64285714285714</v>
      </c>
      <c r="J119" s="45" t="n">
        <f aca="false">IF(I119&gt;1,0,MAX(0,M0*(1-'G.data'!I119)*(1-beta*'G.data'!I119)))</f>
        <v>0</v>
      </c>
      <c r="K119" s="0" t="n">
        <f aca="false">MAX(0,MIN(Pcap,P0-g*'G.data'!H119))</f>
        <v>0</v>
      </c>
      <c r="N119" s="45"/>
      <c r="P119" s="45"/>
    </row>
    <row r="120" customFormat="false" ht="12.75" hidden="false" customHeight="false" outlineLevel="0" collapsed="false">
      <c r="G120" s="44" t="n">
        <f aca="false">G119+0.001</f>
        <v>0.116</v>
      </c>
      <c r="H120" s="0" t="n">
        <f aca="false">G120*L0</f>
        <v>5800.00000000001</v>
      </c>
      <c r="I120" s="52" t="n">
        <f aca="false">H120/R0</f>
        <v>1.65714285714286</v>
      </c>
      <c r="J120" s="45" t="n">
        <f aca="false">IF(I120&gt;1,0,MAX(0,M0*(1-'G.data'!I120)*(1-beta*'G.data'!I120)))</f>
        <v>0</v>
      </c>
      <c r="K120" s="0" t="n">
        <f aca="false">MAX(0,MIN(Pcap,P0-g*'G.data'!H120))</f>
        <v>0</v>
      </c>
      <c r="N120" s="45"/>
      <c r="P120" s="45"/>
    </row>
    <row r="121" customFormat="false" ht="12.75" hidden="false" customHeight="false" outlineLevel="0" collapsed="false">
      <c r="G121" s="44" t="n">
        <f aca="false">G120+0.001</f>
        <v>0.117</v>
      </c>
      <c r="H121" s="0" t="n">
        <f aca="false">G121*L0</f>
        <v>5850.00000000001</v>
      </c>
      <c r="I121" s="52" t="n">
        <f aca="false">H121/R0</f>
        <v>1.67142857142857</v>
      </c>
      <c r="J121" s="45" t="n">
        <f aca="false">IF(I121&gt;1,0,MAX(0,M0*(1-'G.data'!I121)*(1-beta*'G.data'!I121)))</f>
        <v>0</v>
      </c>
      <c r="K121" s="0" t="n">
        <f aca="false">MAX(0,MIN(Pcap,P0-g*'G.data'!H121))</f>
        <v>0</v>
      </c>
      <c r="N121" s="45"/>
      <c r="P121" s="45"/>
    </row>
    <row r="122" customFormat="false" ht="12.75" hidden="false" customHeight="false" outlineLevel="0" collapsed="false">
      <c r="G122" s="44" t="n">
        <f aca="false">G121+0.001</f>
        <v>0.118</v>
      </c>
      <c r="H122" s="0" t="n">
        <f aca="false">G122*L0</f>
        <v>5900.00000000001</v>
      </c>
      <c r="I122" s="52" t="n">
        <f aca="false">H122/R0</f>
        <v>1.68571428571429</v>
      </c>
      <c r="J122" s="45" t="n">
        <f aca="false">IF(I122&gt;1,0,MAX(0,M0*(1-'G.data'!I122)*(1-beta*'G.data'!I122)))</f>
        <v>0</v>
      </c>
      <c r="K122" s="0" t="n">
        <f aca="false">MAX(0,MIN(Pcap,P0-g*'G.data'!H122))</f>
        <v>0</v>
      </c>
      <c r="N122" s="45"/>
      <c r="P122" s="45"/>
    </row>
    <row r="123" customFormat="false" ht="12.75" hidden="false" customHeight="false" outlineLevel="0" collapsed="false">
      <c r="G123" s="44" t="n">
        <f aca="false">G122+0.001</f>
        <v>0.119</v>
      </c>
      <c r="H123" s="0" t="n">
        <f aca="false">G123*L0</f>
        <v>5950.00000000001</v>
      </c>
      <c r="I123" s="52" t="n">
        <f aca="false">H123/R0</f>
        <v>1.7</v>
      </c>
      <c r="J123" s="45" t="n">
        <f aca="false">IF(I123&gt;1,0,MAX(0,M0*(1-'G.data'!I123)*(1-beta*'G.data'!I123)))</f>
        <v>0</v>
      </c>
      <c r="K123" s="0" t="n">
        <f aca="false">MAX(0,MIN(Pcap,P0-g*'G.data'!H123))</f>
        <v>0</v>
      </c>
      <c r="N123" s="45"/>
      <c r="P123" s="45"/>
    </row>
    <row r="124" customFormat="false" ht="12.75" hidden="false" customHeight="false" outlineLevel="0" collapsed="false">
      <c r="G124" s="44" t="n">
        <f aca="false">G123+0.001</f>
        <v>0.12</v>
      </c>
      <c r="H124" s="0" t="n">
        <f aca="false">G124*L0</f>
        <v>6000.00000000001</v>
      </c>
      <c r="I124" s="52" t="n">
        <f aca="false">H124/R0</f>
        <v>1.71428571428572</v>
      </c>
      <c r="J124" s="45" t="n">
        <f aca="false">IF(I124&gt;1,0,MAX(0,M0*(1-'G.data'!I124)*(1-beta*'G.data'!I124)))</f>
        <v>0</v>
      </c>
      <c r="K124" s="0" t="n">
        <f aca="false">MAX(0,MIN(Pcap,P0-g*'G.data'!H124))</f>
        <v>0</v>
      </c>
      <c r="N124" s="45"/>
      <c r="P124" s="45"/>
    </row>
    <row r="125" customFormat="false" ht="12.75" hidden="false" customHeight="false" outlineLevel="0" collapsed="false">
      <c r="G125" s="44"/>
      <c r="I125" s="52"/>
      <c r="J125" s="45"/>
      <c r="N125" s="45"/>
      <c r="P125" s="45"/>
    </row>
    <row r="126" customFormat="false" ht="12.75" hidden="false" customHeight="false" outlineLevel="0" collapsed="false">
      <c r="G126" s="44"/>
      <c r="I126" s="52"/>
      <c r="J126" s="45"/>
      <c r="N126" s="45"/>
      <c r="P126" s="45"/>
    </row>
    <row r="127" customFormat="false" ht="12.75" hidden="false" customHeight="false" outlineLevel="0" collapsed="false">
      <c r="G127" s="44"/>
      <c r="I127" s="52"/>
      <c r="J127" s="45"/>
      <c r="N127" s="45"/>
      <c r="P127" s="45"/>
    </row>
    <row r="128" customFormat="false" ht="12.75" hidden="false" customHeight="false" outlineLevel="0" collapsed="false">
      <c r="G128" s="44"/>
      <c r="I128" s="52"/>
      <c r="J128" s="45"/>
    </row>
    <row r="129" customFormat="false" ht="12.75" hidden="false" customHeight="false" outlineLevel="0" collapsed="false">
      <c r="G129" s="44"/>
      <c r="I129" s="52"/>
      <c r="J129" s="45"/>
    </row>
  </sheetData>
  <mergeCells count="2">
    <mergeCell ref="T3:W3"/>
    <mergeCell ref="X3:AF3"/>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1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8" activeCellId="0" sqref="C28"/>
    </sheetView>
  </sheetViews>
  <sheetFormatPr defaultColWidth="9.13671875" defaultRowHeight="12.75" customHeight="true" zeroHeight="false" outlineLevelRow="0" outlineLevelCol="0"/>
  <cols>
    <col collapsed="false" customWidth="false" hidden="false" outlineLevel="0" max="1" min="1" style="54" width="9.14"/>
    <col collapsed="false" customWidth="true" hidden="false" outlineLevel="0" max="2" min="2" style="54" width="9.28"/>
    <col collapsed="false" customWidth="false" hidden="false" outlineLevel="0" max="3" min="3" style="54" width="9.14"/>
    <col collapsed="false" customWidth="true" hidden="false" outlineLevel="0" max="4" min="4" style="54" width="10.41"/>
    <col collapsed="false" customWidth="true" hidden="false" outlineLevel="0" max="5" min="5" style="54" width="7.56"/>
    <col collapsed="false" customWidth="false" hidden="false" outlineLevel="0" max="7" min="6" style="54" width="9.14"/>
    <col collapsed="false" customWidth="true" hidden="false" outlineLevel="0" max="8" min="8" style="54" width="5.41"/>
    <col collapsed="false" customWidth="true" hidden="false" outlineLevel="0" max="9" min="9" style="63" width="3.42"/>
    <col collapsed="false" customWidth="false" hidden="false" outlineLevel="0" max="10" min="10" style="64" width="9.14"/>
    <col collapsed="false" customWidth="true" hidden="false" outlineLevel="0" max="11" min="11" style="64" width="5.28"/>
    <col collapsed="false" customWidth="true" hidden="false" outlineLevel="0" max="14" min="12" style="65" width="8.56"/>
    <col collapsed="false" customWidth="true" hidden="false" outlineLevel="0" max="15" min="15" style="64" width="7.7"/>
    <col collapsed="false" customWidth="true" hidden="false" outlineLevel="0" max="16" min="16" style="64" width="7.99"/>
    <col collapsed="false" customWidth="true" hidden="false" outlineLevel="0" max="18" min="17" style="64" width="7.7"/>
    <col collapsed="false" customWidth="true" hidden="false" outlineLevel="0" max="19" min="19" style="64" width="6.99"/>
    <col collapsed="false" customWidth="true" hidden="false" outlineLevel="0" max="20" min="20" style="66" width="12.99"/>
    <col collapsed="false" customWidth="true" hidden="false" outlineLevel="0" max="21" min="21" style="67" width="9.85"/>
    <col collapsed="false" customWidth="true" hidden="false" outlineLevel="0" max="22" min="22" style="67" width="8.14"/>
    <col collapsed="false" customWidth="true" hidden="false" outlineLevel="0" max="23" min="23" style="68" width="4.14"/>
    <col collapsed="false" customWidth="true" hidden="false" outlineLevel="0" max="24" min="24" style="69" width="6.85"/>
    <col collapsed="false" customWidth="true" hidden="false" outlineLevel="0" max="25" min="25" style="69" width="7.99"/>
    <col collapsed="false" customWidth="false" hidden="false" outlineLevel="0" max="27" min="26" style="69" width="9.14"/>
    <col collapsed="false" customWidth="true" hidden="false" outlineLevel="0" max="28" min="28" style="69" width="9.56"/>
    <col collapsed="false" customWidth="false" hidden="false" outlineLevel="0" max="29" min="29" style="69" width="9.14"/>
    <col collapsed="false" customWidth="true" hidden="false" outlineLevel="0" max="30" min="30" style="69" width="10.13"/>
    <col collapsed="false" customWidth="true" hidden="false" outlineLevel="0" max="31" min="31" style="70" width="6.7"/>
    <col collapsed="false" customWidth="false" hidden="false" outlineLevel="0" max="32" min="32" style="54" width="9.14"/>
    <col collapsed="false" customWidth="false" hidden="false" outlineLevel="0" max="33" min="33" style="71" width="9.14"/>
    <col collapsed="false" customWidth="true" hidden="false" outlineLevel="0" max="34" min="34" style="54" width="6.85"/>
    <col collapsed="false" customWidth="true" hidden="false" outlineLevel="0" max="36" min="35" style="54" width="7.56"/>
    <col collapsed="false" customWidth="true" hidden="false" outlineLevel="0" max="37" min="37" style="54" width="9.56"/>
    <col collapsed="false" customWidth="true" hidden="false" outlineLevel="0" max="44" min="38" style="54" width="6.28"/>
    <col collapsed="false" customWidth="true" hidden="false" outlineLevel="0" max="45" min="45" style="54" width="7.85"/>
    <col collapsed="false" customWidth="true" hidden="false" outlineLevel="0" max="46" min="46" style="72" width="9.28"/>
    <col collapsed="false" customWidth="true" hidden="false" outlineLevel="0" max="47" min="47" style="72" width="6.7"/>
    <col collapsed="false" customWidth="false" hidden="false" outlineLevel="0" max="257" min="48" style="54" width="9.14"/>
  </cols>
  <sheetData>
    <row r="1" customFormat="false" ht="13.5" hidden="false" customHeight="false" outlineLevel="0" collapsed="false">
      <c r="B1" s="54" t="s">
        <v>83</v>
      </c>
      <c r="F1" s="54" t="s">
        <v>84</v>
      </c>
      <c r="I1" s="73" t="s">
        <v>85</v>
      </c>
      <c r="J1" s="73"/>
      <c r="K1" s="73"/>
      <c r="L1" s="73"/>
      <c r="M1" s="73"/>
      <c r="N1" s="73"/>
      <c r="O1" s="73"/>
      <c r="P1" s="73"/>
      <c r="Q1" s="73"/>
      <c r="R1" s="73"/>
      <c r="S1" s="73"/>
      <c r="T1" s="73"/>
      <c r="U1" s="73"/>
      <c r="V1" s="73"/>
      <c r="W1" s="74" t="s">
        <v>86</v>
      </c>
      <c r="X1" s="74"/>
      <c r="Y1" s="74"/>
      <c r="Z1" s="74"/>
      <c r="AA1" s="74"/>
      <c r="AB1" s="74"/>
      <c r="AC1" s="74"/>
      <c r="AD1" s="74"/>
      <c r="AE1" s="74"/>
    </row>
    <row r="2" customFormat="false" ht="13.5" hidden="false" customHeight="false" outlineLevel="0" collapsed="false">
      <c r="B2" s="54" t="s">
        <v>87</v>
      </c>
      <c r="F2" s="54" t="s">
        <v>88</v>
      </c>
      <c r="I2" s="73"/>
      <c r="J2" s="73"/>
      <c r="K2" s="73"/>
      <c r="L2" s="73"/>
      <c r="M2" s="73"/>
      <c r="N2" s="73"/>
      <c r="O2" s="73"/>
      <c r="P2" s="73"/>
      <c r="Q2" s="73"/>
      <c r="R2" s="73"/>
      <c r="S2" s="73"/>
      <c r="T2" s="73"/>
      <c r="U2" s="73"/>
      <c r="V2" s="73"/>
      <c r="W2" s="74"/>
      <c r="X2" s="74"/>
      <c r="Y2" s="74"/>
      <c r="Z2" s="74"/>
      <c r="AA2" s="74"/>
      <c r="AB2" s="74"/>
      <c r="AC2" s="74"/>
      <c r="AD2" s="74"/>
      <c r="AE2" s="74"/>
    </row>
    <row r="3" customFormat="false" ht="13.5" hidden="false" customHeight="false" outlineLevel="0" collapsed="false">
      <c r="B3" s="54" t="s">
        <v>89</v>
      </c>
      <c r="F3" s="54" t="s">
        <v>90</v>
      </c>
      <c r="J3" s="75" t="s">
        <v>91</v>
      </c>
      <c r="N3" s="76" t="s">
        <v>92</v>
      </c>
      <c r="X3" s="77" t="s">
        <v>93</v>
      </c>
    </row>
    <row r="4" customFormat="false" ht="12.75" hidden="false" customHeight="false" outlineLevel="0" collapsed="false">
      <c r="B4" s="54" t="s">
        <v>28</v>
      </c>
      <c r="F4" s="54" t="s">
        <v>94</v>
      </c>
      <c r="J4" s="78" t="s">
        <v>95</v>
      </c>
      <c r="N4" s="79" t="s">
        <v>96</v>
      </c>
    </row>
    <row r="5" customFormat="false" ht="12.75" hidden="false" customHeight="false" outlineLevel="0" collapsed="false">
      <c r="J5" s="78" t="s">
        <v>97</v>
      </c>
      <c r="N5" s="79" t="s">
        <v>98</v>
      </c>
      <c r="X5" s="69" t="s">
        <v>99</v>
      </c>
      <c r="AG5" s="71" t="s">
        <v>100</v>
      </c>
    </row>
    <row r="6" customFormat="false" ht="12.75" hidden="false" customHeight="false" outlineLevel="0" collapsed="false">
      <c r="A6" s="80" t="s">
        <v>101</v>
      </c>
      <c r="B6" s="81" t="s">
        <v>102</v>
      </c>
      <c r="C6" s="82" t="n">
        <v>6</v>
      </c>
      <c r="D6" s="81"/>
      <c r="E6" s="81"/>
      <c r="F6" s="81" t="s">
        <v>103</v>
      </c>
      <c r="G6" s="81"/>
      <c r="H6" s="81"/>
      <c r="J6" s="78"/>
      <c r="N6" s="79" t="s">
        <v>104</v>
      </c>
      <c r="X6" s="69" t="s">
        <v>105</v>
      </c>
      <c r="AG6" s="71" t="s">
        <v>106</v>
      </c>
    </row>
    <row r="7" customFormat="false" ht="12.75" hidden="false" customHeight="false" outlineLevel="0" collapsed="false">
      <c r="A7" s="83" t="s">
        <v>26</v>
      </c>
      <c r="B7" s="84" t="s">
        <v>107</v>
      </c>
      <c r="C7" s="85" t="n">
        <f aca="false">Front!B29</f>
        <v>50000</v>
      </c>
      <c r="D7" s="84" t="s">
        <v>108</v>
      </c>
      <c r="E7" s="84"/>
      <c r="F7" s="84"/>
      <c r="G7" s="84"/>
      <c r="H7" s="84"/>
      <c r="J7" s="86" t="s">
        <v>109</v>
      </c>
      <c r="X7" s="69" t="s">
        <v>110</v>
      </c>
      <c r="AG7" s="87" t="s">
        <v>111</v>
      </c>
    </row>
    <row r="8" customFormat="false" ht="12.75" hidden="false" customHeight="false" outlineLevel="0" collapsed="false">
      <c r="A8" s="88"/>
      <c r="B8" s="69"/>
      <c r="C8" s="78" t="n">
        <v>0.5</v>
      </c>
      <c r="D8" s="89" t="s">
        <v>112</v>
      </c>
      <c r="E8" s="69"/>
      <c r="F8" s="69"/>
      <c r="G8" s="69"/>
      <c r="H8" s="69"/>
      <c r="J8" s="78" t="s">
        <v>113</v>
      </c>
      <c r="X8" s="69" t="s">
        <v>114</v>
      </c>
      <c r="AG8" s="87" t="s">
        <v>115</v>
      </c>
    </row>
    <row r="9" customFormat="false" ht="12.75" hidden="false" customHeight="false" outlineLevel="0" collapsed="false">
      <c r="A9" s="88"/>
      <c r="B9" s="90" t="s">
        <v>116</v>
      </c>
      <c r="C9" s="78" t="n">
        <f aca="false">C8*Front!B29</f>
        <v>25000</v>
      </c>
      <c r="D9" s="69"/>
      <c r="E9" s="69"/>
      <c r="F9" s="69"/>
      <c r="G9" s="69"/>
      <c r="H9" s="69"/>
      <c r="J9" s="78" t="s">
        <v>117</v>
      </c>
      <c r="X9" s="69" t="s">
        <v>118</v>
      </c>
      <c r="AG9" s="87" t="s">
        <v>119</v>
      </c>
      <c r="AI9" s="54" t="s">
        <v>120</v>
      </c>
    </row>
    <row r="10" customFormat="false" ht="12.75" hidden="false" customHeight="false" outlineLevel="0" collapsed="false">
      <c r="A10" s="88"/>
      <c r="B10" s="69" t="s">
        <v>121</v>
      </c>
      <c r="C10" s="78" t="n">
        <f aca="false">IF(ABS(Front!B29-C9-alph)&lt;1,1,Front!B29-C9-alph)</f>
        <v>1</v>
      </c>
      <c r="D10" s="69" t="s">
        <v>122</v>
      </c>
      <c r="E10" s="69"/>
      <c r="F10" s="69"/>
      <c r="G10" s="69"/>
      <c r="H10" s="69"/>
      <c r="J10" s="78" t="s">
        <v>123</v>
      </c>
      <c r="X10" s="69" t="s">
        <v>124</v>
      </c>
      <c r="AG10" s="91" t="s">
        <v>125</v>
      </c>
    </row>
    <row r="11" customFormat="false" ht="12.75" hidden="false" customHeight="false" outlineLevel="0" collapsed="false">
      <c r="A11" s="92"/>
      <c r="B11" s="93" t="s">
        <v>126</v>
      </c>
      <c r="C11" s="94" t="n">
        <f aca="false">MIN(L0,4*MAX(Front!B30*(L0/400),0.1))</f>
        <v>25000</v>
      </c>
      <c r="D11" s="93" t="s">
        <v>127</v>
      </c>
      <c r="E11" s="93"/>
      <c r="F11" s="93"/>
      <c r="G11" s="93"/>
      <c r="H11" s="93"/>
      <c r="J11" s="78" t="s">
        <v>128</v>
      </c>
      <c r="AM11" s="54" t="s">
        <v>129</v>
      </c>
    </row>
    <row r="12" customFormat="false" ht="12.75" hidden="false" customHeight="false" outlineLevel="0" collapsed="false">
      <c r="A12" s="83" t="s">
        <v>130</v>
      </c>
      <c r="B12" s="84" t="s">
        <v>131</v>
      </c>
      <c r="C12" s="85" t="n">
        <f aca="false">Front!B27</f>
        <v>10000</v>
      </c>
      <c r="D12" s="84" t="s">
        <v>132</v>
      </c>
      <c r="E12" s="84"/>
      <c r="F12" s="84"/>
      <c r="G12" s="84"/>
      <c r="H12" s="84"/>
      <c r="J12" s="78" t="s">
        <v>133</v>
      </c>
      <c r="AG12" s="91" t="s">
        <v>134</v>
      </c>
      <c r="AM12" s="54" t="s">
        <v>135</v>
      </c>
    </row>
    <row r="13" customFormat="false" ht="12.75" hidden="false" customHeight="false" outlineLevel="0" collapsed="false">
      <c r="A13" s="88" t="s">
        <v>32</v>
      </c>
      <c r="B13" s="69" t="s">
        <v>36</v>
      </c>
      <c r="C13" s="78" t="n">
        <f aca="false">Front!B26*L0</f>
        <v>3500</v>
      </c>
      <c r="D13" s="69" t="s">
        <v>136</v>
      </c>
      <c r="E13" s="69"/>
      <c r="F13" s="69"/>
      <c r="G13" s="69"/>
      <c r="H13" s="69"/>
      <c r="J13" s="78" t="s">
        <v>111</v>
      </c>
      <c r="X13" s="69" t="s">
        <v>137</v>
      </c>
      <c r="Y13" s="69" t="s">
        <v>138</v>
      </c>
      <c r="Z13" s="69" t="s">
        <v>139</v>
      </c>
      <c r="AB13" s="95"/>
      <c r="AG13" s="91" t="s">
        <v>140</v>
      </c>
      <c r="AM13" s="54" t="s">
        <v>141</v>
      </c>
    </row>
    <row r="14" customFormat="false" ht="12.75" hidden="false" customHeight="false" outlineLevel="0" collapsed="false">
      <c r="A14" s="92"/>
      <c r="B14" s="93" t="s">
        <v>142</v>
      </c>
      <c r="C14" s="96" t="n">
        <f aca="false">MAX(0,MIN(1,Front!B28/100))</f>
        <v>0</v>
      </c>
      <c r="D14" s="93" t="s">
        <v>143</v>
      </c>
      <c r="E14" s="93"/>
      <c r="F14" s="93"/>
      <c r="G14" s="93"/>
      <c r="H14" s="93"/>
      <c r="J14" s="78" t="s">
        <v>144</v>
      </c>
      <c r="X14" s="69" t="n">
        <f aca="false">M0*R0</f>
        <v>35000000</v>
      </c>
      <c r="Y14" s="69" t="n">
        <f aca="false">(1+beta)/2</f>
        <v>0.5</v>
      </c>
      <c r="Z14" s="69" t="n">
        <f aca="false">beta/3</f>
        <v>0</v>
      </c>
      <c r="AB14" s="95"/>
      <c r="AC14" s="69" t="s">
        <v>145</v>
      </c>
      <c r="AD14" s="69" t="n">
        <f aca="false">Kopt</f>
        <v>51920.9081097779</v>
      </c>
      <c r="AG14" s="91" t="s">
        <v>146</v>
      </c>
      <c r="AM14" s="54" t="s">
        <v>147</v>
      </c>
    </row>
    <row r="15" customFormat="false" ht="12.75" hidden="false" customHeight="false" outlineLevel="0" collapsed="false">
      <c r="A15" s="83" t="s">
        <v>148</v>
      </c>
      <c r="B15" s="84" t="s">
        <v>149</v>
      </c>
      <c r="C15" s="85" t="n">
        <f aca="false">Front!E27</f>
        <v>10000</v>
      </c>
      <c r="D15" s="84" t="s">
        <v>150</v>
      </c>
      <c r="E15" s="84"/>
      <c r="F15" s="84"/>
      <c r="G15" s="84"/>
      <c r="H15" s="84"/>
      <c r="J15" s="78" t="s">
        <v>119</v>
      </c>
      <c r="S15" s="78"/>
      <c r="AB15" s="97" t="n">
        <f aca="false">AB17/1000</f>
        <v>3.98963689804077E-006</v>
      </c>
      <c r="AC15" s="69" t="s">
        <v>151</v>
      </c>
      <c r="AG15" s="91" t="s">
        <v>152</v>
      </c>
    </row>
    <row r="16" customFormat="false" ht="13.5" hidden="false" customHeight="false" outlineLevel="0" collapsed="false">
      <c r="A16" s="88" t="s">
        <v>153</v>
      </c>
      <c r="B16" s="69" t="s">
        <v>154</v>
      </c>
      <c r="C16" s="78" t="n">
        <f aca="false">Front!E26*L0</f>
        <v>3500</v>
      </c>
      <c r="D16" s="69" t="s">
        <v>155</v>
      </c>
      <c r="E16" s="69"/>
      <c r="F16" s="69"/>
      <c r="G16" s="69"/>
      <c r="H16" s="69"/>
      <c r="S16" s="78"/>
      <c r="X16" s="98" t="s">
        <v>156</v>
      </c>
      <c r="Y16" s="69" t="n">
        <f aca="false">Y17/X19</f>
        <v>3.98963689804077E-006</v>
      </c>
      <c r="Z16" s="99" t="s">
        <v>157</v>
      </c>
      <c r="AA16" s="100" t="n">
        <f aca="false">Y16*(SUM(AA20:AA1018)+(AA19+AA1019)/2)</f>
        <v>2368.82528349452</v>
      </c>
      <c r="AB16" s="88" t="s">
        <v>158</v>
      </c>
      <c r="AC16" s="99" t="s">
        <v>157</v>
      </c>
      <c r="AD16" s="100" t="n">
        <f aca="false">AB15*(SUM(AD20:AD1018)+(AD19+AD1019)/2)</f>
        <v>2368.82528349452</v>
      </c>
      <c r="AG16" s="101" t="s">
        <v>159</v>
      </c>
    </row>
    <row r="17" customFormat="false" ht="13.5" hidden="false" customHeight="false" outlineLevel="0" collapsed="false">
      <c r="A17" s="95"/>
      <c r="B17" s="90" t="s">
        <v>160</v>
      </c>
      <c r="C17" s="78" t="n">
        <f aca="false">P0/R0g</f>
        <v>2.85714285714286</v>
      </c>
      <c r="D17" s="90" t="s">
        <v>161</v>
      </c>
      <c r="E17" s="69"/>
      <c r="F17" s="69"/>
      <c r="G17" s="69"/>
      <c r="H17" s="69"/>
      <c r="S17" s="102"/>
      <c r="U17" s="103"/>
      <c r="X17" s="98" t="s">
        <v>162</v>
      </c>
      <c r="Y17" s="69" t="n">
        <f aca="false">D0</f>
        <v>0.00398963689804077</v>
      </c>
      <c r="AB17" s="104" t="n">
        <f aca="false">D0opt</f>
        <v>0.00398963689804077</v>
      </c>
      <c r="AG17" s="101" t="s">
        <v>163</v>
      </c>
      <c r="AH17" s="105"/>
      <c r="AI17" s="105"/>
      <c r="AJ17" s="105" t="s">
        <v>164</v>
      </c>
      <c r="AK17" s="105"/>
      <c r="AL17" s="105" t="s">
        <v>165</v>
      </c>
    </row>
    <row r="18" customFormat="false" ht="13.5" hidden="false" customHeight="false" outlineLevel="0" collapsed="false">
      <c r="A18" s="106"/>
      <c r="B18" s="93" t="s">
        <v>166</v>
      </c>
      <c r="C18" s="94" t="n">
        <f aca="false">Front!E28</f>
        <v>99999</v>
      </c>
      <c r="D18" s="93" t="s">
        <v>167</v>
      </c>
      <c r="E18" s="93"/>
      <c r="F18" s="93"/>
      <c r="G18" s="93"/>
      <c r="H18" s="93"/>
      <c r="J18" s="86" t="s">
        <v>168</v>
      </c>
      <c r="M18" s="107"/>
      <c r="N18" s="108" t="n">
        <f aca="false">F</f>
        <v>6</v>
      </c>
      <c r="Q18" s="86"/>
      <c r="R18" s="86"/>
      <c r="S18" s="86"/>
      <c r="U18" s="103"/>
      <c r="Y18" s="64" t="s">
        <v>169</v>
      </c>
      <c r="Z18" s="64" t="s">
        <v>170</v>
      </c>
      <c r="AA18" s="64" t="s">
        <v>171</v>
      </c>
      <c r="AB18" s="95"/>
      <c r="AC18" s="64" t="s">
        <v>172</v>
      </c>
      <c r="AD18" s="64" t="s">
        <v>171</v>
      </c>
      <c r="AG18" s="101" t="s">
        <v>173</v>
      </c>
      <c r="AH18" s="105"/>
      <c r="AI18" s="105"/>
      <c r="AJ18" s="105" t="s">
        <v>174</v>
      </c>
      <c r="AK18" s="105"/>
      <c r="AL18" s="105" t="s">
        <v>175</v>
      </c>
    </row>
    <row r="19" customFormat="false" ht="12.75" hidden="false" customHeight="true" outlineLevel="0" collapsed="false">
      <c r="A19" s="109" t="s">
        <v>176</v>
      </c>
      <c r="B19" s="110" t="s">
        <v>28</v>
      </c>
      <c r="C19" s="111" t="n">
        <f aca="false">J84</f>
        <v>51920.9081097779</v>
      </c>
      <c r="D19" s="110" t="s">
        <v>177</v>
      </c>
      <c r="E19" s="84"/>
      <c r="F19" s="84"/>
      <c r="G19" s="84"/>
      <c r="H19" s="84"/>
      <c r="J19" s="64" t="s">
        <v>178</v>
      </c>
      <c r="K19" s="64" t="s">
        <v>179</v>
      </c>
      <c r="L19" s="65" t="s">
        <v>180</v>
      </c>
      <c r="M19" s="65" t="s">
        <v>181</v>
      </c>
      <c r="N19" s="65" t="s">
        <v>182</v>
      </c>
      <c r="O19" s="64" t="s">
        <v>183</v>
      </c>
      <c r="P19" s="64" t="s">
        <v>184</v>
      </c>
      <c r="Q19" s="64" t="s">
        <v>185</v>
      </c>
      <c r="R19" s="64" t="s">
        <v>186</v>
      </c>
      <c r="S19" s="64" t="s">
        <v>187</v>
      </c>
      <c r="T19" s="112" t="s">
        <v>188</v>
      </c>
      <c r="U19" s="113" t="n">
        <f aca="false">MAX(U21:U30)</f>
        <v>50999.9</v>
      </c>
      <c r="V19" s="113" t="n">
        <f aca="false">MAX(V20:V29)</f>
        <v>53500</v>
      </c>
      <c r="X19" s="102" t="n">
        <v>1000</v>
      </c>
      <c r="Y19" s="114" t="n">
        <v>0</v>
      </c>
      <c r="Z19" s="115" t="n">
        <f aca="false">(K-(L0-Y19*Ldif-alph*Y19^0.5))/R0</f>
        <v>0.548830888507979</v>
      </c>
      <c r="AA19" s="113" t="n">
        <f aca="false">IF(Z19&lt;1,X$14*((1-r_1)-Y$14*(1-r_1^2)+Z$14*(1-r_1^3)),0)</f>
        <v>3562187.42537874</v>
      </c>
      <c r="AB19" s="116" t="n">
        <v>0</v>
      </c>
      <c r="AC19" s="115" t="n">
        <f aca="false">(Kopt-(L0-AB19*Ldif-alph*AB19^0.5))/R0</f>
        <v>0.548830888507979</v>
      </c>
      <c r="AD19" s="113" t="n">
        <f aca="false">IF(AC19&lt;1,X$14*((1-ropt)-Y$14*(1-ropt^2)+Z$14*(1-ropt^3)),0)</f>
        <v>3562187.42537874</v>
      </c>
      <c r="AE19" s="117"/>
    </row>
    <row r="20" customFormat="false" ht="12.75" hidden="false" customHeight="true" outlineLevel="0" collapsed="false">
      <c r="A20" s="118" t="s">
        <v>189</v>
      </c>
      <c r="B20" s="90" t="s">
        <v>190</v>
      </c>
      <c r="C20" s="119" t="n">
        <f aca="false">K-L0</f>
        <v>1920.90810977793</v>
      </c>
      <c r="D20" s="90" t="s">
        <v>191</v>
      </c>
      <c r="E20" s="69"/>
      <c r="F20" s="69"/>
      <c r="G20" s="69"/>
      <c r="H20" s="69"/>
      <c r="I20" s="120" t="n">
        <v>10</v>
      </c>
      <c r="J20" s="121" t="n">
        <f aca="false">L0+R0g</f>
        <v>53500</v>
      </c>
      <c r="K20" s="64" t="n">
        <f aca="false">L0+R0g-KK</f>
        <v>0</v>
      </c>
      <c r="L20" s="65" t="n">
        <f aca="false">Ldif^2</f>
        <v>1</v>
      </c>
      <c r="M20" s="65" t="n">
        <f aca="false">-(alph^2)-2*S_1*Ldif</f>
        <v>-625000000</v>
      </c>
      <c r="N20" s="65" t="n">
        <f aca="false">S_1^2</f>
        <v>0</v>
      </c>
      <c r="O20" s="122" t="n">
        <f aca="false">(-b_1-SQRT(b_1^2-4*a_1*c_1))/(2*a_1)</f>
        <v>0</v>
      </c>
      <c r="P20" s="123" t="n">
        <f aca="false">L0-KK+(P0-Pcap)/g</f>
        <v>-34999.65</v>
      </c>
      <c r="Q20" s="65" t="n">
        <f aca="false">-(alph^2)-2*S_2*Ldif</f>
        <v>-624930000.7</v>
      </c>
      <c r="R20" s="65" t="n">
        <f aca="false">S_2^2</f>
        <v>1224975500.1225</v>
      </c>
      <c r="S20" s="122" t="n">
        <f aca="false">IF(S_2&lt;0,0,(-b_2-SQRT(b_2^2-4*a_1*c_2))/(2*a_1))</f>
        <v>0</v>
      </c>
      <c r="T20" s="66" t="n">
        <f aca="false">Pcap*DDc+(P0+g*(L0-KK))*(DDg-DDc)-g*((DDg^2-DDc^2)*Ldif/2+alph*(DDg^1.5-DDc^1.5)/1.5)</f>
        <v>0</v>
      </c>
      <c r="V20" s="67" t="n">
        <f aca="false">IF(AND(T20&lt;F,T21&gt;F),J20,0)</f>
        <v>53500</v>
      </c>
      <c r="X20" s="102" t="n">
        <v>999</v>
      </c>
      <c r="Y20" s="124" t="n">
        <f aca="false">Y19+Y$16</f>
        <v>3.98963689804077E-006</v>
      </c>
      <c r="Z20" s="115" t="n">
        <f aca="false">(K-(L0-Y20*Ldif-alph*Y20^0.5))/R0</f>
        <v>0.563098086392902</v>
      </c>
      <c r="AA20" s="113" t="n">
        <f aca="false">IF(Z20&lt;1,X$14*((1-r_1)-Y$14*(1-r_1^2)+Z$14*(1-r_1^3)),0)</f>
        <v>3340457.43698702</v>
      </c>
      <c r="AB20" s="97" t="n">
        <f aca="false">AB19+AB$15</f>
        <v>3.98963689804077E-006</v>
      </c>
      <c r="AC20" s="115" t="n">
        <f aca="false">(Kopt-(L0-AB20*Ldif-alph*AB20^0.5))/R0</f>
        <v>0.563098086392902</v>
      </c>
      <c r="AD20" s="113" t="n">
        <f aca="false">IF(AC20&lt;1,X$14*((1-ropt)-Y$14*(1-ropt^2)+Z$14*(1-ropt^3)),0)</f>
        <v>3340457.43698702</v>
      </c>
      <c r="AF20" s="55"/>
      <c r="AG20" s="101" t="s">
        <v>192</v>
      </c>
      <c r="AH20" s="55"/>
      <c r="AI20" s="55"/>
      <c r="AJ20" s="55"/>
      <c r="AK20" s="55"/>
      <c r="AL20" s="55"/>
      <c r="AM20" s="55"/>
      <c r="AN20" s="55"/>
      <c r="AO20" s="55"/>
      <c r="AP20" s="55"/>
      <c r="AQ20" s="55"/>
      <c r="AR20" s="55"/>
      <c r="AS20" s="55"/>
      <c r="AT20" s="125"/>
      <c r="AU20" s="12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c r="HT20" s="55"/>
      <c r="HU20" s="55"/>
      <c r="HV20" s="55"/>
      <c r="HW20" s="55"/>
      <c r="HX20" s="55"/>
      <c r="HY20" s="55"/>
      <c r="HZ20" s="55"/>
      <c r="IA20" s="55"/>
      <c r="IB20" s="55"/>
      <c r="IC20" s="55"/>
      <c r="ID20" s="55"/>
      <c r="IE20" s="55"/>
      <c r="IF20" s="55"/>
      <c r="IG20" s="55"/>
      <c r="IH20" s="55"/>
      <c r="II20" s="55"/>
      <c r="IJ20" s="55"/>
      <c r="IK20" s="55"/>
      <c r="IL20" s="55"/>
      <c r="IM20" s="55"/>
      <c r="IN20" s="55"/>
      <c r="IO20" s="55"/>
      <c r="IP20" s="55"/>
      <c r="IQ20" s="55"/>
      <c r="IR20" s="55"/>
      <c r="IS20" s="55"/>
      <c r="IT20" s="55"/>
      <c r="IU20" s="55"/>
      <c r="IV20" s="55"/>
      <c r="IW20" s="55"/>
    </row>
    <row r="21" customFormat="false" ht="12.75" hidden="false" customHeight="true" outlineLevel="0" collapsed="false">
      <c r="A21" s="95"/>
      <c r="B21" s="90" t="s">
        <v>193</v>
      </c>
      <c r="C21" s="126" t="n">
        <f aca="false">MIN(Pcap,P0-g*C20)</f>
        <v>4511.69111492021</v>
      </c>
      <c r="D21" s="90" t="s">
        <v>194</v>
      </c>
      <c r="E21" s="69"/>
      <c r="F21" s="69"/>
      <c r="G21" s="69"/>
      <c r="H21" s="69"/>
      <c r="I21" s="120" t="n">
        <v>9</v>
      </c>
      <c r="J21" s="121" t="n">
        <f aca="false">J$30+(I21/10)*(J$20-J$30)</f>
        <v>50999.9</v>
      </c>
      <c r="K21" s="64" t="n">
        <f aca="false">L0+R0g-KK</f>
        <v>2500.1</v>
      </c>
      <c r="L21" s="65" t="n">
        <f aca="false">Ldif^2</f>
        <v>1</v>
      </c>
      <c r="M21" s="65" t="n">
        <f aca="false">-(alph^2)-2*S_1*Ldif</f>
        <v>-625005000.2</v>
      </c>
      <c r="N21" s="65" t="n">
        <f aca="false">S_1^2</f>
        <v>6250500.00999999</v>
      </c>
      <c r="O21" s="122" t="n">
        <f aca="false">(-b_1-SQRT(b_1^2-4*a_1*c_1))/(2*a_1)</f>
        <v>0.0100007057189941</v>
      </c>
      <c r="P21" s="123" t="n">
        <f aca="false">L0-KK+(P0-Pcap)/g</f>
        <v>-32499.55</v>
      </c>
      <c r="Q21" s="65" t="n">
        <f aca="false">-(alph^2)-2*S_2*Ldif</f>
        <v>-624935000.9</v>
      </c>
      <c r="R21" s="65" t="n">
        <f aca="false">S_2^2</f>
        <v>1056220750.2025</v>
      </c>
      <c r="S21" s="122" t="n">
        <f aca="false">IF(S_2&lt;0,0,(-b_2-SQRT(b_2^2-4*a_1*c_2))/(2*a_1))</f>
        <v>0</v>
      </c>
      <c r="T21" s="66" t="n">
        <f aca="false">Pcap*DDc+(P0+g*(L0-KK))*(DDg-DDc)-g*((DDg^2-DDc^2)*Ldif/2+alph*(DDg^1.5-DDc^1.5)/1.5)</f>
        <v>23.8122381877734</v>
      </c>
      <c r="U21" s="67" t="n">
        <f aca="false">IF(AND(T21&gt;F,T20&lt;F),J21,0)</f>
        <v>50999.9</v>
      </c>
      <c r="V21" s="67" t="n">
        <f aca="false">IF(AND(T21&lt;F,T22&gt;F),J21,0)</f>
        <v>0</v>
      </c>
      <c r="X21" s="102" t="n">
        <v>998</v>
      </c>
      <c r="Y21" s="124" t="n">
        <f aca="false">Y20+Y$16</f>
        <v>7.97927379608154E-006</v>
      </c>
      <c r="Z21" s="115" t="n">
        <f aca="false">(K-(L0-Y21*Ldif-alph*Y21^0.5))/R0</f>
        <v>0.569007753921631</v>
      </c>
      <c r="AA21" s="113" t="n">
        <f aca="false">IF(Z21&lt;1,X$14*((1-r_1)-Y$14*(1-r_1^2)+Z$14*(1-r_1^3)),0)</f>
        <v>3250700.53314435</v>
      </c>
      <c r="AB21" s="97" t="n">
        <f aca="false">AB20+AB$15</f>
        <v>7.97927379608154E-006</v>
      </c>
      <c r="AC21" s="115" t="n">
        <f aca="false">(Kopt-(L0-AB21*Ldif-alph*AB21^0.5))/R0</f>
        <v>0.569007753921631</v>
      </c>
      <c r="AD21" s="113" t="n">
        <f aca="false">IF(AC21&lt;1,X$14*((1-ropt)-Y$14*(1-ropt^2)+Z$14*(1-ropt^3)),0)</f>
        <v>3250700.53314435</v>
      </c>
      <c r="AF21" s="55"/>
      <c r="AG21" s="101" t="s">
        <v>195</v>
      </c>
      <c r="AH21" s="105" t="s">
        <v>196</v>
      </c>
      <c r="AI21" s="105"/>
      <c r="AJ21" s="105" t="s">
        <v>197</v>
      </c>
      <c r="AK21" s="105"/>
      <c r="AL21" s="55"/>
      <c r="AM21" s="105" t="s">
        <v>198</v>
      </c>
      <c r="AN21" s="105"/>
      <c r="AO21" s="105" t="s">
        <v>199</v>
      </c>
      <c r="AP21" s="55"/>
      <c r="AQ21" s="55"/>
      <c r="AR21" s="55"/>
      <c r="AS21" s="55"/>
      <c r="AT21" s="125"/>
      <c r="AU21" s="12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55"/>
      <c r="GO21" s="55"/>
      <c r="GP21" s="55"/>
      <c r="GQ21" s="55"/>
      <c r="GR21" s="55"/>
      <c r="GS21" s="55"/>
      <c r="GT21" s="55"/>
      <c r="GU21" s="55"/>
      <c r="GV21" s="55"/>
      <c r="GW21" s="55"/>
      <c r="GX21" s="55"/>
      <c r="GY21" s="55"/>
      <c r="GZ21" s="55"/>
      <c r="HA21" s="55"/>
      <c r="HB21" s="55"/>
      <c r="HC21" s="55"/>
      <c r="HD21" s="55"/>
      <c r="HE21" s="55"/>
      <c r="HF21" s="55"/>
      <c r="HG21" s="55"/>
      <c r="HH21" s="55"/>
      <c r="HI21" s="55"/>
      <c r="HJ21" s="55"/>
      <c r="HK21" s="55"/>
      <c r="HL21" s="55"/>
      <c r="HM21" s="55"/>
      <c r="HN21" s="55"/>
      <c r="HO21" s="55"/>
      <c r="HP21" s="55"/>
      <c r="HQ21" s="55"/>
      <c r="HR21" s="55"/>
      <c r="HS21" s="55"/>
      <c r="HT21" s="55"/>
      <c r="HU21" s="55"/>
      <c r="HV21" s="55"/>
      <c r="HW21" s="55"/>
      <c r="HX21" s="55"/>
      <c r="HY21" s="55"/>
      <c r="HZ21" s="55"/>
      <c r="IA21" s="55"/>
      <c r="IB21" s="55"/>
      <c r="IC21" s="55"/>
      <c r="ID21" s="55"/>
      <c r="IE21" s="55"/>
      <c r="IF21" s="55"/>
      <c r="IG21" s="55"/>
      <c r="IH21" s="55"/>
      <c r="II21" s="55"/>
      <c r="IJ21" s="55"/>
      <c r="IK21" s="55"/>
      <c r="IL21" s="55"/>
      <c r="IM21" s="55"/>
      <c r="IN21" s="55"/>
      <c r="IO21" s="55"/>
      <c r="IP21" s="55"/>
      <c r="IQ21" s="55"/>
      <c r="IR21" s="55"/>
      <c r="IS21" s="55"/>
      <c r="IT21" s="55"/>
      <c r="IU21" s="55"/>
      <c r="IV21" s="55"/>
      <c r="IW21" s="55"/>
    </row>
    <row r="22" customFormat="false" ht="12.75" hidden="false" customHeight="true" outlineLevel="0" collapsed="false">
      <c r="A22" s="95"/>
      <c r="B22" s="127" t="s">
        <v>200</v>
      </c>
      <c r="C22" s="128" t="n">
        <f aca="false">O88</f>
        <v>0.00398963689804077</v>
      </c>
      <c r="D22" s="90" t="s">
        <v>201</v>
      </c>
      <c r="E22" s="69"/>
      <c r="F22" s="69"/>
      <c r="G22" s="69"/>
      <c r="H22" s="69"/>
      <c r="I22" s="120" t="n">
        <v>8</v>
      </c>
      <c r="J22" s="121" t="n">
        <f aca="false">J$30+(I22/10)*(J$20-J$30)</f>
        <v>48499.8</v>
      </c>
      <c r="K22" s="64" t="n">
        <f aca="false">L0+R0g-KK</f>
        <v>5000.2</v>
      </c>
      <c r="L22" s="65" t="n">
        <f aca="false">Ldif^2</f>
        <v>1</v>
      </c>
      <c r="M22" s="65" t="n">
        <f aca="false">-(alph^2)-2*S_1*Ldif</f>
        <v>-625010000.4</v>
      </c>
      <c r="N22" s="65" t="n">
        <f aca="false">S_1^2</f>
        <v>25002000.04</v>
      </c>
      <c r="O22" s="122" t="n">
        <f aca="false">(-b_1-SQRT(b_1^2-4*a_1*c_1))/(2*a_1)</f>
        <v>0.0400025248527527</v>
      </c>
      <c r="P22" s="123" t="n">
        <f aca="false">L0-KK+(P0-Pcap)/g</f>
        <v>-29999.45</v>
      </c>
      <c r="Q22" s="65" t="n">
        <f aca="false">-(alph^2)-2*S_2*Ldif</f>
        <v>-624940001.1</v>
      </c>
      <c r="R22" s="65" t="n">
        <f aca="false">S_2^2</f>
        <v>899967000.302501</v>
      </c>
      <c r="S22" s="122" t="n">
        <f aca="false">IF(S_2&lt;0,0,(-b_2-SQRT(b_2^2-4*a_1*c_2))/(2*a_1))</f>
        <v>0</v>
      </c>
      <c r="T22" s="66" t="n">
        <f aca="false">Pcap*DDc+(P0+g*(L0-KK))*(DDg-DDc)-g*((DDg^2-DDc^2)*Ldif/2+alph*(DDg^1.5-DDc^1.5)/1.5)</f>
        <v>190.496762489791</v>
      </c>
      <c r="U22" s="67" t="n">
        <f aca="false">IF(AND(T22&gt;F,T21&lt;F),J22,0)</f>
        <v>0</v>
      </c>
      <c r="V22" s="67" t="n">
        <f aca="false">IF(AND(T22&lt;F,T23&gt;F),J22,0)</f>
        <v>0</v>
      </c>
      <c r="X22" s="102" t="n">
        <v>997</v>
      </c>
      <c r="Y22" s="124" t="n">
        <f aca="false">Y21+Y$16</f>
        <v>1.19689106941223E-005</v>
      </c>
      <c r="Z22" s="115" t="n">
        <f aca="false">(K-(L0-Y22*Ldif-alph*Y22^0.5))/R0</f>
        <v>0.573542401571633</v>
      </c>
      <c r="AA22" s="113" t="n">
        <f aca="false">IF(Z22&lt;1,X$14*((1-r_1)-Y$14*(1-r_1^2)+Z$14*(1-r_1^3)),0)</f>
        <v>3182656.45700258</v>
      </c>
      <c r="AB22" s="97" t="n">
        <f aca="false">AB21+AB$15</f>
        <v>1.19689106941223E-005</v>
      </c>
      <c r="AC22" s="115" t="n">
        <f aca="false">(Kopt-(L0-AB22*Ldif-alph*AB22^0.5))/R0</f>
        <v>0.573542401571633</v>
      </c>
      <c r="AD22" s="113" t="n">
        <f aca="false">IF(AC22&lt;1,X$14*((1-ropt)-Y$14*(1-ropt^2)+Z$14*(1-ropt^3)),0)</f>
        <v>3182656.45700258</v>
      </c>
      <c r="AF22" s="55"/>
      <c r="AG22" s="129"/>
      <c r="AH22" s="55"/>
      <c r="AI22" s="55"/>
      <c r="AJ22" s="55"/>
      <c r="AK22" s="55"/>
      <c r="AL22" s="55"/>
      <c r="AM22" s="55"/>
      <c r="AN22" s="55"/>
      <c r="AO22" s="55"/>
      <c r="AP22" s="55"/>
      <c r="AQ22" s="55"/>
      <c r="AR22" s="55"/>
      <c r="AS22" s="55"/>
      <c r="AT22" s="125"/>
      <c r="AU22" s="12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55"/>
      <c r="FU22" s="55"/>
      <c r="FV22" s="55"/>
      <c r="FW22" s="55"/>
      <c r="FX22" s="55"/>
      <c r="FY22" s="55"/>
      <c r="FZ22" s="55"/>
      <c r="GA22" s="55"/>
      <c r="GB22" s="55"/>
      <c r="GC22" s="55"/>
      <c r="GD22" s="55"/>
      <c r="GE22" s="55"/>
      <c r="GF22" s="55"/>
      <c r="GG22" s="55"/>
      <c r="GH22" s="55"/>
      <c r="GI22" s="55"/>
      <c r="GJ22" s="55"/>
      <c r="GK22" s="55"/>
      <c r="GL22" s="55"/>
      <c r="GM22" s="55"/>
      <c r="GN22" s="55"/>
      <c r="GO22" s="55"/>
      <c r="GP22" s="55"/>
      <c r="GQ22" s="55"/>
      <c r="GR22" s="55"/>
      <c r="GS22" s="55"/>
      <c r="GT22" s="55"/>
      <c r="GU22" s="55"/>
      <c r="GV22" s="55"/>
      <c r="GW22" s="55"/>
      <c r="GX22" s="55"/>
      <c r="GY22" s="55"/>
      <c r="GZ22" s="55"/>
      <c r="HA22" s="55"/>
      <c r="HB22" s="55"/>
      <c r="HC22" s="55"/>
      <c r="HD22" s="55"/>
      <c r="HE22" s="55"/>
      <c r="HF22" s="55"/>
      <c r="HG22" s="55"/>
      <c r="HH22" s="55"/>
      <c r="HI22" s="55"/>
      <c r="HJ22" s="55"/>
      <c r="HK22" s="55"/>
      <c r="HL22" s="55"/>
      <c r="HM22" s="55"/>
      <c r="HN22" s="55"/>
      <c r="HO22" s="55"/>
      <c r="HP22" s="55"/>
      <c r="HQ22" s="55"/>
      <c r="HR22" s="55"/>
      <c r="HS22" s="55"/>
      <c r="HT22" s="55"/>
      <c r="HU22" s="55"/>
      <c r="HV22" s="55"/>
      <c r="HW22" s="55"/>
      <c r="HX22" s="55"/>
      <c r="HY22" s="55"/>
      <c r="HZ22" s="55"/>
      <c r="IA22" s="55"/>
      <c r="IB22" s="55"/>
      <c r="IC22" s="55"/>
      <c r="ID22" s="55"/>
      <c r="IE22" s="55"/>
      <c r="IF22" s="55"/>
      <c r="IG22" s="55"/>
      <c r="IH22" s="55"/>
      <c r="II22" s="55"/>
      <c r="IJ22" s="55"/>
      <c r="IK22" s="55"/>
      <c r="IL22" s="55"/>
      <c r="IM22" s="55"/>
      <c r="IN22" s="55"/>
      <c r="IO22" s="55"/>
      <c r="IP22" s="55"/>
      <c r="IQ22" s="55"/>
      <c r="IR22" s="55"/>
      <c r="IS22" s="55"/>
      <c r="IT22" s="55"/>
      <c r="IU22" s="55"/>
      <c r="IV22" s="55"/>
      <c r="IW22" s="55"/>
    </row>
    <row r="23" customFormat="false" ht="12.75" hidden="false" customHeight="true" outlineLevel="0" collapsed="false">
      <c r="A23" s="130"/>
      <c r="B23" s="90" t="s">
        <v>202</v>
      </c>
      <c r="C23" s="131" t="n">
        <f aca="false">O84</f>
        <v>0.00398963689804077</v>
      </c>
      <c r="D23" s="90" t="s">
        <v>203</v>
      </c>
      <c r="E23" s="69"/>
      <c r="F23" s="69"/>
      <c r="G23" s="69"/>
      <c r="H23" s="69"/>
      <c r="I23" s="120" t="n">
        <v>7</v>
      </c>
      <c r="J23" s="121" t="n">
        <f aca="false">J$30+(I23/10)*(J$20-J$30)</f>
        <v>45999.7</v>
      </c>
      <c r="K23" s="64" t="n">
        <f aca="false">L0+R0g-KK</f>
        <v>7500.3</v>
      </c>
      <c r="L23" s="65" t="n">
        <f aca="false">Ldif^2</f>
        <v>1</v>
      </c>
      <c r="M23" s="65" t="n">
        <f aca="false">-(alph^2)-2*S_1*Ldif</f>
        <v>-625015000.6</v>
      </c>
      <c r="N23" s="65" t="n">
        <f aca="false">S_1^2</f>
        <v>56254500.09</v>
      </c>
      <c r="O23" s="122" t="n">
        <f aca="false">(-b_1-SQRT(b_1^2-4*a_1*c_1))/(2*a_1)</f>
        <v>0.0900050401687622</v>
      </c>
      <c r="P23" s="123" t="n">
        <f aca="false">L0-KK+(P0-Pcap)/g</f>
        <v>-27499.35</v>
      </c>
      <c r="Q23" s="65" t="n">
        <f aca="false">-(alph^2)-2*S_2*Ldif</f>
        <v>-624945001.3</v>
      </c>
      <c r="R23" s="65" t="n">
        <f aca="false">S_2^2</f>
        <v>756214250.4225</v>
      </c>
      <c r="S23" s="122" t="n">
        <f aca="false">IF(S_2&lt;0,0,(-b_2-SQRT(b_2^2-4*a_1*c_2))/(2*a_1))</f>
        <v>0</v>
      </c>
      <c r="T23" s="66" t="n">
        <f aca="false">Pcap*DDc+(P0+g*(L0-KK))*(DDg-DDc)-g*((DDg^2-DDc^2)*Ldif/2+alph*(DDg^1.5-DDc^1.5)/1.5)</f>
        <v>642.922715797693</v>
      </c>
      <c r="U23" s="67" t="n">
        <f aca="false">IF(AND(T23&gt;F,T22&lt;F),J23,0)</f>
        <v>0</v>
      </c>
      <c r="V23" s="67" t="n">
        <f aca="false">IF(AND(T23&lt;F,T24&gt;F),J23,0)</f>
        <v>0</v>
      </c>
      <c r="X23" s="102" t="n">
        <v>996</v>
      </c>
      <c r="Y23" s="124" t="n">
        <f aca="false">Y22+Y$16</f>
        <v>1.59585475921631E-005</v>
      </c>
      <c r="Z23" s="115" t="n">
        <f aca="false">(K-(L0-Y23*Ldif-alph*Y23^0.5))/R0</f>
        <v>0.577365286557615</v>
      </c>
      <c r="AA23" s="113" t="n">
        <f aca="false">IF(Z23&lt;1,X$14*((1-r_1)-Y$14*(1-r_1^2)+Z$14*(1-r_1^3)),0)</f>
        <v>3125851.76761422</v>
      </c>
      <c r="AB23" s="97" t="n">
        <f aca="false">AB22+AB$15</f>
        <v>1.59585475921631E-005</v>
      </c>
      <c r="AC23" s="115" t="n">
        <f aca="false">(Kopt-(L0-AB23*Ldif-alph*AB23^0.5))/R0</f>
        <v>0.577365286557615</v>
      </c>
      <c r="AD23" s="113" t="n">
        <f aca="false">IF(AC23&lt;1,X$14*((1-ropt)-Y$14*(1-ropt^2)+Z$14*(1-ropt^3)),0)</f>
        <v>3125851.76761422</v>
      </c>
      <c r="AF23" s="55"/>
      <c r="AG23" s="101" t="s">
        <v>204</v>
      </c>
      <c r="AH23" s="55"/>
      <c r="AI23" s="55"/>
      <c r="AJ23" s="55"/>
      <c r="AK23" s="55"/>
      <c r="AL23" s="55"/>
      <c r="AM23" s="55"/>
      <c r="AN23" s="55"/>
      <c r="AO23" s="55"/>
      <c r="AP23" s="55"/>
      <c r="AQ23" s="55"/>
      <c r="AR23" s="55"/>
      <c r="AS23" s="55"/>
      <c r="AT23" s="125"/>
      <c r="AU23" s="12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c r="ED23" s="55"/>
      <c r="EE23" s="55"/>
      <c r="EF23" s="55"/>
      <c r="EG23" s="55"/>
      <c r="EH23" s="55"/>
      <c r="EI23" s="55"/>
      <c r="EJ23" s="55"/>
      <c r="EK23" s="55"/>
      <c r="EL23" s="55"/>
      <c r="EM23" s="55"/>
      <c r="EN23" s="55"/>
      <c r="EO23" s="55"/>
      <c r="EP23" s="55"/>
      <c r="EQ23" s="55"/>
      <c r="ER23" s="55"/>
      <c r="ES23" s="55"/>
      <c r="ET23" s="55"/>
      <c r="EU23" s="55"/>
      <c r="EV23" s="55"/>
      <c r="EW23" s="55"/>
      <c r="EX23" s="55"/>
      <c r="EY23" s="55"/>
      <c r="EZ23" s="55"/>
      <c r="FA23" s="55"/>
      <c r="FB23" s="55"/>
      <c r="FC23" s="55"/>
      <c r="FD23" s="55"/>
      <c r="FE23" s="55"/>
      <c r="FF23" s="55"/>
      <c r="FG23" s="55"/>
      <c r="FH23" s="55"/>
      <c r="FI23" s="55"/>
      <c r="FJ23" s="55"/>
      <c r="FK23" s="55"/>
      <c r="FL23" s="55"/>
      <c r="FM23" s="55"/>
      <c r="FN23" s="55"/>
      <c r="FO23" s="55"/>
      <c r="FP23" s="55"/>
      <c r="FQ23" s="55"/>
      <c r="FR23" s="55"/>
      <c r="FS23" s="55"/>
      <c r="FT23" s="55"/>
      <c r="FU23" s="55"/>
      <c r="FV23" s="55"/>
      <c r="FW23" s="55"/>
      <c r="FX23" s="55"/>
      <c r="FY23" s="55"/>
      <c r="FZ23" s="55"/>
      <c r="GA23" s="55"/>
      <c r="GB23" s="55"/>
      <c r="GC23" s="55"/>
      <c r="GD23" s="55"/>
      <c r="GE23" s="55"/>
      <c r="GF23" s="55"/>
      <c r="GG23" s="55"/>
      <c r="GH23" s="55"/>
      <c r="GI23" s="55"/>
      <c r="GJ23" s="55"/>
      <c r="GK23" s="55"/>
      <c r="GL23" s="55"/>
      <c r="GM23" s="55"/>
      <c r="GN23" s="55"/>
      <c r="GO23" s="55"/>
      <c r="GP23" s="55"/>
      <c r="GQ23" s="55"/>
      <c r="GR23" s="55"/>
      <c r="GS23" s="55"/>
      <c r="GT23" s="55"/>
      <c r="GU23" s="55"/>
      <c r="GV23" s="55"/>
      <c r="GW23" s="55"/>
      <c r="GX23" s="55"/>
      <c r="GY23" s="55"/>
      <c r="GZ23" s="55"/>
      <c r="HA23" s="55"/>
      <c r="HB23" s="55"/>
      <c r="HC23" s="55"/>
      <c r="HD23" s="55"/>
      <c r="HE23" s="55"/>
      <c r="HF23" s="55"/>
      <c r="HG23" s="55"/>
      <c r="HH23" s="55"/>
      <c r="HI23" s="55"/>
      <c r="HJ23" s="55"/>
      <c r="HK23" s="55"/>
      <c r="HL23" s="55"/>
      <c r="HM23" s="55"/>
      <c r="HN23" s="55"/>
      <c r="HO23" s="55"/>
      <c r="HP23" s="55"/>
      <c r="HQ23" s="55"/>
      <c r="HR23" s="55"/>
      <c r="HS23" s="55"/>
      <c r="HT23" s="55"/>
      <c r="HU23" s="55"/>
      <c r="HV23" s="55"/>
      <c r="HW23" s="55"/>
      <c r="HX23" s="55"/>
      <c r="HY23" s="55"/>
      <c r="HZ23" s="55"/>
      <c r="IA23" s="55"/>
      <c r="IB23" s="55"/>
      <c r="IC23" s="55"/>
      <c r="ID23" s="55"/>
      <c r="IE23" s="55"/>
      <c r="IF23" s="55"/>
      <c r="IG23" s="55"/>
      <c r="IH23" s="55"/>
      <c r="II23" s="55"/>
      <c r="IJ23" s="55"/>
      <c r="IK23" s="55"/>
      <c r="IL23" s="55"/>
      <c r="IM23" s="55"/>
      <c r="IN23" s="55"/>
      <c r="IO23" s="55"/>
      <c r="IP23" s="55"/>
      <c r="IQ23" s="55"/>
      <c r="IR23" s="55"/>
      <c r="IS23" s="55"/>
      <c r="IT23" s="55"/>
      <c r="IU23" s="55"/>
      <c r="IV23" s="55"/>
      <c r="IW23" s="55"/>
    </row>
    <row r="24" customFormat="false" ht="12.75" hidden="false" customHeight="true" outlineLevel="0" collapsed="false">
      <c r="A24" s="132"/>
      <c r="B24" s="90" t="s">
        <v>157</v>
      </c>
      <c r="C24" s="126" t="n">
        <f aca="false">AA16</f>
        <v>2368.82528349452</v>
      </c>
      <c r="D24" s="90" t="s">
        <v>205</v>
      </c>
      <c r="E24" s="69"/>
      <c r="F24" s="69"/>
      <c r="G24" s="69"/>
      <c r="H24" s="69"/>
      <c r="I24" s="120" t="n">
        <v>6</v>
      </c>
      <c r="J24" s="121" t="n">
        <f aca="false">J$30+(I24/10)*(J$20-J$30)</f>
        <v>43499.6</v>
      </c>
      <c r="K24" s="64" t="n">
        <f aca="false">L0+R0g-KK</f>
        <v>10000.4</v>
      </c>
      <c r="L24" s="65" t="n">
        <f aca="false">Ldif^2</f>
        <v>1</v>
      </c>
      <c r="M24" s="65" t="n">
        <f aca="false">-(alph^2)-2*S_1*Ldif</f>
        <v>-625020000.8</v>
      </c>
      <c r="N24" s="65" t="n">
        <f aca="false">S_1^2</f>
        <v>100008000.16</v>
      </c>
      <c r="O24" s="122" t="n">
        <f aca="false">(-b_1-SQRT(b_1^2-4*a_1*c_1))/(2*a_1)</f>
        <v>0.160007655620575</v>
      </c>
      <c r="P24" s="123" t="n">
        <f aca="false">L0-KK+(P0-Pcap)/g</f>
        <v>-24999.25</v>
      </c>
      <c r="Q24" s="65" t="n">
        <f aca="false">-(alph^2)-2*S_2*Ldif</f>
        <v>-624950001.5</v>
      </c>
      <c r="R24" s="65" t="n">
        <f aca="false">S_2^2</f>
        <v>624962500.5625</v>
      </c>
      <c r="S24" s="122" t="n">
        <f aca="false">IF(S_2&lt;0,0,(-b_2-SQRT(b_2^2-4*a_1*c_2))/(2*a_1))</f>
        <v>0</v>
      </c>
      <c r="T24" s="66" t="n">
        <f aca="false">Pcap*DDc+(P0+g*(L0-KK))*(DDg-DDc)-g*((DDg^2-DDc^2)*Ldif/2+alph*(DDg^1.5-DDc^1.5)/1.5)</f>
        <v>1523.95581215686</v>
      </c>
      <c r="U24" s="67" t="n">
        <f aca="false">IF(AND(T24&gt;F,T23&lt;F),J24,0)</f>
        <v>0</v>
      </c>
      <c r="V24" s="67" t="n">
        <f aca="false">IF(AND(T24&lt;F,T25&gt;F),J24,0)</f>
        <v>0</v>
      </c>
      <c r="X24" s="102" t="n">
        <v>995</v>
      </c>
      <c r="Y24" s="124" t="n">
        <f aca="false">Y23+Y$16</f>
        <v>1.99481844902039E-005</v>
      </c>
      <c r="Z24" s="115" t="n">
        <f aca="false">(K-(L0-Y24*Ldif-alph*Y24^0.5))/R0</f>
        <v>0.580733315977702</v>
      </c>
      <c r="AA24" s="113" t="n">
        <f aca="false">IF(Z24&lt;1,X$14*((1-r_1)-Y$14*(1-r_1^2)+Z$14*(1-r_1^3)),0)</f>
        <v>3076229.66579343</v>
      </c>
      <c r="AB24" s="97" t="n">
        <f aca="false">AB23+AB$15</f>
        <v>1.99481844902039E-005</v>
      </c>
      <c r="AC24" s="115" t="n">
        <f aca="false">(Kopt-(L0-AB24*Ldif-alph*AB24^0.5))/R0</f>
        <v>0.580733315977702</v>
      </c>
      <c r="AD24" s="113" t="n">
        <f aca="false">IF(AC24&lt;1,X$14*((1-ropt)-Y$14*(1-ropt^2)+Z$14*(1-ropt^3)),0)</f>
        <v>3076229.66579343</v>
      </c>
      <c r="AF24" s="55"/>
      <c r="AG24" s="129"/>
      <c r="AH24" s="55"/>
      <c r="AI24" s="55"/>
      <c r="AJ24" s="55"/>
      <c r="AK24" s="55"/>
      <c r="AL24" s="55"/>
      <c r="AM24" s="55"/>
      <c r="AN24" s="55"/>
      <c r="AO24" s="55"/>
      <c r="AP24" s="55"/>
      <c r="AQ24" s="55"/>
      <c r="AR24" s="55"/>
      <c r="AS24" s="55"/>
      <c r="AT24" s="125"/>
      <c r="AU24" s="12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c r="HT24" s="55"/>
      <c r="HU24" s="55"/>
      <c r="HV24" s="55"/>
      <c r="HW24" s="55"/>
      <c r="HX24" s="55"/>
      <c r="HY24" s="55"/>
      <c r="HZ24" s="55"/>
      <c r="IA24" s="55"/>
      <c r="IB24" s="55"/>
      <c r="IC24" s="55"/>
      <c r="ID24" s="55"/>
      <c r="IE24" s="55"/>
      <c r="IF24" s="55"/>
      <c r="IG24" s="55"/>
      <c r="IH24" s="55"/>
      <c r="II24" s="55"/>
      <c r="IJ24" s="55"/>
      <c r="IK24" s="55"/>
      <c r="IL24" s="55"/>
      <c r="IM24" s="55"/>
      <c r="IN24" s="55"/>
      <c r="IO24" s="55"/>
      <c r="IP24" s="55"/>
      <c r="IQ24" s="55"/>
      <c r="IR24" s="55"/>
      <c r="IS24" s="55"/>
      <c r="IT24" s="55"/>
      <c r="IU24" s="55"/>
      <c r="IV24" s="55"/>
      <c r="IW24" s="55"/>
    </row>
    <row r="25" customFormat="false" ht="12.75" hidden="false" customHeight="true" outlineLevel="0" collapsed="false">
      <c r="A25" s="133"/>
      <c r="B25" s="134" t="s">
        <v>206</v>
      </c>
      <c r="C25" s="135" t="n">
        <f aca="false">L0-Ldif/2-alph*SQRT(0.5)</f>
        <v>32321.8304703363</v>
      </c>
      <c r="D25" s="134" t="s">
        <v>207</v>
      </c>
      <c r="E25" s="136"/>
      <c r="F25" s="136"/>
      <c r="G25" s="136"/>
      <c r="H25" s="136"/>
      <c r="I25" s="120" t="n">
        <v>5</v>
      </c>
      <c r="J25" s="121" t="n">
        <f aca="false">J$30+(I25/10)*(J$20-J$30)</f>
        <v>40999.5</v>
      </c>
      <c r="K25" s="64" t="n">
        <f aca="false">L0+R0g-KK</f>
        <v>12500.5</v>
      </c>
      <c r="L25" s="65" t="n">
        <f aca="false">Ldif^2</f>
        <v>1</v>
      </c>
      <c r="M25" s="65" t="n">
        <f aca="false">-(alph^2)-2*S_1*Ldif</f>
        <v>-625025001</v>
      </c>
      <c r="N25" s="65" t="n">
        <f aca="false">S_1^2</f>
        <v>156262500.25</v>
      </c>
      <c r="O25" s="122" t="n">
        <f aca="false">(-b_1-SQRT(b_1^2-4*a_1*c_1))/(2*a_1)</f>
        <v>0.250010013580322</v>
      </c>
      <c r="P25" s="123" t="n">
        <f aca="false">L0-KK+(P0-Pcap)/g</f>
        <v>-22499.15</v>
      </c>
      <c r="Q25" s="65" t="n">
        <f aca="false">-(alph^2)-2*S_2*Ldif</f>
        <v>-624955001.7</v>
      </c>
      <c r="R25" s="65" t="n">
        <f aca="false">S_2^2</f>
        <v>506211750.7225</v>
      </c>
      <c r="S25" s="122" t="n">
        <f aca="false">IF(S_2&lt;0,0,(-b_2-SQRT(b_2^2-4*a_1*c_2))/(2*a_1))</f>
        <v>0</v>
      </c>
      <c r="T25" s="66" t="n">
        <f aca="false">Pcap*DDc+(P0+g*(L0-KK))*(DDg-DDc)-g*((DDg^2-DDc^2)*Ldif/2+alph*(DDg^1.5-DDc^1.5)/1.5)</f>
        <v>2976.45833690464</v>
      </c>
      <c r="U25" s="67" t="n">
        <f aca="false">IF(AND(T25&gt;F,T24&lt;F),J25,0)</f>
        <v>0</v>
      </c>
      <c r="V25" s="67" t="n">
        <f aca="false">IF(AND(T25&lt;F,T26&gt;F),J25,0)</f>
        <v>0</v>
      </c>
      <c r="X25" s="102" t="n">
        <v>994</v>
      </c>
      <c r="Y25" s="124" t="n">
        <f aca="false">Y24+Y$16</f>
        <v>2.39378213882446E-005</v>
      </c>
      <c r="Z25" s="115" t="n">
        <f aca="false">(K-(L0-Y25*Ldif-alph*Y25^0.5))/R0</f>
        <v>0.583778247432565</v>
      </c>
      <c r="AA25" s="113" t="n">
        <f aca="false">IF(Z25&lt;1,X$14*((1-r_1)-Y$14*(1-r_1^2)+Z$14*(1-r_1^3)),0)</f>
        <v>3031709.57793038</v>
      </c>
      <c r="AB25" s="97" t="n">
        <f aca="false">AB24+AB$15</f>
        <v>2.39378213882446E-005</v>
      </c>
      <c r="AC25" s="115" t="n">
        <f aca="false">(Kopt-(L0-AB25*Ldif-alph*AB25^0.5))/R0</f>
        <v>0.583778247432565</v>
      </c>
      <c r="AD25" s="113" t="n">
        <f aca="false">IF(AC25&lt;1,X$14*((1-ropt)-Y$14*(1-ropt^2)+Z$14*(1-ropt^3)),0)</f>
        <v>3031709.57793038</v>
      </c>
      <c r="AF25" s="55"/>
      <c r="AG25" s="129"/>
      <c r="AH25" s="55"/>
      <c r="AI25" s="55"/>
      <c r="AJ25" s="55"/>
      <c r="AK25" s="55"/>
      <c r="AL25" s="55"/>
      <c r="AM25" s="55"/>
      <c r="AN25" s="55"/>
      <c r="AO25" s="55"/>
      <c r="AP25" s="55"/>
      <c r="AQ25" s="55"/>
      <c r="AR25" s="55"/>
      <c r="AS25" s="55"/>
      <c r="AT25" s="125"/>
      <c r="AU25" s="12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c r="IP25" s="55"/>
      <c r="IQ25" s="55"/>
      <c r="IR25" s="55"/>
      <c r="IS25" s="55"/>
      <c r="IT25" s="55"/>
      <c r="IU25" s="55"/>
      <c r="IV25" s="55"/>
      <c r="IW25" s="55"/>
    </row>
    <row r="26" customFormat="false" ht="12.75" hidden="false" customHeight="true" outlineLevel="0" collapsed="false">
      <c r="A26" s="83" t="s">
        <v>151</v>
      </c>
      <c r="B26" s="110" t="s">
        <v>145</v>
      </c>
      <c r="C26" s="111" t="n">
        <f aca="false">AG96</f>
        <v>51920.9081097779</v>
      </c>
      <c r="D26" s="110" t="s">
        <v>208</v>
      </c>
      <c r="E26" s="137"/>
      <c r="F26" s="137"/>
      <c r="G26" s="137"/>
      <c r="H26" s="137"/>
      <c r="I26" s="120" t="n">
        <v>4</v>
      </c>
      <c r="J26" s="121" t="n">
        <f aca="false">J$30+(I26/10)*(J$20-J$30)</f>
        <v>38499.4</v>
      </c>
      <c r="K26" s="64" t="n">
        <f aca="false">L0+R0g-KK</f>
        <v>15000.6</v>
      </c>
      <c r="L26" s="65" t="n">
        <f aca="false">Ldif^2</f>
        <v>1</v>
      </c>
      <c r="M26" s="65" t="n">
        <f aca="false">-(alph^2)-2*S_1*Ldif</f>
        <v>-625030001.2</v>
      </c>
      <c r="N26" s="65" t="n">
        <f aca="false">S_1^2</f>
        <v>225018000.36</v>
      </c>
      <c r="O26" s="122" t="n">
        <f aca="false">(-b_1-SQRT(b_1^2-4*a_1*c_1))/(2*a_1)</f>
        <v>0.360011518001556</v>
      </c>
      <c r="P26" s="123" t="n">
        <f aca="false">L0-KK+(P0-Pcap)/g</f>
        <v>-19999.05</v>
      </c>
      <c r="Q26" s="65" t="n">
        <f aca="false">-(alph^2)-2*S_2*Ldif</f>
        <v>-624960001.9</v>
      </c>
      <c r="R26" s="65" t="n">
        <f aca="false">S_2^2</f>
        <v>399962000.9025</v>
      </c>
      <c r="S26" s="122" t="n">
        <f aca="false">IF(S_2&lt;0,0,(-b_2-SQRT(b_2^2-4*a_1*c_2))/(2*a_1))</f>
        <v>0</v>
      </c>
      <c r="T26" s="66" t="n">
        <f aca="false">Pcap*DDc+(P0+g*(L0-KK))*(DDg-DDc)-g*((DDg^2-DDc^2)*Ldif/2+alph*(DDg^1.5-DDc^1.5)/1.5)</f>
        <v>5143.28914680669</v>
      </c>
      <c r="U26" s="67" t="n">
        <f aca="false">IF(AND(T26&gt;F,T25&lt;F),J26,0)</f>
        <v>0</v>
      </c>
      <c r="V26" s="67" t="n">
        <f aca="false">IF(AND(T26&lt;F,T27&gt;F),J26,0)</f>
        <v>0</v>
      </c>
      <c r="X26" s="102" t="n">
        <v>993</v>
      </c>
      <c r="Y26" s="124" t="n">
        <f aca="false">Y25+Y$16</f>
        <v>2.79274582862854E-005</v>
      </c>
      <c r="Z26" s="115" t="n">
        <f aca="false">(K-(L0-Y26*Ldif-alph*Y26^0.5))/R0</f>
        <v>0.586578350980621</v>
      </c>
      <c r="AA26" s="113" t="n">
        <f aca="false">IF(Z26&lt;1,X$14*((1-r_1)-Y$14*(1-r_1^2)+Z$14*(1-r_1^3)),0)</f>
        <v>2991055.5478633</v>
      </c>
      <c r="AB26" s="97" t="n">
        <f aca="false">AB25+AB$15</f>
        <v>2.79274582862854E-005</v>
      </c>
      <c r="AC26" s="115" t="n">
        <f aca="false">(Kopt-(L0-AB26*Ldif-alph*AB26^0.5))/R0</f>
        <v>0.586578350980621</v>
      </c>
      <c r="AD26" s="113" t="n">
        <f aca="false">IF(AC26&lt;1,X$14*((1-ropt)-Y$14*(1-ropt^2)+Z$14*(1-ropt^3)),0)</f>
        <v>2991055.5478633</v>
      </c>
      <c r="AF26" s="55"/>
      <c r="AG26" s="129"/>
      <c r="AH26" s="55"/>
      <c r="AI26" s="55"/>
      <c r="AJ26" s="55"/>
      <c r="AK26" s="55"/>
      <c r="AL26" s="55"/>
      <c r="AM26" s="55"/>
      <c r="AN26" s="55"/>
      <c r="AO26" s="55"/>
      <c r="AP26" s="55"/>
      <c r="AQ26" s="55"/>
      <c r="AR26" s="55"/>
      <c r="AS26" s="55"/>
      <c r="AT26" s="125"/>
      <c r="AU26" s="12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5"/>
      <c r="FH26" s="55"/>
      <c r="FI26" s="55"/>
      <c r="FJ26" s="55"/>
      <c r="FK26" s="55"/>
      <c r="FL26" s="55"/>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c r="GM26" s="55"/>
      <c r="GN26" s="55"/>
      <c r="GO26" s="55"/>
      <c r="GP26" s="55"/>
      <c r="GQ26" s="55"/>
      <c r="GR26" s="55"/>
      <c r="GS26" s="55"/>
      <c r="GT26" s="55"/>
      <c r="GU26" s="55"/>
      <c r="GV26" s="55"/>
      <c r="GW26" s="55"/>
      <c r="GX26" s="55"/>
      <c r="GY26" s="55"/>
      <c r="GZ26" s="55"/>
      <c r="HA26" s="55"/>
      <c r="HB26" s="55"/>
      <c r="HC26" s="55"/>
      <c r="HD26" s="55"/>
      <c r="HE26" s="55"/>
      <c r="HF26" s="55"/>
      <c r="HG26" s="55"/>
      <c r="HH26" s="55"/>
      <c r="HI26" s="55"/>
      <c r="HJ26" s="55"/>
      <c r="HK26" s="55"/>
      <c r="HL26" s="55"/>
      <c r="HM26" s="55"/>
      <c r="HN26" s="55"/>
      <c r="HO26" s="55"/>
      <c r="HP26" s="55"/>
      <c r="HQ26" s="55"/>
      <c r="HR26" s="55"/>
      <c r="HS26" s="55"/>
      <c r="HT26" s="55"/>
      <c r="HU26" s="55"/>
      <c r="HV26" s="55"/>
      <c r="HW26" s="55"/>
      <c r="HX26" s="55"/>
      <c r="HY26" s="55"/>
      <c r="HZ26" s="55"/>
      <c r="IA26" s="55"/>
      <c r="IB26" s="55"/>
      <c r="IC26" s="55"/>
      <c r="ID26" s="55"/>
      <c r="IE26" s="55"/>
      <c r="IF26" s="55"/>
      <c r="IG26" s="55"/>
      <c r="IH26" s="55"/>
      <c r="II26" s="55"/>
      <c r="IJ26" s="55"/>
      <c r="IK26" s="55"/>
      <c r="IL26" s="55"/>
      <c r="IM26" s="55"/>
      <c r="IN26" s="55"/>
      <c r="IO26" s="55"/>
      <c r="IP26" s="55"/>
      <c r="IQ26" s="55"/>
      <c r="IR26" s="55"/>
      <c r="IS26" s="55"/>
      <c r="IT26" s="55"/>
      <c r="IU26" s="55"/>
      <c r="IV26" s="55"/>
      <c r="IW26" s="55"/>
    </row>
    <row r="27" customFormat="false" ht="12.75" hidden="false" customHeight="true" outlineLevel="0" collapsed="false">
      <c r="A27" s="88" t="s">
        <v>176</v>
      </c>
      <c r="B27" s="90" t="s">
        <v>158</v>
      </c>
      <c r="C27" s="138" t="n">
        <f aca="false">AK96</f>
        <v>0.00398963689804077</v>
      </c>
      <c r="D27" s="90" t="s">
        <v>209</v>
      </c>
      <c r="E27" s="102"/>
      <c r="F27" s="102"/>
      <c r="G27" s="102"/>
      <c r="H27" s="102"/>
      <c r="I27" s="120" t="n">
        <v>3</v>
      </c>
      <c r="J27" s="121" t="n">
        <f aca="false">J$30+(I27/10)*(J$20-J$30)</f>
        <v>35999.3</v>
      </c>
      <c r="K27" s="64" t="n">
        <f aca="false">L0+R0g-KK</f>
        <v>17500.7</v>
      </c>
      <c r="L27" s="65" t="n">
        <f aca="false">Ldif^2</f>
        <v>1</v>
      </c>
      <c r="M27" s="65" t="n">
        <f aca="false">-(alph^2)-2*S_1*Ldif</f>
        <v>-625035001.4</v>
      </c>
      <c r="N27" s="65" t="n">
        <f aca="false">S_1^2</f>
        <v>306274500.49</v>
      </c>
      <c r="O27" s="122" t="n">
        <f aca="false">(-b_1-SQRT(b_1^2-4*a_1*c_1))/(2*a_1)</f>
        <v>0.490011751651764</v>
      </c>
      <c r="P27" s="123" t="n">
        <f aca="false">L0-KK+(P0-Pcap)/g</f>
        <v>-17498.95</v>
      </c>
      <c r="Q27" s="65" t="n">
        <f aca="false">-(alph^2)-2*S_2*Ldif</f>
        <v>-624965002.1</v>
      </c>
      <c r="R27" s="65" t="n">
        <f aca="false">S_2^2</f>
        <v>306213251.1025</v>
      </c>
      <c r="S27" s="122" t="n">
        <f aca="false">IF(S_2&lt;0,0,(-b_2-SQRT(b_2^2-4*a_1*c_2))/(2*a_1))</f>
        <v>0</v>
      </c>
      <c r="T27" s="66" t="n">
        <f aca="false">Pcap*DDc+(P0+g*(L0-KK))*(DDg-DDc)-g*((DDg^2-DDc^2)*Ldif/2+alph*(DDg^1.5-DDc^1.5)/1.5)</f>
        <v>8167.30367019447</v>
      </c>
      <c r="U27" s="67" t="n">
        <f aca="false">IF(AND(T27&gt;F,T26&lt;F),J27,0)</f>
        <v>0</v>
      </c>
      <c r="V27" s="67" t="n">
        <f aca="false">IF(AND(T27&lt;F,T28&gt;F),J27,0)</f>
        <v>0</v>
      </c>
      <c r="W27" s="139"/>
      <c r="X27" s="102" t="n">
        <v>992</v>
      </c>
      <c r="Y27" s="124" t="n">
        <f aca="false">Y26+Y$16</f>
        <v>3.19170951843262E-005</v>
      </c>
      <c r="Z27" s="115" t="n">
        <f aca="false">(K-(L0-Y27*Ldif-alph*Y27^0.5))/R0</f>
        <v>0.58918462389487</v>
      </c>
      <c r="AA27" s="113" t="n">
        <f aca="false">IF(Z27&lt;1,X$14*((1-r_1)-Y$14*(1-r_1^2)+Z$14*(1-r_1^3)),0)</f>
        <v>2953462.28177699</v>
      </c>
      <c r="AB27" s="97" t="n">
        <f aca="false">AB26+AB$15</f>
        <v>3.19170951843262E-005</v>
      </c>
      <c r="AC27" s="115" t="n">
        <f aca="false">(Kopt-(L0-AB27*Ldif-alph*AB27^0.5))/R0</f>
        <v>0.58918462389487</v>
      </c>
      <c r="AD27" s="113" t="n">
        <f aca="false">IF(AC27&lt;1,X$14*((1-ropt)-Y$14*(1-ropt^2)+Z$14*(1-ropt^3)),0)</f>
        <v>2953462.28177699</v>
      </c>
      <c r="AE27" s="140"/>
      <c r="AF27" s="55"/>
      <c r="AG27" s="129" t="n">
        <f aca="false">50000+3750</f>
        <v>53750</v>
      </c>
      <c r="AH27" s="55"/>
      <c r="AI27" s="55"/>
      <c r="AJ27" s="55"/>
      <c r="AK27" s="55"/>
      <c r="AL27" s="55"/>
      <c r="AM27" s="55"/>
      <c r="AN27" s="55"/>
      <c r="AO27" s="55"/>
      <c r="AP27" s="55"/>
      <c r="AQ27" s="55"/>
      <c r="AR27" s="55"/>
      <c r="AS27" s="55"/>
      <c r="AT27" s="125"/>
      <c r="AU27" s="12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c r="ED27" s="55"/>
      <c r="EE27" s="55"/>
      <c r="EF27" s="55"/>
      <c r="EG27" s="55"/>
      <c r="EH27" s="55"/>
      <c r="EI27" s="55"/>
      <c r="EJ27" s="55"/>
      <c r="EK27" s="55"/>
      <c r="EL27" s="55"/>
      <c r="EM27" s="55"/>
      <c r="EN27" s="55"/>
      <c r="EO27" s="55"/>
      <c r="EP27" s="55"/>
      <c r="EQ27" s="55"/>
      <c r="ER27" s="55"/>
      <c r="ES27" s="55"/>
      <c r="ET27" s="55"/>
      <c r="EU27" s="55"/>
      <c r="EV27" s="55"/>
      <c r="EW27" s="55"/>
      <c r="EX27" s="55"/>
      <c r="EY27" s="55"/>
      <c r="EZ27" s="55"/>
      <c r="FA27" s="55"/>
      <c r="FB27" s="55"/>
      <c r="FC27" s="55"/>
      <c r="FD27" s="55"/>
      <c r="FE27" s="55"/>
      <c r="FF27" s="55"/>
      <c r="FG27" s="55"/>
      <c r="FH27" s="55"/>
      <c r="FI27" s="55"/>
      <c r="FJ27" s="55"/>
      <c r="FK27" s="55"/>
      <c r="FL27" s="55"/>
      <c r="FM27" s="55"/>
      <c r="FN27" s="55"/>
      <c r="FO27" s="55"/>
      <c r="FP27" s="55"/>
      <c r="FQ27" s="55"/>
      <c r="FR27" s="55"/>
      <c r="FS27" s="55"/>
      <c r="FT27" s="55"/>
      <c r="FU27" s="55"/>
      <c r="FV27" s="55"/>
      <c r="FW27" s="55"/>
      <c r="FX27" s="55"/>
      <c r="FY27" s="55"/>
      <c r="FZ27" s="55"/>
      <c r="GA27" s="55"/>
      <c r="GB27" s="55"/>
      <c r="GC27" s="55"/>
      <c r="GD27" s="55"/>
      <c r="GE27" s="55"/>
      <c r="GF27" s="55"/>
      <c r="GG27" s="55"/>
      <c r="GH27" s="55"/>
      <c r="GI27" s="55"/>
      <c r="GJ27" s="55"/>
      <c r="GK27" s="55"/>
      <c r="GL27" s="55"/>
      <c r="GM27" s="55"/>
      <c r="GN27" s="55"/>
      <c r="GO27" s="55"/>
      <c r="GP27" s="55"/>
      <c r="GQ27" s="55"/>
      <c r="GR27" s="55"/>
      <c r="GS27" s="55"/>
      <c r="GT27" s="55"/>
      <c r="GU27" s="55"/>
      <c r="GV27" s="55"/>
      <c r="GW27" s="55"/>
      <c r="GX27" s="55"/>
      <c r="GY27" s="55"/>
      <c r="GZ27" s="55"/>
      <c r="HA27" s="55"/>
      <c r="HB27" s="55"/>
      <c r="HC27" s="55"/>
      <c r="HD27" s="55"/>
      <c r="HE27" s="55"/>
      <c r="HF27" s="55"/>
      <c r="HG27" s="55"/>
      <c r="HH27" s="55"/>
      <c r="HI27" s="55"/>
      <c r="HJ27" s="55"/>
      <c r="HK27" s="55"/>
      <c r="HL27" s="55"/>
      <c r="HM27" s="55"/>
      <c r="HN27" s="55"/>
      <c r="HO27" s="55"/>
      <c r="HP27" s="55"/>
      <c r="HQ27" s="55"/>
      <c r="HR27" s="55"/>
      <c r="HS27" s="55"/>
      <c r="HT27" s="55"/>
      <c r="HU27" s="55"/>
      <c r="HV27" s="55"/>
      <c r="HW27" s="55"/>
      <c r="HX27" s="55"/>
      <c r="HY27" s="55"/>
      <c r="HZ27" s="55"/>
      <c r="IA27" s="55"/>
      <c r="IB27" s="55"/>
      <c r="IC27" s="55"/>
      <c r="ID27" s="55"/>
      <c r="IE27" s="55"/>
      <c r="IF27" s="55"/>
      <c r="IG27" s="55"/>
      <c r="IH27" s="55"/>
      <c r="II27" s="55"/>
      <c r="IJ27" s="55"/>
      <c r="IK27" s="55"/>
      <c r="IL27" s="55"/>
      <c r="IM27" s="55"/>
      <c r="IN27" s="55"/>
      <c r="IO27" s="55"/>
      <c r="IP27" s="55"/>
      <c r="IQ27" s="55"/>
      <c r="IR27" s="55"/>
      <c r="IS27" s="55"/>
      <c r="IT27" s="55"/>
      <c r="IU27" s="55"/>
      <c r="IV27" s="55"/>
      <c r="IW27" s="55"/>
    </row>
    <row r="28" customFormat="false" ht="12.75" hidden="false" customHeight="true" outlineLevel="0" collapsed="false">
      <c r="A28" s="88" t="s">
        <v>189</v>
      </c>
      <c r="B28" s="90" t="s">
        <v>210</v>
      </c>
      <c r="C28" s="87" t="n">
        <f aca="false">AD16</f>
        <v>2368.82528349452</v>
      </c>
      <c r="D28" s="90" t="s">
        <v>211</v>
      </c>
      <c r="E28" s="102"/>
      <c r="F28" s="102"/>
      <c r="G28" s="102"/>
      <c r="H28" s="102"/>
      <c r="I28" s="120" t="n">
        <v>2</v>
      </c>
      <c r="J28" s="121" t="n">
        <f aca="false">J$30+(I28/10)*(J$20-J$30)</f>
        <v>33499.2</v>
      </c>
      <c r="K28" s="64" t="n">
        <f aca="false">L0+R0g-KK</f>
        <v>20000.8</v>
      </c>
      <c r="L28" s="65" t="n">
        <f aca="false">Ldif^2</f>
        <v>1</v>
      </c>
      <c r="M28" s="65" t="n">
        <f aca="false">-(alph^2)-2*S_1*Ldif</f>
        <v>-625040001.6</v>
      </c>
      <c r="N28" s="65" t="n">
        <f aca="false">S_1^2</f>
        <v>400032000.64</v>
      </c>
      <c r="O28" s="122" t="n">
        <f aca="false">(-b_1-SQRT(b_1^2-4*a_1*c_1))/(2*a_1)</f>
        <v>0.640010237693787</v>
      </c>
      <c r="P28" s="123" t="n">
        <f aca="false">L0-KK+(P0-Pcap)/g</f>
        <v>-14998.85</v>
      </c>
      <c r="Q28" s="65" t="n">
        <f aca="false">-(alph^2)-2*S_2*Ldif</f>
        <v>-624970002.3</v>
      </c>
      <c r="R28" s="65" t="n">
        <f aca="false">S_2^2</f>
        <v>224965501.3225</v>
      </c>
      <c r="S28" s="122" t="n">
        <f aca="false">IF(S_2&lt;0,0,(-b_2-SQRT(b_2^2-4*a_1*c_2))/(2*a_1))</f>
        <v>0</v>
      </c>
      <c r="T28" s="66" t="n">
        <f aca="false">Pcap*DDc+(P0+g*(L0-KK))*(DDg-DDc)-g*((DDg^2-DDc^2)*Ldif/2+alph*(DDg^1.5-DDc^1.5)/1.5)</f>
        <v>12191.3539071023</v>
      </c>
      <c r="U28" s="67" t="n">
        <f aca="false">IF(AND(T28&gt;F,T27&lt;F),J28,0)</f>
        <v>0</v>
      </c>
      <c r="V28" s="67" t="n">
        <f aca="false">IF(AND(T28&lt;F,T29&gt;F),J28,0)</f>
        <v>0</v>
      </c>
      <c r="W28" s="139"/>
      <c r="X28" s="102" t="n">
        <v>991</v>
      </c>
      <c r="Y28" s="124" t="n">
        <f aca="false">Y27+Y$16</f>
        <v>3.59067320823669E-005</v>
      </c>
      <c r="Z28" s="115" t="n">
        <f aca="false">(K-(L0-Y28*Ldif-alph*Y28^0.5))/R0</f>
        <v>0.591632489002123</v>
      </c>
      <c r="AA28" s="113" t="n">
        <f aca="false">IF(Z28&lt;1,X$14*((1-r_1)-Y$14*(1-r_1^2)+Z$14*(1-r_1^3)),0)</f>
        <v>2918370.42067553</v>
      </c>
      <c r="AB28" s="97" t="n">
        <f aca="false">AB27+AB$15</f>
        <v>3.59067320823669E-005</v>
      </c>
      <c r="AC28" s="115" t="n">
        <f aca="false">(Kopt-(L0-AB28*Ldif-alph*AB28^0.5))/R0</f>
        <v>0.591632489002123</v>
      </c>
      <c r="AD28" s="113" t="n">
        <f aca="false">IF(AC28&lt;1,X$14*((1-ropt)-Y$14*(1-ropt^2)+Z$14*(1-ropt^3)),0)</f>
        <v>2918370.42067553</v>
      </c>
      <c r="AE28" s="140"/>
      <c r="AF28" s="55"/>
      <c r="AG28" s="141" t="n">
        <v>52009.4017672934</v>
      </c>
      <c r="AH28" s="142"/>
      <c r="AI28" s="142" t="s">
        <v>212</v>
      </c>
      <c r="AJ28" s="142"/>
      <c r="AK28" s="142"/>
      <c r="AL28" s="143" t="s">
        <v>213</v>
      </c>
      <c r="AM28" s="143" t="s">
        <v>214</v>
      </c>
      <c r="AN28" s="143" t="s">
        <v>215</v>
      </c>
      <c r="AO28" s="143" t="s">
        <v>216</v>
      </c>
      <c r="AP28" s="55"/>
      <c r="AQ28" s="55"/>
      <c r="AR28" s="55"/>
      <c r="AS28" s="55"/>
      <c r="AT28" s="125"/>
      <c r="AU28" s="12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c r="HT28" s="55"/>
      <c r="HU28" s="55"/>
      <c r="HV28" s="55"/>
      <c r="HW28" s="55"/>
      <c r="HX28" s="55"/>
      <c r="HY28" s="55"/>
      <c r="HZ28" s="55"/>
      <c r="IA28" s="55"/>
      <c r="IB28" s="55"/>
      <c r="IC28" s="55"/>
      <c r="ID28" s="55"/>
      <c r="IE28" s="55"/>
      <c r="IF28" s="55"/>
      <c r="IG28" s="55"/>
      <c r="IH28" s="55"/>
      <c r="II28" s="55"/>
      <c r="IJ28" s="55"/>
      <c r="IK28" s="55"/>
      <c r="IL28" s="55"/>
      <c r="IM28" s="55"/>
      <c r="IN28" s="55"/>
      <c r="IO28" s="55"/>
      <c r="IP28" s="55"/>
      <c r="IQ28" s="55"/>
      <c r="IR28" s="55"/>
      <c r="IS28" s="55"/>
      <c r="IT28" s="55"/>
      <c r="IU28" s="55"/>
      <c r="IV28" s="55"/>
      <c r="IW28" s="55"/>
    </row>
    <row r="29" customFormat="false" ht="12.75" hidden="false" customHeight="true" outlineLevel="0" collapsed="false">
      <c r="A29" s="55"/>
      <c r="B29" s="90" t="s">
        <v>217</v>
      </c>
      <c r="C29" s="87" t="n">
        <f aca="false">(Kopt-L0)*F</f>
        <v>11525.4486586676</v>
      </c>
      <c r="D29" s="90" t="s">
        <v>218</v>
      </c>
      <c r="E29" s="102"/>
      <c r="F29" s="102"/>
      <c r="G29" s="102"/>
      <c r="H29" s="102"/>
      <c r="I29" s="120" t="n">
        <v>1</v>
      </c>
      <c r="J29" s="121" t="n">
        <f aca="false">J$30+(I29/10)*(J$20-J$30)</f>
        <v>30999.1</v>
      </c>
      <c r="K29" s="64" t="n">
        <f aca="false">L0+R0g-KK</f>
        <v>22500.9</v>
      </c>
      <c r="L29" s="65" t="n">
        <f aca="false">Ldif^2</f>
        <v>1</v>
      </c>
      <c r="M29" s="65" t="n">
        <f aca="false">-(alph^2)-2*S_1*Ldif</f>
        <v>-625045001.8</v>
      </c>
      <c r="N29" s="65" t="n">
        <f aca="false">S_1^2</f>
        <v>506290500.81</v>
      </c>
      <c r="O29" s="122" t="n">
        <f aca="false">(-b_1-SQRT(b_1^2-4*a_1*c_1))/(2*a_1)</f>
        <v>0.810006499290466</v>
      </c>
      <c r="P29" s="123" t="n">
        <f aca="false">L0-KK+(P0-Pcap)/g</f>
        <v>-12498.75</v>
      </c>
      <c r="Q29" s="65" t="n">
        <f aca="false">-(alph^2)-2*S_2*Ldif</f>
        <v>-624975002.5</v>
      </c>
      <c r="R29" s="65" t="n">
        <f aca="false">S_2^2</f>
        <v>156218751.5625</v>
      </c>
      <c r="S29" s="122" t="n">
        <f aca="false">IF(S_2&lt;0,0,(-b_2-SQRT(b_2^2-4*a_1*c_2))/(2*a_1))</f>
        <v>0</v>
      </c>
      <c r="T29" s="66" t="n">
        <f aca="false">Pcap*DDc+(P0+g*(L0-KK))*(DDg-DDc)-g*((DDg^2-DDc^2)*Ldif/2+alph*(DDg^1.5-DDc^1.5)/1.5)</f>
        <v>17358.2884294045</v>
      </c>
      <c r="U29" s="67" t="n">
        <f aca="false">IF(AND(T29&gt;F,T28&lt;F),J29,0)</f>
        <v>0</v>
      </c>
      <c r="V29" s="67" t="n">
        <f aca="false">IF(AND(T29&lt;F,T30&gt;F),J29,0)</f>
        <v>0</v>
      </c>
      <c r="W29" s="139"/>
      <c r="X29" s="102" t="n">
        <v>990</v>
      </c>
      <c r="Y29" s="124" t="n">
        <f aca="false">Y28+Y$16</f>
        <v>3.98963689804077E-005</v>
      </c>
      <c r="Z29" s="115" t="n">
        <f aca="false">(K-(L0-Y29*Ldif-alph*Y29^0.5))/R0</f>
        <v>0.593947737446961</v>
      </c>
      <c r="AA29" s="113" t="n">
        <f aca="false">IF(Z29&lt;1,X$14*((1-r_1)-Y$14*(1-r_1^2)+Z$14*(1-r_1^3)),0)</f>
        <v>2885372.69867774</v>
      </c>
      <c r="AB29" s="97" t="n">
        <f aca="false">AB28+AB$15</f>
        <v>3.98963689804077E-005</v>
      </c>
      <c r="AC29" s="115" t="n">
        <f aca="false">(Kopt-(L0-AB29*Ldif-alph*AB29^0.5))/R0</f>
        <v>0.593947737446961</v>
      </c>
      <c r="AD29" s="113" t="n">
        <f aca="false">IF(AC29&lt;1,X$14*((1-ropt)-Y$14*(1-ropt^2)+Z$14*(1-ropt^3)),0)</f>
        <v>2885372.69867774</v>
      </c>
      <c r="AE29" s="140"/>
      <c r="AF29" s="55"/>
      <c r="AG29" s="141"/>
      <c r="AH29" s="142"/>
      <c r="AI29" s="144" t="n">
        <f aca="false">Ldif^2</f>
        <v>1</v>
      </c>
      <c r="AJ29" s="142"/>
      <c r="AK29" s="142"/>
      <c r="AL29" s="145" t="n">
        <f aca="false">-alph/R0</f>
        <v>-7.14285714285714</v>
      </c>
      <c r="AM29" s="145" t="n">
        <f aca="false">-Ldif/R0</f>
        <v>-0.000285714285714286</v>
      </c>
      <c r="AN29" s="145" t="n">
        <f aca="false">beta*g_3</f>
        <v>-0</v>
      </c>
      <c r="AO29" s="145" t="n">
        <f aca="false">beta*h_3</f>
        <v>-0</v>
      </c>
      <c r="AP29" s="55"/>
      <c r="AQ29" s="55"/>
      <c r="AR29" s="55"/>
      <c r="AS29" s="55"/>
      <c r="AT29" s="125"/>
      <c r="AU29" s="12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c r="ED29" s="55"/>
      <c r="EE29" s="55"/>
      <c r="EF29" s="55"/>
      <c r="EG29" s="55"/>
      <c r="EH29" s="55"/>
      <c r="EI29" s="55"/>
      <c r="EJ29" s="55"/>
      <c r="EK29" s="55"/>
      <c r="EL29" s="55"/>
      <c r="EM29" s="55"/>
      <c r="EN29" s="55"/>
      <c r="EO29" s="55"/>
      <c r="EP29" s="55"/>
      <c r="EQ29" s="55"/>
      <c r="ER29" s="55"/>
      <c r="ES29" s="55"/>
      <c r="ET29" s="55"/>
      <c r="EU29" s="55"/>
      <c r="EV29" s="55"/>
      <c r="EW29" s="55"/>
      <c r="EX29" s="55"/>
      <c r="EY29" s="55"/>
      <c r="EZ29" s="55"/>
      <c r="FA29" s="55"/>
      <c r="FB29" s="55"/>
      <c r="FC29" s="55"/>
      <c r="FD29" s="55"/>
      <c r="FE29" s="55"/>
      <c r="FF29" s="55"/>
      <c r="FG29" s="55"/>
      <c r="FH29" s="55"/>
      <c r="FI29" s="55"/>
      <c r="FJ29" s="55"/>
      <c r="FK29" s="55"/>
      <c r="FL29" s="55"/>
      <c r="FM29" s="55"/>
      <c r="FN29" s="55"/>
      <c r="FO29" s="55"/>
      <c r="FP29" s="55"/>
      <c r="FQ29" s="55"/>
      <c r="FR29" s="55"/>
      <c r="FS29" s="55"/>
      <c r="FT29" s="55"/>
      <c r="FU29" s="55"/>
      <c r="FV29" s="55"/>
      <c r="FW29" s="55"/>
      <c r="FX29" s="55"/>
      <c r="FY29" s="55"/>
      <c r="FZ29" s="55"/>
      <c r="GA29" s="55"/>
      <c r="GB29" s="55"/>
      <c r="GC29" s="55"/>
      <c r="GD29" s="55"/>
      <c r="GE29" s="55"/>
      <c r="GF29" s="55"/>
      <c r="GG29" s="55"/>
      <c r="GH29" s="55"/>
      <c r="GI29" s="55"/>
      <c r="GJ29" s="55"/>
      <c r="GK29" s="55"/>
      <c r="GL29" s="55"/>
      <c r="GM29" s="55"/>
      <c r="GN29" s="55"/>
      <c r="GO29" s="55"/>
      <c r="GP29" s="55"/>
      <c r="GQ29" s="55"/>
      <c r="GR29" s="55"/>
      <c r="GS29" s="55"/>
      <c r="GT29" s="55"/>
      <c r="GU29" s="55"/>
      <c r="GV29" s="55"/>
      <c r="GW29" s="55"/>
      <c r="GX29" s="55"/>
      <c r="GY29" s="55"/>
      <c r="GZ29" s="55"/>
      <c r="HA29" s="55"/>
      <c r="HB29" s="55"/>
      <c r="HC29" s="55"/>
      <c r="HD29" s="55"/>
      <c r="HE29" s="55"/>
      <c r="HF29" s="55"/>
      <c r="HG29" s="55"/>
      <c r="HH29" s="55"/>
      <c r="HI29" s="55"/>
      <c r="HJ29" s="55"/>
      <c r="HK29" s="55"/>
      <c r="HL29" s="55"/>
      <c r="HM29" s="55"/>
      <c r="HN29" s="55"/>
      <c r="HO29" s="55"/>
      <c r="HP29" s="55"/>
      <c r="HQ29" s="55"/>
      <c r="HR29" s="55"/>
      <c r="HS29" s="55"/>
      <c r="HT29" s="55"/>
      <c r="HU29" s="55"/>
      <c r="HV29" s="55"/>
      <c r="HW29" s="55"/>
      <c r="HX29" s="55"/>
      <c r="HY29" s="55"/>
      <c r="HZ29" s="55"/>
      <c r="IA29" s="55"/>
      <c r="IB29" s="55"/>
      <c r="IC29" s="55"/>
      <c r="ID29" s="55"/>
      <c r="IE29" s="55"/>
      <c r="IF29" s="55"/>
      <c r="IG29" s="55"/>
      <c r="IH29" s="55"/>
      <c r="II29" s="55"/>
      <c r="IJ29" s="55"/>
      <c r="IK29" s="55"/>
      <c r="IL29" s="55"/>
      <c r="IM29" s="55"/>
      <c r="IN29" s="55"/>
      <c r="IO29" s="55"/>
      <c r="IP29" s="55"/>
      <c r="IQ29" s="55"/>
      <c r="IR29" s="55"/>
      <c r="IS29" s="55"/>
      <c r="IT29" s="55"/>
      <c r="IU29" s="55"/>
      <c r="IV29" s="55"/>
      <c r="IW29" s="55"/>
    </row>
    <row r="30" customFormat="false" ht="12.75" hidden="false" customHeight="true" outlineLevel="0" collapsed="false">
      <c r="A30" s="132"/>
      <c r="B30" s="90" t="s">
        <v>219</v>
      </c>
      <c r="C30" s="146" t="n">
        <f aca="false">C28+C29</f>
        <v>13894.2739421621</v>
      </c>
      <c r="D30" s="90" t="s">
        <v>220</v>
      </c>
      <c r="E30" s="102"/>
      <c r="F30" s="102"/>
      <c r="G30" s="102"/>
      <c r="H30" s="102"/>
      <c r="I30" s="120" t="n">
        <v>0</v>
      </c>
      <c r="J30" s="121" t="n">
        <f aca="false">L0-Ldif-alph+R0g</f>
        <v>28499</v>
      </c>
      <c r="K30" s="64" t="n">
        <f aca="false">L0+R0g-KK</f>
        <v>25001</v>
      </c>
      <c r="L30" s="65" t="n">
        <f aca="false">Ldif^2</f>
        <v>1</v>
      </c>
      <c r="M30" s="65" t="n">
        <f aca="false">-(alph^2)-2*S_1*Ldif</f>
        <v>-625050002</v>
      </c>
      <c r="N30" s="65" t="n">
        <f aca="false">S_1^2</f>
        <v>625050001</v>
      </c>
      <c r="O30" s="122" t="n">
        <f aca="false">(-b_1-SQRT(b_1^2-4*a_1*c_1))/(2*a_1)</f>
        <v>1</v>
      </c>
      <c r="P30" s="123" t="n">
        <f aca="false">L0-KK+(P0-Pcap)/g</f>
        <v>-9998.65000000001</v>
      </c>
      <c r="Q30" s="65" t="n">
        <f aca="false">-(alph^2)-2*S_2*Ldif</f>
        <v>-624980002.7</v>
      </c>
      <c r="R30" s="65" t="n">
        <f aca="false">S_2^2</f>
        <v>99973001.8225001</v>
      </c>
      <c r="S30" s="122" t="n">
        <f aca="false">IF(S_2&lt;0,0,(-b_2-SQRT(b_2^2-4*a_1*c_2))/(2*a_1))</f>
        <v>0</v>
      </c>
      <c r="T30" s="66" t="n">
        <f aca="false">Pcap*DDc+(P0+g*(L0-KK))*(DDg-DDc)-g*((DDg^2-DDc^2)*Ldif/2+alph*(DDg^1.5-DDc^1.5)/1.5)</f>
        <v>23810.9523809524</v>
      </c>
      <c r="U30" s="67" t="n">
        <f aca="false">IF(AND(T30&gt;F,T29&lt;F),J30,0)</f>
        <v>0</v>
      </c>
      <c r="W30" s="139"/>
      <c r="X30" s="102" t="n">
        <v>989</v>
      </c>
      <c r="Y30" s="124" t="n">
        <f aca="false">Y29+Y$16</f>
        <v>4.38860058784485E-005</v>
      </c>
      <c r="Z30" s="115" t="n">
        <f aca="false">(K-(L0-Y30*Ldif-alph*Y30^0.5))/R0</f>
        <v>0.596149839460268</v>
      </c>
      <c r="AA30" s="113" t="n">
        <f aca="false">IF(Z30&lt;1,X$14*((1-r_1)-Y$14*(1-r_1^2)+Z$14*(1-r_1^3)),0)</f>
        <v>2854161.66293943</v>
      </c>
      <c r="AB30" s="97" t="n">
        <f aca="false">AB29+AB$15</f>
        <v>4.38860058784485E-005</v>
      </c>
      <c r="AC30" s="115" t="n">
        <f aca="false">(Kopt-(L0-AB30*Ldif-alph*AB30^0.5))/R0</f>
        <v>0.596149839460268</v>
      </c>
      <c r="AD30" s="113" t="n">
        <f aca="false">IF(AC30&lt;1,X$14*((1-ropt)-Y$14*(1-ropt^2)+Z$14*(1-ropt^3)),0)</f>
        <v>2854161.66293943</v>
      </c>
      <c r="AE30" s="140"/>
      <c r="AF30" s="55"/>
      <c r="AG30" s="141" t="s">
        <v>221</v>
      </c>
      <c r="AH30" s="142" t="s">
        <v>222</v>
      </c>
      <c r="AI30" s="142" t="s">
        <v>223</v>
      </c>
      <c r="AJ30" s="147" t="s">
        <v>224</v>
      </c>
      <c r="AK30" s="142" t="s">
        <v>225</v>
      </c>
      <c r="AL30" s="142" t="s">
        <v>226</v>
      </c>
      <c r="AM30" s="142" t="s">
        <v>227</v>
      </c>
      <c r="AN30" s="142" t="s">
        <v>228</v>
      </c>
      <c r="AO30" s="142" t="s">
        <v>229</v>
      </c>
      <c r="AP30" s="142" t="s">
        <v>230</v>
      </c>
      <c r="AQ30" s="142" t="s">
        <v>231</v>
      </c>
      <c r="AR30" s="142" t="s">
        <v>232</v>
      </c>
      <c r="AS30" s="55"/>
      <c r="AT30" s="148" t="n">
        <f aca="false">MAX(AT31:AT40)</f>
        <v>53500</v>
      </c>
      <c r="AU30" s="148" t="n">
        <f aca="false">MAX(AU32:AU41)</f>
        <v>50999.9</v>
      </c>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c r="HT30" s="55"/>
      <c r="HU30" s="55"/>
      <c r="HV30" s="55"/>
      <c r="HW30" s="55"/>
      <c r="HX30" s="55"/>
      <c r="HY30" s="55"/>
      <c r="HZ30" s="55"/>
      <c r="IA30" s="55"/>
      <c r="IB30" s="55"/>
      <c r="IC30" s="55"/>
      <c r="ID30" s="55"/>
      <c r="IE30" s="55"/>
      <c r="IF30" s="55"/>
      <c r="IG30" s="55"/>
      <c r="IH30" s="55"/>
      <c r="II30" s="55"/>
      <c r="IJ30" s="55"/>
      <c r="IK30" s="55"/>
      <c r="IL30" s="55"/>
      <c r="IM30" s="55"/>
      <c r="IN30" s="55"/>
      <c r="IO30" s="55"/>
      <c r="IP30" s="55"/>
      <c r="IQ30" s="55"/>
      <c r="IR30" s="55"/>
      <c r="IS30" s="55"/>
      <c r="IT30" s="55"/>
      <c r="IU30" s="55"/>
      <c r="IV30" s="55"/>
      <c r="IW30" s="55"/>
    </row>
    <row r="31" customFormat="false" ht="12.75" hidden="false" customHeight="true" outlineLevel="0" collapsed="false">
      <c r="A31" s="136"/>
      <c r="B31" s="136"/>
      <c r="C31" s="136"/>
      <c r="D31" s="136"/>
      <c r="E31" s="136"/>
      <c r="F31" s="136"/>
      <c r="G31" s="136"/>
      <c r="H31" s="149"/>
      <c r="I31" s="150"/>
      <c r="J31" s="67"/>
      <c r="K31" s="67"/>
      <c r="L31" s="151"/>
      <c r="M31" s="151"/>
      <c r="N31" s="107"/>
      <c r="O31" s="102"/>
      <c r="P31" s="102"/>
      <c r="Q31" s="102"/>
      <c r="R31" s="102"/>
      <c r="S31" s="102"/>
      <c r="T31" s="102"/>
      <c r="U31" s="102"/>
      <c r="V31" s="102"/>
      <c r="W31" s="139"/>
      <c r="X31" s="102" t="n">
        <v>988</v>
      </c>
      <c r="Y31" s="124" t="n">
        <f aca="false">Y30+Y$16</f>
        <v>4.78756427764892E-005</v>
      </c>
      <c r="Z31" s="115" t="n">
        <f aca="false">(K-(L0-Y31*Ldif-alph*Y31^0.5))/R0</f>
        <v>0.598253921474665</v>
      </c>
      <c r="AA31" s="113" t="n">
        <f aca="false">IF(Z31&lt;1,X$14*((1-r_1)-Y$14*(1-r_1^2)+Z$14*(1-r_1^3)),0)</f>
        <v>2824498.45318349</v>
      </c>
      <c r="AB31" s="97" t="n">
        <f aca="false">AB30+AB$15</f>
        <v>4.78756427764892E-005</v>
      </c>
      <c r="AC31" s="115" t="n">
        <f aca="false">(Kopt-(L0-AB31*Ldif-alph*AB31^0.5))/R0</f>
        <v>0.598253921474665</v>
      </c>
      <c r="AD31" s="113" t="n">
        <f aca="false">IF(AC31&lt;1,X$14*((1-ropt)-Y$14*(1-ropt^2)+Z$14*(1-ropt^3)),0)</f>
        <v>2824498.45318349</v>
      </c>
      <c r="AE31" s="140"/>
      <c r="AF31" s="152" t="n">
        <v>10</v>
      </c>
      <c r="AG31" s="141" t="n">
        <f aca="false">L0+R0</f>
        <v>53500</v>
      </c>
      <c r="AH31" s="153" t="n">
        <f aca="false">L0+R0-KK_3</f>
        <v>0</v>
      </c>
      <c r="AI31" s="144" t="n">
        <f aca="false">-(alph^2)-2*S_3*Ldif</f>
        <v>-625000000</v>
      </c>
      <c r="AJ31" s="144" t="n">
        <f aca="false">S_3^2</f>
        <v>0</v>
      </c>
      <c r="AK31" s="154" t="n">
        <f aca="false">(-b_3-SQRT(b_3^2-4*a_3*c_3))/(2*a_3)</f>
        <v>0</v>
      </c>
      <c r="AL31" s="145" t="n">
        <f aca="false">1-(KK_3-L0)/R0</f>
        <v>0</v>
      </c>
      <c r="AM31" s="145" t="n">
        <f aca="false">1-beta*(1-f_3)</f>
        <v>1</v>
      </c>
      <c r="AN31" s="155" t="n">
        <f aca="false">f_3*j_3</f>
        <v>0</v>
      </c>
      <c r="AO31" s="155" t="n">
        <f aca="false">f_3*k_3+j_3*g_3</f>
        <v>-7.14285714285714</v>
      </c>
      <c r="AP31" s="155" t="n">
        <f aca="false">g_3*k_3+j_3*h_3+f_3*l_3</f>
        <v>-0.000285714285714286</v>
      </c>
      <c r="AQ31" s="155" t="n">
        <f aca="false">g_3*l_3*h_3*k_3</f>
        <v>0</v>
      </c>
      <c r="AR31" s="155" t="n">
        <f aca="false">h_3*l_3</f>
        <v>0</v>
      </c>
      <c r="AS31" s="156" t="n">
        <f aca="false">M0*D0_3*(m_3+(n_3*D0_3^0.5)/1.5+p_3*D0_3/2+(q_3*D0_3^1.5)/2.5+(r_3*D0_3^2)/3)</f>
        <v>0</v>
      </c>
      <c r="AT31" s="157" t="n">
        <f aca="false">IF(AND(AS31&lt;F,F&lt;AS32),AG31,0)</f>
        <v>53500</v>
      </c>
      <c r="AU31" s="157"/>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c r="DQ31" s="55"/>
      <c r="DR31" s="55"/>
      <c r="DS31" s="55"/>
      <c r="DT31" s="55"/>
      <c r="DU31" s="55"/>
      <c r="DV31" s="55"/>
      <c r="DW31" s="55"/>
      <c r="DX31" s="55"/>
      <c r="DY31" s="55"/>
      <c r="DZ31" s="55"/>
      <c r="EA31" s="55"/>
      <c r="EB31" s="55"/>
      <c r="EC31" s="55"/>
      <c r="ED31" s="55"/>
      <c r="EE31" s="55"/>
      <c r="EF31" s="55"/>
      <c r="EG31" s="55"/>
      <c r="EH31" s="55"/>
      <c r="EI31" s="55"/>
      <c r="EJ31" s="55"/>
      <c r="EK31" s="55"/>
      <c r="EL31" s="55"/>
      <c r="EM31" s="55"/>
      <c r="EN31" s="55"/>
      <c r="EO31" s="55"/>
      <c r="EP31" s="55"/>
      <c r="EQ31" s="55"/>
      <c r="ER31" s="55"/>
      <c r="ES31" s="55"/>
      <c r="ET31" s="55"/>
      <c r="EU31" s="55"/>
      <c r="EV31" s="55"/>
      <c r="EW31" s="55"/>
      <c r="EX31" s="55"/>
      <c r="EY31" s="55"/>
      <c r="EZ31" s="55"/>
      <c r="FA31" s="55"/>
      <c r="FB31" s="55"/>
      <c r="FC31" s="55"/>
      <c r="FD31" s="55"/>
      <c r="FE31" s="55"/>
      <c r="FF31" s="55"/>
      <c r="FG31" s="55"/>
      <c r="FH31" s="55"/>
      <c r="FI31" s="55"/>
      <c r="FJ31" s="55"/>
      <c r="FK31" s="55"/>
      <c r="FL31" s="55"/>
      <c r="FM31" s="55"/>
      <c r="FN31" s="55"/>
      <c r="FO31" s="55"/>
      <c r="FP31" s="55"/>
      <c r="FQ31" s="55"/>
      <c r="FR31" s="55"/>
      <c r="FS31" s="55"/>
      <c r="FT31" s="55"/>
      <c r="FU31" s="55"/>
      <c r="FV31" s="55"/>
      <c r="FW31" s="55"/>
      <c r="FX31" s="55"/>
      <c r="FY31" s="55"/>
      <c r="FZ31" s="55"/>
      <c r="GA31" s="55"/>
      <c r="GB31" s="55"/>
      <c r="GC31" s="55"/>
      <c r="GD31" s="55"/>
      <c r="GE31" s="55"/>
      <c r="GF31" s="55"/>
      <c r="GG31" s="55"/>
      <c r="GH31" s="55"/>
      <c r="GI31" s="55"/>
      <c r="GJ31" s="55"/>
      <c r="GK31" s="55"/>
      <c r="GL31" s="55"/>
      <c r="GM31" s="55"/>
      <c r="GN31" s="55"/>
      <c r="GO31" s="55"/>
      <c r="GP31" s="55"/>
      <c r="GQ31" s="55"/>
      <c r="GR31" s="55"/>
      <c r="GS31" s="55"/>
      <c r="GT31" s="55"/>
      <c r="GU31" s="55"/>
      <c r="GV31" s="55"/>
      <c r="GW31" s="55"/>
      <c r="GX31" s="55"/>
      <c r="GY31" s="55"/>
      <c r="GZ31" s="55"/>
      <c r="HA31" s="55"/>
      <c r="HB31" s="55"/>
      <c r="HC31" s="55"/>
      <c r="HD31" s="55"/>
      <c r="HE31" s="55"/>
      <c r="HF31" s="55"/>
      <c r="HG31" s="55"/>
      <c r="HH31" s="55"/>
      <c r="HI31" s="55"/>
      <c r="HJ31" s="55"/>
      <c r="HK31" s="55"/>
      <c r="HL31" s="55"/>
      <c r="HM31" s="55"/>
      <c r="HN31" s="55"/>
      <c r="HO31" s="55"/>
      <c r="HP31" s="55"/>
      <c r="HQ31" s="55"/>
      <c r="HR31" s="55"/>
      <c r="HS31" s="55"/>
      <c r="HT31" s="55"/>
      <c r="HU31" s="55"/>
      <c r="HV31" s="55"/>
      <c r="HW31" s="55"/>
      <c r="HX31" s="55"/>
      <c r="HY31" s="55"/>
      <c r="HZ31" s="55"/>
      <c r="IA31" s="55"/>
      <c r="IB31" s="55"/>
      <c r="IC31" s="55"/>
      <c r="ID31" s="55"/>
      <c r="IE31" s="55"/>
      <c r="IF31" s="55"/>
      <c r="IG31" s="55"/>
      <c r="IH31" s="55"/>
      <c r="II31" s="55"/>
      <c r="IJ31" s="55"/>
      <c r="IK31" s="55"/>
      <c r="IL31" s="55"/>
      <c r="IM31" s="55"/>
      <c r="IN31" s="55"/>
      <c r="IO31" s="55"/>
      <c r="IP31" s="55"/>
      <c r="IQ31" s="55"/>
      <c r="IR31" s="55"/>
      <c r="IS31" s="55"/>
      <c r="IT31" s="55"/>
      <c r="IU31" s="55"/>
      <c r="IV31" s="55"/>
      <c r="IW31" s="55"/>
    </row>
    <row r="32" customFormat="false" ht="12.75" hidden="false" customHeight="true" outlineLevel="0" collapsed="false">
      <c r="A32" s="55"/>
      <c r="B32" s="55"/>
      <c r="C32" s="55"/>
      <c r="D32" s="55"/>
      <c r="E32" s="55"/>
      <c r="F32" s="55"/>
      <c r="G32" s="55"/>
      <c r="H32" s="55"/>
      <c r="I32" s="150"/>
      <c r="J32" s="67"/>
      <c r="K32" s="67"/>
      <c r="L32" s="151"/>
      <c r="M32" s="151"/>
      <c r="N32" s="107"/>
      <c r="O32" s="102"/>
      <c r="P32" s="102"/>
      <c r="Q32" s="102"/>
      <c r="R32" s="102"/>
      <c r="S32" s="102"/>
      <c r="T32" s="102"/>
      <c r="U32" s="113" t="n">
        <f aca="false">MAX(U34:U43)</f>
        <v>51749.93</v>
      </c>
      <c r="V32" s="113" t="n">
        <f aca="false">MAX(V33:V42)</f>
        <v>51999.94</v>
      </c>
      <c r="W32" s="139"/>
      <c r="X32" s="102" t="n">
        <v>987</v>
      </c>
      <c r="Y32" s="124" t="n">
        <f aca="false">Y31+Y$16</f>
        <v>5.186527967453E-005</v>
      </c>
      <c r="Z32" s="115" t="n">
        <f aca="false">(K-(L0-Y32*Ldif-alph*Y32^0.5))/R0</f>
        <v>0.600272012747953</v>
      </c>
      <c r="AA32" s="113" t="n">
        <f aca="false">IF(Z32&lt;1,X$14*((1-r_1)-Y$14*(1-r_1^2)+Z$14*(1-r_1^3)),0)</f>
        <v>2796193.11637002</v>
      </c>
      <c r="AB32" s="97" t="n">
        <f aca="false">AB31+AB$15</f>
        <v>5.186527967453E-005</v>
      </c>
      <c r="AC32" s="115" t="n">
        <f aca="false">(Kopt-(L0-AB32*Ldif-alph*AB32^0.5))/R0</f>
        <v>0.600272012747953</v>
      </c>
      <c r="AD32" s="113" t="n">
        <f aca="false">IF(AC32&lt;1,X$14*((1-ropt)-Y$14*(1-ropt^2)+Z$14*(1-ropt^3)),0)</f>
        <v>2796193.11637002</v>
      </c>
      <c r="AE32" s="140"/>
      <c r="AF32" s="152" t="n">
        <v>9</v>
      </c>
      <c r="AG32" s="121" t="n">
        <f aca="false">AG$41+(AF32/10)*(AG$31-AG$41)</f>
        <v>50999.9</v>
      </c>
      <c r="AH32" s="153" t="n">
        <f aca="false">L0+R0-KK_3</f>
        <v>2500.1</v>
      </c>
      <c r="AI32" s="144" t="n">
        <f aca="false">-(alph^2)-2*S_3*Ldif</f>
        <v>-625005000.2</v>
      </c>
      <c r="AJ32" s="144" t="n">
        <f aca="false">S_3^2</f>
        <v>6250500.00999999</v>
      </c>
      <c r="AK32" s="154" t="n">
        <f aca="false">(-b_3-SQRT(b_3^2-4*a_3*c_3))/(2*a_3)</f>
        <v>0.0100007057189941</v>
      </c>
      <c r="AL32" s="145" t="n">
        <f aca="false">1-(KK_3-L0)/R0</f>
        <v>0.714314285714285</v>
      </c>
      <c r="AM32" s="145" t="n">
        <f aca="false">1-beta*(1-f_3)</f>
        <v>1</v>
      </c>
      <c r="AN32" s="155" t="n">
        <f aca="false">f_3*j_3</f>
        <v>0.714314285714285</v>
      </c>
      <c r="AO32" s="155" t="n">
        <f aca="false">f_3*k_3+j_3*g_3</f>
        <v>-7.14285714285714</v>
      </c>
      <c r="AP32" s="155" t="n">
        <f aca="false">g_3*k_3+j_3*h_3+f_3*l_3</f>
        <v>-0.000285714285714286</v>
      </c>
      <c r="AQ32" s="155" t="n">
        <f aca="false">g_3*l_3*h_3*k_3</f>
        <v>0</v>
      </c>
      <c r="AR32" s="155" t="n">
        <f aca="false">h_3*l_3</f>
        <v>0</v>
      </c>
      <c r="AS32" s="156" t="n">
        <f aca="false">M0*D0_3*(m_3+(n_3*D0_3^0.5)/1.5+p_3*D0_3/2+(q_3*D0_3^1.5)/2.5+(r_3*D0_3^2)/3)</f>
        <v>23.8122381877734</v>
      </c>
      <c r="AT32" s="157" t="n">
        <f aca="false">IF(AND(AS32&lt;F,F&lt;AS33),AG32,0)</f>
        <v>0</v>
      </c>
      <c r="AU32" s="157" t="n">
        <f aca="false">IF(AND(AS31&lt;F,F&lt;AS32),AG32,0)</f>
        <v>50999.9</v>
      </c>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55"/>
      <c r="EN32" s="55"/>
      <c r="EO32" s="55"/>
      <c r="EP32" s="55"/>
      <c r="EQ32" s="55"/>
      <c r="ER32" s="55"/>
      <c r="ES32" s="55"/>
      <c r="ET32" s="55"/>
      <c r="EU32" s="55"/>
      <c r="EV32" s="55"/>
      <c r="EW32" s="55"/>
      <c r="EX32" s="55"/>
      <c r="EY32" s="55"/>
      <c r="EZ32" s="55"/>
      <c r="FA32" s="55"/>
      <c r="FB32" s="55"/>
      <c r="FC32" s="55"/>
      <c r="FD32" s="55"/>
      <c r="FE32" s="55"/>
      <c r="FF32" s="55"/>
      <c r="FG32" s="55"/>
      <c r="FH32" s="55"/>
      <c r="FI32" s="55"/>
      <c r="FJ32" s="55"/>
      <c r="FK32" s="55"/>
      <c r="FL32" s="55"/>
      <c r="FM32" s="55"/>
      <c r="FN32" s="55"/>
      <c r="FO32" s="55"/>
      <c r="FP32" s="55"/>
      <c r="FQ32" s="55"/>
      <c r="FR32" s="55"/>
      <c r="FS32" s="55"/>
      <c r="FT32" s="55"/>
      <c r="FU32" s="55"/>
      <c r="FV32" s="55"/>
      <c r="FW32" s="55"/>
      <c r="FX32" s="55"/>
      <c r="FY32" s="55"/>
      <c r="FZ32" s="55"/>
      <c r="GA32" s="55"/>
      <c r="GB32" s="55"/>
      <c r="GC32" s="55"/>
      <c r="GD32" s="55"/>
      <c r="GE32" s="55"/>
      <c r="GF32" s="55"/>
      <c r="GG32" s="55"/>
      <c r="GH32" s="55"/>
      <c r="GI32" s="55"/>
      <c r="GJ32" s="55"/>
      <c r="GK32" s="55"/>
      <c r="GL32" s="55"/>
      <c r="GM32" s="55"/>
      <c r="GN32" s="55"/>
      <c r="GO32" s="55"/>
      <c r="GP32" s="55"/>
      <c r="GQ32" s="55"/>
      <c r="GR32" s="55"/>
      <c r="GS32" s="55"/>
      <c r="GT32" s="55"/>
      <c r="GU32" s="55"/>
      <c r="GV32" s="55"/>
      <c r="GW32" s="55"/>
      <c r="GX32" s="55"/>
      <c r="GY32" s="55"/>
      <c r="GZ32" s="55"/>
      <c r="HA32" s="55"/>
      <c r="HB32" s="55"/>
      <c r="HC32" s="55"/>
      <c r="HD32" s="55"/>
      <c r="HE32" s="55"/>
      <c r="HF32" s="55"/>
      <c r="HG32" s="55"/>
      <c r="HH32" s="55"/>
      <c r="HI32" s="55"/>
      <c r="HJ32" s="55"/>
      <c r="HK32" s="55"/>
      <c r="HL32" s="55"/>
      <c r="HM32" s="55"/>
      <c r="HN32" s="55"/>
      <c r="HO32" s="55"/>
      <c r="HP32" s="55"/>
      <c r="HQ32" s="55"/>
      <c r="HR32" s="55"/>
      <c r="HS32" s="55"/>
      <c r="HT32" s="55"/>
      <c r="HU32" s="55"/>
      <c r="HV32" s="55"/>
      <c r="HW32" s="55"/>
      <c r="HX32" s="55"/>
      <c r="HY32" s="55"/>
      <c r="HZ32" s="55"/>
      <c r="IA32" s="55"/>
      <c r="IB32" s="55"/>
      <c r="IC32" s="55"/>
      <c r="ID32" s="55"/>
      <c r="IE32" s="55"/>
      <c r="IF32" s="55"/>
      <c r="IG32" s="55"/>
      <c r="IH32" s="55"/>
      <c r="II32" s="55"/>
      <c r="IJ32" s="55"/>
      <c r="IK32" s="55"/>
      <c r="IL32" s="55"/>
      <c r="IM32" s="55"/>
      <c r="IN32" s="55"/>
      <c r="IO32" s="55"/>
      <c r="IP32" s="55"/>
      <c r="IQ32" s="55"/>
      <c r="IR32" s="55"/>
      <c r="IS32" s="55"/>
      <c r="IT32" s="55"/>
      <c r="IU32" s="55"/>
      <c r="IV32" s="55"/>
      <c r="IW32" s="55"/>
    </row>
    <row r="33" customFormat="false" ht="12.75" hidden="false" customHeight="false" outlineLevel="0" collapsed="false">
      <c r="A33" s="55"/>
      <c r="B33" s="158" t="s">
        <v>233</v>
      </c>
      <c r="C33" s="55"/>
      <c r="D33" s="55"/>
      <c r="E33" s="55"/>
      <c r="F33" s="55"/>
      <c r="G33" s="55"/>
      <c r="H33" s="55"/>
      <c r="I33" s="120" t="n">
        <v>10</v>
      </c>
      <c r="J33" s="67" t="n">
        <f aca="false">V19</f>
        <v>53500</v>
      </c>
      <c r="K33" s="64" t="n">
        <f aca="false">L0+R0g-KK</f>
        <v>0</v>
      </c>
      <c r="L33" s="65" t="n">
        <f aca="false">Ldif^2</f>
        <v>1</v>
      </c>
      <c r="M33" s="65" t="n">
        <f aca="false">-(alph^2)-2*S_1*Ldif</f>
        <v>-625000000</v>
      </c>
      <c r="N33" s="65" t="n">
        <f aca="false">S_1^2</f>
        <v>0</v>
      </c>
      <c r="O33" s="122" t="n">
        <f aca="false">(-b_1-SQRT(b_1^2-4*a_1*c_1))/(2*a_1)</f>
        <v>0</v>
      </c>
      <c r="P33" s="123" t="n">
        <f aca="false">L0-KK+(P0-Pcap)/g</f>
        <v>-34999.65</v>
      </c>
      <c r="Q33" s="65" t="n">
        <f aca="false">-(alph^2)-2*S_2*Ldif</f>
        <v>-624930000.7</v>
      </c>
      <c r="R33" s="65" t="n">
        <f aca="false">S_2^2</f>
        <v>1224975500.1225</v>
      </c>
      <c r="S33" s="122" t="n">
        <f aca="false">IF(S_2&lt;0,0,(-b_2-SQRT(b_2^2-4*a_1*c_2))/(2*a_1))</f>
        <v>0</v>
      </c>
      <c r="T33" s="66" t="n">
        <f aca="false">Pcap*DDc+(P0+g*(L0-KK))*(DDg-DDc)-g*((DDg^2-DDc^2)*Ldif/2+alph*(DDg^1.5-DDc^1.5)/1.5)</f>
        <v>0</v>
      </c>
      <c r="V33" s="67" t="n">
        <f aca="false">IF(AND(T33&lt;F,T34&gt;F),J33,0)</f>
        <v>0</v>
      </c>
      <c r="W33" s="139"/>
      <c r="X33" s="102" t="n">
        <v>986</v>
      </c>
      <c r="Y33" s="124" t="n">
        <f aca="false">Y32+Y$16</f>
        <v>5.58549165725708E-005</v>
      </c>
      <c r="Z33" s="115" t="n">
        <f aca="false">(K-(L0-Y33*Ldif-alph*Y33^0.5))/R0</f>
        <v>0.602213866556107</v>
      </c>
      <c r="AA33" s="113" t="n">
        <f aca="false">IF(Z33&lt;1,X$14*((1-r_1)-Y$14*(1-r_1^2)+Z$14*(1-r_1^3)),0)</f>
        <v>2769091.63930425</v>
      </c>
      <c r="AB33" s="97" t="n">
        <f aca="false">AB32+AB$15</f>
        <v>5.58549165725708E-005</v>
      </c>
      <c r="AC33" s="115" t="n">
        <f aca="false">(Kopt-(L0-AB33*Ldif-alph*AB33^0.5))/R0</f>
        <v>0.602213866556107</v>
      </c>
      <c r="AD33" s="113" t="n">
        <f aca="false">IF(AC33&lt;1,X$14*((1-ropt)-Y$14*(1-ropt^2)+Z$14*(1-ropt^3)),0)</f>
        <v>2769091.63930425</v>
      </c>
      <c r="AE33" s="140"/>
      <c r="AF33" s="152" t="n">
        <v>8</v>
      </c>
      <c r="AG33" s="121" t="n">
        <f aca="false">AG$41+(AF33/10)*(AG$31-AG$41)</f>
        <v>48499.8</v>
      </c>
      <c r="AH33" s="153" t="n">
        <f aca="false">L0+R0-KK_3</f>
        <v>5000.2</v>
      </c>
      <c r="AI33" s="144" t="n">
        <f aca="false">-(alph^2)-2*S_3*Ldif</f>
        <v>-625010000.4</v>
      </c>
      <c r="AJ33" s="144" t="n">
        <f aca="false">S_3^2</f>
        <v>25002000.04</v>
      </c>
      <c r="AK33" s="154" t="n">
        <f aca="false">(-b_3-SQRT(b_3^2-4*a_3*c_3))/(2*a_3)</f>
        <v>0.0400025248527527</v>
      </c>
      <c r="AL33" s="145" t="n">
        <f aca="false">1-(KK_3-L0)/R0</f>
        <v>1.42862857142857</v>
      </c>
      <c r="AM33" s="145" t="n">
        <f aca="false">1-beta*(1-f_3)</f>
        <v>1</v>
      </c>
      <c r="AN33" s="155" t="n">
        <f aca="false">f_3*j_3</f>
        <v>1.42862857142857</v>
      </c>
      <c r="AO33" s="155" t="n">
        <f aca="false">f_3*k_3+j_3*g_3</f>
        <v>-7.14285714285714</v>
      </c>
      <c r="AP33" s="155" t="n">
        <f aca="false">g_3*k_3+j_3*h_3+f_3*l_3</f>
        <v>-0.000285714285714286</v>
      </c>
      <c r="AQ33" s="155" t="n">
        <f aca="false">g_3*l_3*h_3*k_3</f>
        <v>0</v>
      </c>
      <c r="AR33" s="155" t="n">
        <f aca="false">h_3*l_3</f>
        <v>0</v>
      </c>
      <c r="AS33" s="156" t="n">
        <f aca="false">M0*D0_3*(m_3+(n_3*D0_3^0.5)/1.5+p_3*D0_3/2+(q_3*D0_3^1.5)/2.5+(r_3*D0_3^2)/3)</f>
        <v>190.496762489791</v>
      </c>
      <c r="AT33" s="157" t="n">
        <f aca="false">IF(AND(AS33&lt;F,F&lt;AS34),AG33,0)</f>
        <v>0</v>
      </c>
      <c r="AU33" s="157" t="n">
        <f aca="false">IF(AND(AS32&lt;F,F&lt;AS33),AG33,0)</f>
        <v>0</v>
      </c>
    </row>
    <row r="34" customFormat="false" ht="12.75" hidden="false" customHeight="false" outlineLevel="0" collapsed="false">
      <c r="A34" s="55"/>
      <c r="B34" s="55" t="s">
        <v>234</v>
      </c>
      <c r="C34" s="55"/>
      <c r="D34" s="55"/>
      <c r="E34" s="55"/>
      <c r="F34" s="55"/>
      <c r="G34" s="55"/>
      <c r="H34" s="55"/>
      <c r="I34" s="120" t="n">
        <v>9</v>
      </c>
      <c r="J34" s="121" t="n">
        <f aca="false">J$43+(I34/10)*(J$33-J$43)</f>
        <v>53249.99</v>
      </c>
      <c r="K34" s="64" t="n">
        <f aca="false">L0+R0g-KK</f>
        <v>250.010000000002</v>
      </c>
      <c r="L34" s="65" t="n">
        <f aca="false">Ldif^2</f>
        <v>1</v>
      </c>
      <c r="M34" s="65" t="n">
        <f aca="false">-(alph^2)-2*S_1*Ldif</f>
        <v>-625000500.02</v>
      </c>
      <c r="N34" s="65" t="n">
        <f aca="false">S_1^2</f>
        <v>62505.000100001</v>
      </c>
      <c r="O34" s="122" t="n">
        <f aca="false">(-b_1-SQRT(b_1^2-4*a_1*c_1))/(2*a_1)</f>
        <v>0.000100016593933105</v>
      </c>
      <c r="P34" s="123" t="n">
        <f aca="false">L0-KK+(P0-Pcap)/g</f>
        <v>-34749.64</v>
      </c>
      <c r="Q34" s="65" t="n">
        <f aca="false">-(alph^2)-2*S_2*Ldif</f>
        <v>-624930500.72</v>
      </c>
      <c r="R34" s="65" t="n">
        <f aca="false">S_2^2</f>
        <v>1207537480.1296</v>
      </c>
      <c r="S34" s="122" t="n">
        <f aca="false">IF(S_2&lt;0,0,(-b_2-SQRT(b_2^2-4*a_1*c_2))/(2*a_1))</f>
        <v>0</v>
      </c>
      <c r="T34" s="66" t="n">
        <f aca="false">Pcap*DDc+(P0+g*(L0-KK))*(DDg-DDc)-g*((DDg^2-DDc^2)*Ldif/2+alph*(DDg^1.5-DDc^1.5)/1.5)</f>
        <v>0.0238123666443399</v>
      </c>
      <c r="U34" s="67" t="n">
        <f aca="false">IF(AND(T34&gt;F,T33&lt;F),J34,0)</f>
        <v>0</v>
      </c>
      <c r="V34" s="67" t="n">
        <f aca="false">IF(AND(T34&lt;F,T35&gt;F),J34,0)</f>
        <v>0</v>
      </c>
      <c r="W34" s="139"/>
      <c r="X34" s="102" t="n">
        <v>985</v>
      </c>
      <c r="Y34" s="124" t="n">
        <f aca="false">Y33+Y$16</f>
        <v>5.98445534706116E-005</v>
      </c>
      <c r="Z34" s="115" t="n">
        <f aca="false">(K-(L0-Y34*Ldif-alph*Y34^0.5))/R0</f>
        <v>0.604087520996971</v>
      </c>
      <c r="AA34" s="113" t="n">
        <f aca="false">IF(Z34&lt;1,X$14*((1-r_1)-Y$14*(1-r_1^2)+Z$14*(1-r_1^3)),0)</f>
        <v>2743067.09303067</v>
      </c>
      <c r="AB34" s="97" t="n">
        <f aca="false">AB33+AB$15</f>
        <v>5.98445534706116E-005</v>
      </c>
      <c r="AC34" s="115" t="n">
        <f aca="false">(Kopt-(L0-AB34*Ldif-alph*AB34^0.5))/R0</f>
        <v>0.604087520996971</v>
      </c>
      <c r="AD34" s="113" t="n">
        <f aca="false">IF(AC34&lt;1,X$14*((1-ropt)-Y$14*(1-ropt^2)+Z$14*(1-ropt^3)),0)</f>
        <v>2743067.09303067</v>
      </c>
      <c r="AE34" s="140"/>
      <c r="AF34" s="152" t="n">
        <v>7</v>
      </c>
      <c r="AG34" s="121" t="n">
        <f aca="false">AG$41+(AF34/10)*(AG$31-AG$41)</f>
        <v>45999.7</v>
      </c>
      <c r="AH34" s="153" t="n">
        <f aca="false">L0+R0-KK_3</f>
        <v>7500.3</v>
      </c>
      <c r="AI34" s="144" t="n">
        <f aca="false">-(alph^2)-2*S_3*Ldif</f>
        <v>-625015000.6</v>
      </c>
      <c r="AJ34" s="144" t="n">
        <f aca="false">S_3^2</f>
        <v>56254500.09</v>
      </c>
      <c r="AK34" s="154" t="n">
        <f aca="false">(-b_3-SQRT(b_3^2-4*a_3*c_3))/(2*a_3)</f>
        <v>0.0900050401687622</v>
      </c>
      <c r="AL34" s="145" t="n">
        <f aca="false">1-(KK_3-L0)/R0</f>
        <v>2.14294285714286</v>
      </c>
      <c r="AM34" s="145" t="n">
        <f aca="false">1-beta*(1-f_3)</f>
        <v>1</v>
      </c>
      <c r="AN34" s="155" t="n">
        <f aca="false">f_3*j_3</f>
        <v>2.14294285714286</v>
      </c>
      <c r="AO34" s="155" t="n">
        <f aca="false">f_3*k_3+j_3*g_3</f>
        <v>-7.14285714285714</v>
      </c>
      <c r="AP34" s="155" t="n">
        <f aca="false">g_3*k_3+j_3*h_3+f_3*l_3</f>
        <v>-0.000285714285714286</v>
      </c>
      <c r="AQ34" s="155" t="n">
        <f aca="false">g_3*l_3*h_3*k_3</f>
        <v>0</v>
      </c>
      <c r="AR34" s="155" t="n">
        <f aca="false">h_3*l_3</f>
        <v>0</v>
      </c>
      <c r="AS34" s="156" t="n">
        <f aca="false">M0*D0_3*(m_3+(n_3*D0_3^0.5)/1.5+p_3*D0_3/2+(q_3*D0_3^1.5)/2.5+(r_3*D0_3^2)/3)</f>
        <v>642.922715797693</v>
      </c>
      <c r="AT34" s="157" t="n">
        <f aca="false">IF(AND(AS34&lt;F,F&lt;AS35),AG34,0)</f>
        <v>0</v>
      </c>
      <c r="AU34" s="157" t="n">
        <f aca="false">IF(AND(AS33&lt;F,F&lt;AS34),AG34,0)</f>
        <v>0</v>
      </c>
    </row>
    <row r="35" customFormat="false" ht="12.75" hidden="false" customHeight="false" outlineLevel="0" collapsed="false">
      <c r="A35" s="55"/>
      <c r="B35" s="55" t="s">
        <v>235</v>
      </c>
      <c r="C35" s="55"/>
      <c r="D35" s="55"/>
      <c r="E35" s="55"/>
      <c r="F35" s="55"/>
      <c r="G35" s="55"/>
      <c r="H35" s="55"/>
      <c r="I35" s="120" t="n">
        <v>8</v>
      </c>
      <c r="J35" s="121" t="n">
        <f aca="false">J$43+(I35/10)*(J$33-J$43)</f>
        <v>52999.98</v>
      </c>
      <c r="K35" s="64" t="n">
        <f aca="false">L0+R0g-KK</f>
        <v>500.019999999997</v>
      </c>
      <c r="L35" s="65" t="n">
        <f aca="false">Ldif^2</f>
        <v>1</v>
      </c>
      <c r="M35" s="65" t="n">
        <f aca="false">-(alph^2)-2*S_1*Ldif</f>
        <v>-625001000.04</v>
      </c>
      <c r="N35" s="65" t="n">
        <f aca="false">S_1^2</f>
        <v>250020.000399997</v>
      </c>
      <c r="O35" s="122" t="n">
        <f aca="false">(-b_1-SQRT(b_1^2-4*a_1*c_1))/(2*a_1)</f>
        <v>0.000400006771087647</v>
      </c>
      <c r="P35" s="123" t="n">
        <f aca="false">L0-KK+(P0-Pcap)/g</f>
        <v>-34499.63</v>
      </c>
      <c r="Q35" s="65" t="n">
        <f aca="false">-(alph^2)-2*S_2*Ldif</f>
        <v>-624931000.74</v>
      </c>
      <c r="R35" s="65" t="n">
        <f aca="false">S_2^2</f>
        <v>1190224470.1369</v>
      </c>
      <c r="S35" s="122" t="n">
        <f aca="false">IF(S_2&lt;0,0,(-b_2-SQRT(b_2^2-4*a_1*c_2))/(2*a_1))</f>
        <v>0</v>
      </c>
      <c r="T35" s="66" t="n">
        <f aca="false">Pcap*DDc+(P0+g*(L0-KK))*(DDg-DDc)-g*((DDg^2-DDc^2)*Ldif/2+alph*(DDg^1.5-DDc^1.5)/1.5)</f>
        <v>0.190498819385862</v>
      </c>
      <c r="U35" s="67" t="n">
        <f aca="false">IF(AND(T35&gt;F,T34&lt;F),J35,0)</f>
        <v>0</v>
      </c>
      <c r="V35" s="67" t="n">
        <f aca="false">IF(AND(T35&lt;F,T36&gt;F),J35,0)</f>
        <v>0</v>
      </c>
      <c r="W35" s="139"/>
      <c r="X35" s="102" t="n">
        <v>984</v>
      </c>
      <c r="Y35" s="124" t="n">
        <f aca="false">Y34+Y$16</f>
        <v>6.38341903686523E-005</v>
      </c>
      <c r="Z35" s="115" t="n">
        <f aca="false">(K-(L0-Y35*Ldif-alph*Y35^0.5))/R0</f>
        <v>0.605899693726421</v>
      </c>
      <c r="AA35" s="113" t="n">
        <f aca="false">IF(Z35&lt;1,X$14*((1-r_1)-Y$14*(1-r_1^2)+Z$14*(1-r_1^3)),0)</f>
        <v>2718013.39958626</v>
      </c>
      <c r="AB35" s="97" t="n">
        <f aca="false">AB34+AB$15</f>
        <v>6.38341903686523E-005</v>
      </c>
      <c r="AC35" s="115" t="n">
        <f aca="false">(Kopt-(L0-AB35*Ldif-alph*AB35^0.5))/R0</f>
        <v>0.605899693726421</v>
      </c>
      <c r="AD35" s="113" t="n">
        <f aca="false">IF(AC35&lt;1,X$14*((1-ropt)-Y$14*(1-ropt^2)+Z$14*(1-ropt^3)),0)</f>
        <v>2718013.39958626</v>
      </c>
      <c r="AE35" s="140"/>
      <c r="AF35" s="152" t="n">
        <v>6</v>
      </c>
      <c r="AG35" s="121" t="n">
        <f aca="false">AG$41+(AF35/10)*(AG$31-AG$41)</f>
        <v>43499.6</v>
      </c>
      <c r="AH35" s="153" t="n">
        <f aca="false">L0+R0-KK_3</f>
        <v>10000.4</v>
      </c>
      <c r="AI35" s="144" t="n">
        <f aca="false">-(alph^2)-2*S_3*Ldif</f>
        <v>-625020000.8</v>
      </c>
      <c r="AJ35" s="144" t="n">
        <f aca="false">S_3^2</f>
        <v>100008000.16</v>
      </c>
      <c r="AK35" s="154" t="n">
        <f aca="false">(-b_3-SQRT(b_3^2-4*a_3*c_3))/(2*a_3)</f>
        <v>0.160007655620575</v>
      </c>
      <c r="AL35" s="145" t="n">
        <f aca="false">1-(KK_3-L0)/R0</f>
        <v>2.85725714285714</v>
      </c>
      <c r="AM35" s="145" t="n">
        <f aca="false">1-beta*(1-f_3)</f>
        <v>1</v>
      </c>
      <c r="AN35" s="155" t="n">
        <f aca="false">f_3*j_3</f>
        <v>2.85725714285714</v>
      </c>
      <c r="AO35" s="155" t="n">
        <f aca="false">f_3*k_3+j_3*g_3</f>
        <v>-7.14285714285714</v>
      </c>
      <c r="AP35" s="155" t="n">
        <f aca="false">g_3*k_3+j_3*h_3+f_3*l_3</f>
        <v>-0.000285714285714286</v>
      </c>
      <c r="AQ35" s="155" t="n">
        <f aca="false">g_3*l_3*h_3*k_3</f>
        <v>0</v>
      </c>
      <c r="AR35" s="155" t="n">
        <f aca="false">h_3*l_3</f>
        <v>0</v>
      </c>
      <c r="AS35" s="156" t="n">
        <f aca="false">M0*D0_3*(m_3+(n_3*D0_3^0.5)/1.5+p_3*D0_3/2+(q_3*D0_3^1.5)/2.5+(r_3*D0_3^2)/3)</f>
        <v>1523.95581215686</v>
      </c>
      <c r="AT35" s="157" t="n">
        <f aca="false">IF(AND(AS35&lt;F,F&lt;AS36),AG35,0)</f>
        <v>0</v>
      </c>
      <c r="AU35" s="157" t="n">
        <f aca="false">IF(AND(AS34&lt;F,F&lt;AS35),AG35,0)</f>
        <v>0</v>
      </c>
    </row>
    <row r="36" customFormat="false" ht="12.75" hidden="false" customHeight="false" outlineLevel="0" collapsed="false">
      <c r="A36" s="55"/>
      <c r="B36" s="55" t="s">
        <v>236</v>
      </c>
      <c r="C36" s="55"/>
      <c r="D36" s="55"/>
      <c r="E36" s="55"/>
      <c r="F36" s="55"/>
      <c r="G36" s="55"/>
      <c r="H36" s="55"/>
      <c r="I36" s="120" t="n">
        <v>7</v>
      </c>
      <c r="J36" s="121" t="n">
        <f aca="false">J$43+(I36/10)*(J$33-J$43)</f>
        <v>52749.97</v>
      </c>
      <c r="K36" s="64" t="n">
        <f aca="false">L0+R0g-KK</f>
        <v>750.029999999999</v>
      </c>
      <c r="L36" s="65" t="n">
        <f aca="false">Ldif^2</f>
        <v>1</v>
      </c>
      <c r="M36" s="65" t="n">
        <f aca="false">-(alph^2)-2*S_1*Ldif</f>
        <v>-625001500.06</v>
      </c>
      <c r="N36" s="65" t="n">
        <f aca="false">S_1^2</f>
        <v>562545.000899998</v>
      </c>
      <c r="O36" s="122" t="n">
        <f aca="false">(-b_1-SQRT(b_1^2-4*a_1*c_1))/(2*a_1)</f>
        <v>0.000900089740753174</v>
      </c>
      <c r="P36" s="123" t="n">
        <f aca="false">L0-KK+(P0-Pcap)/g</f>
        <v>-34249.62</v>
      </c>
      <c r="Q36" s="65" t="n">
        <f aca="false">-(alph^2)-2*S_2*Ldif</f>
        <v>-624931500.76</v>
      </c>
      <c r="R36" s="65" t="n">
        <f aca="false">S_2^2</f>
        <v>1173036470.1444</v>
      </c>
      <c r="S36" s="122" t="n">
        <f aca="false">IF(S_2&lt;0,0,(-b_2-SQRT(b_2^2-4*a_1*c_2))/(2*a_1))</f>
        <v>0</v>
      </c>
      <c r="T36" s="66" t="n">
        <f aca="false">Pcap*DDc+(P0+g*(L0-KK))*(DDg-DDc)-g*((DDg^2-DDc^2)*Ldif/2+alph*(DDg^1.5-DDc^1.5)/1.5)</f>
        <v>0.642933131239106</v>
      </c>
      <c r="U36" s="67" t="n">
        <f aca="false">IF(AND(T36&gt;F,T35&lt;F),J36,0)</f>
        <v>0</v>
      </c>
      <c r="V36" s="67" t="n">
        <f aca="false">IF(AND(T36&lt;F,T37&gt;F),J36,0)</f>
        <v>0</v>
      </c>
      <c r="W36" s="139"/>
      <c r="X36" s="102" t="n">
        <v>983</v>
      </c>
      <c r="Y36" s="124" t="n">
        <f aca="false">Y35+Y$16</f>
        <v>6.78238272666931E-005</v>
      </c>
      <c r="Z36" s="115" t="n">
        <f aca="false">(K-(L0-Y36*Ldif-alph*Y36^0.5))/R0</f>
        <v>0.607656067047424</v>
      </c>
      <c r="AA36" s="113" t="n">
        <f aca="false">IF(Z36&lt;1,X$14*((1-r_1)-Y$14*(1-r_1^2)+Z$14*(1-r_1^3)),0)</f>
        <v>2693840.83018217</v>
      </c>
      <c r="AB36" s="97" t="n">
        <f aca="false">AB35+AB$15</f>
        <v>6.78238272666931E-005</v>
      </c>
      <c r="AC36" s="115" t="n">
        <f aca="false">(Kopt-(L0-AB36*Ldif-alph*AB36^0.5))/R0</f>
        <v>0.607656067047424</v>
      </c>
      <c r="AD36" s="113" t="n">
        <f aca="false">IF(AC36&lt;1,X$14*((1-ropt)-Y$14*(1-ropt^2)+Z$14*(1-ropt^3)),0)</f>
        <v>2693840.83018217</v>
      </c>
      <c r="AE36" s="140"/>
      <c r="AF36" s="152" t="n">
        <v>5</v>
      </c>
      <c r="AG36" s="121" t="n">
        <f aca="false">AG$41+(AF36/10)*(AG$31-AG$41)</f>
        <v>40999.5</v>
      </c>
      <c r="AH36" s="153" t="n">
        <f aca="false">L0+R0-KK_3</f>
        <v>12500.5</v>
      </c>
      <c r="AI36" s="144" t="n">
        <f aca="false">-(alph^2)-2*S_3*Ldif</f>
        <v>-625025001</v>
      </c>
      <c r="AJ36" s="144" t="n">
        <f aca="false">S_3^2</f>
        <v>156262500.25</v>
      </c>
      <c r="AK36" s="154" t="n">
        <f aca="false">(-b_3-SQRT(b_3^2-4*a_3*c_3))/(2*a_3)</f>
        <v>0.250010013580322</v>
      </c>
      <c r="AL36" s="145" t="n">
        <f aca="false">1-(KK_3-L0)/R0</f>
        <v>3.57157142857143</v>
      </c>
      <c r="AM36" s="145" t="n">
        <f aca="false">1-beta*(1-f_3)</f>
        <v>1</v>
      </c>
      <c r="AN36" s="155" t="n">
        <f aca="false">f_3*j_3</f>
        <v>3.57157142857143</v>
      </c>
      <c r="AO36" s="155" t="n">
        <f aca="false">f_3*k_3+j_3*g_3</f>
        <v>-7.14285714285714</v>
      </c>
      <c r="AP36" s="155" t="n">
        <f aca="false">g_3*k_3+j_3*h_3+f_3*l_3</f>
        <v>-0.000285714285714286</v>
      </c>
      <c r="AQ36" s="155" t="n">
        <f aca="false">g_3*l_3*h_3*k_3</f>
        <v>0</v>
      </c>
      <c r="AR36" s="155" t="n">
        <f aca="false">h_3*l_3</f>
        <v>0</v>
      </c>
      <c r="AS36" s="156" t="n">
        <f aca="false">M0*D0_3*(m_3+(n_3*D0_3^0.5)/1.5+p_3*D0_3/2+(q_3*D0_3^1.5)/2.5+(r_3*D0_3^2)/3)</f>
        <v>2976.45833690464</v>
      </c>
      <c r="AT36" s="157" t="n">
        <f aca="false">IF(AND(AS36&lt;F,F&lt;AS37),AG36,0)</f>
        <v>0</v>
      </c>
      <c r="AU36" s="157" t="n">
        <f aca="false">IF(AND(AS35&lt;F,F&lt;AS36),AG36,0)</f>
        <v>0</v>
      </c>
    </row>
    <row r="37" customFormat="false" ht="12.75" hidden="false" customHeight="false" outlineLevel="0" collapsed="false">
      <c r="A37" s="55"/>
      <c r="B37" s="55" t="s">
        <v>237</v>
      </c>
      <c r="C37" s="55"/>
      <c r="D37" s="55"/>
      <c r="E37" s="55"/>
      <c r="F37" s="55"/>
      <c r="G37" s="55"/>
      <c r="H37" s="55"/>
      <c r="I37" s="120" t="n">
        <v>6</v>
      </c>
      <c r="J37" s="121" t="n">
        <f aca="false">J$43+(I37/10)*(J$33-J$43)</f>
        <v>52499.96</v>
      </c>
      <c r="K37" s="64" t="n">
        <f aca="false">L0+R0g-KK</f>
        <v>1000.04</v>
      </c>
      <c r="L37" s="65" t="n">
        <f aca="false">Ldif^2</f>
        <v>1</v>
      </c>
      <c r="M37" s="65" t="n">
        <f aca="false">-(alph^2)-2*S_1*Ldif</f>
        <v>-625002000.08</v>
      </c>
      <c r="N37" s="65" t="n">
        <f aca="false">S_1^2</f>
        <v>1000080.0016</v>
      </c>
      <c r="O37" s="122" t="n">
        <f aca="false">(-b_1-SQRT(b_1^2-4*a_1*c_1))/(2*a_1)</f>
        <v>0.00160014629364014</v>
      </c>
      <c r="P37" s="123" t="n">
        <f aca="false">L0-KK+(P0-Pcap)/g</f>
        <v>-33999.61</v>
      </c>
      <c r="Q37" s="65" t="n">
        <f aca="false">-(alph^2)-2*S_2*Ldif</f>
        <v>-624932000.78</v>
      </c>
      <c r="R37" s="65" t="n">
        <f aca="false">S_2^2</f>
        <v>1155973480.1521</v>
      </c>
      <c r="S37" s="122" t="n">
        <f aca="false">IF(S_2&lt;0,0,(-b_2-SQRT(b_2^2-4*a_1*c_2))/(2*a_1))</f>
        <v>0</v>
      </c>
      <c r="T37" s="66" t="n">
        <f aca="false">Pcap*DDc+(P0+g*(L0-KK))*(DDg-DDc)-g*((DDg^2-DDc^2)*Ldif/2+alph*(DDg^1.5-DDc^1.5)/1.5)</f>
        <v>1.52398873030576</v>
      </c>
      <c r="U37" s="67" t="n">
        <f aca="false">IF(AND(T37&gt;F,T36&lt;F),J37,0)</f>
        <v>0</v>
      </c>
      <c r="V37" s="67" t="n">
        <f aca="false">IF(AND(T37&lt;F,T38&gt;F),J37,0)</f>
        <v>0</v>
      </c>
      <c r="W37" s="139"/>
      <c r="X37" s="102" t="n">
        <v>982</v>
      </c>
      <c r="Y37" s="124" t="n">
        <f aca="false">Y36+Y$16</f>
        <v>7.18134641647339E-005</v>
      </c>
      <c r="Z37" s="115" t="n">
        <f aca="false">(K-(L0-Y37*Ldif-alph*Y37^0.5))/R0</f>
        <v>0.609361498427692</v>
      </c>
      <c r="AA37" s="113" t="n">
        <f aca="false">IF(Z37&lt;1,X$14*((1-r_1)-Y$14*(1-r_1^2)+Z$14*(1-r_1^3)),0)</f>
        <v>2670472.68093652</v>
      </c>
      <c r="AB37" s="97" t="n">
        <f aca="false">AB36+AB$15</f>
        <v>7.18134641647339E-005</v>
      </c>
      <c r="AC37" s="115" t="n">
        <f aca="false">(Kopt-(L0-AB37*Ldif-alph*AB37^0.5))/R0</f>
        <v>0.609361498427692</v>
      </c>
      <c r="AD37" s="113" t="n">
        <f aca="false">IF(AC37&lt;1,X$14*((1-ropt)-Y$14*(1-ropt^2)+Z$14*(1-ropt^3)),0)</f>
        <v>2670472.68093652</v>
      </c>
      <c r="AE37" s="140"/>
      <c r="AF37" s="152" t="n">
        <v>4</v>
      </c>
      <c r="AG37" s="121" t="n">
        <f aca="false">AG$41+(AF37/10)*(AG$31-AG$41)</f>
        <v>38499.4</v>
      </c>
      <c r="AH37" s="153" t="n">
        <f aca="false">L0+R0-KK_3</f>
        <v>15000.6</v>
      </c>
      <c r="AI37" s="144" t="n">
        <f aca="false">-(alph^2)-2*S_3*Ldif</f>
        <v>-625030001.2</v>
      </c>
      <c r="AJ37" s="144" t="n">
        <f aca="false">S_3^2</f>
        <v>225018000.36</v>
      </c>
      <c r="AK37" s="154" t="n">
        <f aca="false">(-b_3-SQRT(b_3^2-4*a_3*c_3))/(2*a_3)</f>
        <v>0.360011518001556</v>
      </c>
      <c r="AL37" s="145" t="n">
        <f aca="false">1-(KK_3-L0)/R0</f>
        <v>4.28588571428571</v>
      </c>
      <c r="AM37" s="145" t="n">
        <f aca="false">1-beta*(1-f_3)</f>
        <v>1</v>
      </c>
      <c r="AN37" s="155" t="n">
        <f aca="false">f_3*j_3</f>
        <v>4.28588571428571</v>
      </c>
      <c r="AO37" s="155" t="n">
        <f aca="false">f_3*k_3+j_3*g_3</f>
        <v>-7.14285714285714</v>
      </c>
      <c r="AP37" s="155" t="n">
        <f aca="false">g_3*k_3+j_3*h_3+f_3*l_3</f>
        <v>-0.000285714285714286</v>
      </c>
      <c r="AQ37" s="155" t="n">
        <f aca="false">g_3*l_3*h_3*k_3</f>
        <v>0</v>
      </c>
      <c r="AR37" s="155" t="n">
        <f aca="false">h_3*l_3</f>
        <v>0</v>
      </c>
      <c r="AS37" s="156" t="n">
        <f aca="false">M0*D0_3*(m_3+(n_3*D0_3^0.5)/1.5+p_3*D0_3/2+(q_3*D0_3^1.5)/2.5+(r_3*D0_3^2)/3)</f>
        <v>5143.28914680669</v>
      </c>
      <c r="AT37" s="157" t="n">
        <f aca="false">IF(AND(AS37&lt;F,F&lt;AS38),AG37,0)</f>
        <v>0</v>
      </c>
      <c r="AU37" s="157" t="n">
        <f aca="false">IF(AND(AS36&lt;F,F&lt;AS37),AG37,0)</f>
        <v>0</v>
      </c>
    </row>
    <row r="38" customFormat="false" ht="12.75" hidden="false" customHeight="false" outlineLevel="0" collapsed="false">
      <c r="A38" s="55"/>
      <c r="B38" s="55" t="s">
        <v>238</v>
      </c>
      <c r="C38" s="55"/>
      <c r="D38" s="55"/>
      <c r="E38" s="55"/>
      <c r="F38" s="55"/>
      <c r="G38" s="55"/>
      <c r="H38" s="55"/>
      <c r="I38" s="120" t="n">
        <v>5</v>
      </c>
      <c r="J38" s="121" t="n">
        <f aca="false">J$43+(I38/10)*(J$33-J$43)</f>
        <v>52249.95</v>
      </c>
      <c r="K38" s="64" t="n">
        <f aca="false">L0+R0g-KK</f>
        <v>1250.05</v>
      </c>
      <c r="L38" s="65" t="n">
        <f aca="false">Ldif^2</f>
        <v>1</v>
      </c>
      <c r="M38" s="65" t="n">
        <f aca="false">-(alph^2)-2*S_1*Ldif</f>
        <v>-625002500.1</v>
      </c>
      <c r="N38" s="65" t="n">
        <f aca="false">S_1^2</f>
        <v>1562625.00250001</v>
      </c>
      <c r="O38" s="122" t="n">
        <f aca="false">(-b_1-SQRT(b_1^2-4*a_1*c_1))/(2*a_1)</f>
        <v>0.00250017642974854</v>
      </c>
      <c r="P38" s="123" t="n">
        <f aca="false">L0-KK+(P0-Pcap)/g</f>
        <v>-33749.6</v>
      </c>
      <c r="Q38" s="65" t="n">
        <f aca="false">-(alph^2)-2*S_2*Ldif</f>
        <v>-624932500.8</v>
      </c>
      <c r="R38" s="65" t="n">
        <f aca="false">S_2^2</f>
        <v>1139035500.16</v>
      </c>
      <c r="S38" s="122" t="n">
        <f aca="false">IF(S_2&lt;0,0,(-b_2-SQRT(b_2^2-4*a_1*c_2))/(2*a_1))</f>
        <v>0</v>
      </c>
      <c r="T38" s="66" t="n">
        <f aca="false">Pcap*DDc+(P0+g*(L0-KK))*(DDg-DDc)-g*((DDg^2-DDc^2)*Ldif/2+alph*(DDg^1.5-DDc^1.5)/1.5)</f>
        <v>2.97653870330339</v>
      </c>
      <c r="U38" s="67" t="n">
        <f aca="false">IF(AND(T38&gt;F,T37&lt;F),J38,0)</f>
        <v>0</v>
      </c>
      <c r="V38" s="67" t="n">
        <f aca="false">IF(AND(T38&lt;F,T39&gt;F),J38,0)</f>
        <v>0</v>
      </c>
      <c r="W38" s="139"/>
      <c r="X38" s="102" t="n">
        <v>981</v>
      </c>
      <c r="Y38" s="124" t="n">
        <f aca="false">Y37+Y$16</f>
        <v>7.58031010627746E-005</v>
      </c>
      <c r="Z38" s="115" t="n">
        <f aca="false">(K-(L0-Y38*Ldif-alph*Y38^0.5))/R0</f>
        <v>0.611020178985187</v>
      </c>
      <c r="AA38" s="113" t="n">
        <f aca="false">IF(Z38&lt;1,X$14*((1-r_1)-Y$14*(1-r_1^2)+Z$14*(1-r_1^3)),0)</f>
        <v>2647842.77024253</v>
      </c>
      <c r="AB38" s="97" t="n">
        <f aca="false">AB37+AB$15</f>
        <v>7.58031010627746E-005</v>
      </c>
      <c r="AC38" s="115" t="n">
        <f aca="false">(Kopt-(L0-AB38*Ldif-alph*AB38^0.5))/R0</f>
        <v>0.611020178985187</v>
      </c>
      <c r="AD38" s="113" t="n">
        <f aca="false">IF(AC38&lt;1,X$14*((1-ropt)-Y$14*(1-ropt^2)+Z$14*(1-ropt^3)),0)</f>
        <v>2647842.77024253</v>
      </c>
      <c r="AE38" s="140"/>
      <c r="AF38" s="152" t="n">
        <v>3</v>
      </c>
      <c r="AG38" s="121" t="n">
        <f aca="false">AG$41+(AF38/10)*(AG$31-AG$41)</f>
        <v>35999.3</v>
      </c>
      <c r="AH38" s="153" t="n">
        <f aca="false">L0+R0-KK_3</f>
        <v>17500.7</v>
      </c>
      <c r="AI38" s="144" t="n">
        <f aca="false">-(alph^2)-2*S_3*Ldif</f>
        <v>-625035001.4</v>
      </c>
      <c r="AJ38" s="144" t="n">
        <f aca="false">S_3^2</f>
        <v>306274500.49</v>
      </c>
      <c r="AK38" s="154" t="n">
        <f aca="false">(-b_3-SQRT(b_3^2-4*a_3*c_3))/(2*a_3)</f>
        <v>0.490011751651764</v>
      </c>
      <c r="AL38" s="145" t="n">
        <f aca="false">1-(KK_3-L0)/R0</f>
        <v>5.0002</v>
      </c>
      <c r="AM38" s="145" t="n">
        <f aca="false">1-beta*(1-f_3)</f>
        <v>1</v>
      </c>
      <c r="AN38" s="155" t="n">
        <f aca="false">f_3*j_3</f>
        <v>5.0002</v>
      </c>
      <c r="AO38" s="155" t="n">
        <f aca="false">f_3*k_3+j_3*g_3</f>
        <v>-7.14285714285714</v>
      </c>
      <c r="AP38" s="155" t="n">
        <f aca="false">g_3*k_3+j_3*h_3+f_3*l_3</f>
        <v>-0.000285714285714286</v>
      </c>
      <c r="AQ38" s="155" t="n">
        <f aca="false">g_3*l_3*h_3*k_3</f>
        <v>0</v>
      </c>
      <c r="AR38" s="155" t="n">
        <f aca="false">h_3*l_3</f>
        <v>0</v>
      </c>
      <c r="AS38" s="156" t="n">
        <f aca="false">M0*D0_3*(m_3+(n_3*D0_3^0.5)/1.5+p_3*D0_3/2+(q_3*D0_3^1.5)/2.5+(r_3*D0_3^2)/3)</f>
        <v>8167.30367019448</v>
      </c>
      <c r="AT38" s="157" t="n">
        <f aca="false">IF(AND(AS38&lt;F,F&lt;AS39),AG38,0)</f>
        <v>0</v>
      </c>
      <c r="AU38" s="157" t="n">
        <f aca="false">IF(AND(AS37&lt;F,F&lt;AS38),AG38,0)</f>
        <v>0</v>
      </c>
    </row>
    <row r="39" customFormat="false" ht="12.75" hidden="false" customHeight="false" outlineLevel="0" collapsed="false">
      <c r="A39" s="55"/>
      <c r="B39" s="55" t="s">
        <v>239</v>
      </c>
      <c r="C39" s="55"/>
      <c r="D39" s="55"/>
      <c r="E39" s="55"/>
      <c r="F39" s="55"/>
      <c r="G39" s="55"/>
      <c r="H39" s="55"/>
      <c r="I39" s="120" t="n">
        <v>4</v>
      </c>
      <c r="J39" s="121" t="n">
        <f aca="false">J$43+(I39/10)*(J$33-J$43)</f>
        <v>51999.94</v>
      </c>
      <c r="K39" s="64" t="n">
        <f aca="false">L0+R0g-KK</f>
        <v>1500.06</v>
      </c>
      <c r="L39" s="65" t="n">
        <f aca="false">Ldif^2</f>
        <v>1</v>
      </c>
      <c r="M39" s="65" t="n">
        <f aca="false">-(alph^2)-2*S_1*Ldif</f>
        <v>-625003000.12</v>
      </c>
      <c r="N39" s="65" t="n">
        <f aca="false">S_1^2</f>
        <v>2250180.00359999</v>
      </c>
      <c r="O39" s="122" t="n">
        <f aca="false">(-b_1-SQRT(b_1^2-4*a_1*c_1))/(2*a_1)</f>
        <v>0.00360029935836792</v>
      </c>
      <c r="P39" s="123" t="n">
        <f aca="false">L0-KK+(P0-Pcap)/g</f>
        <v>-33499.59</v>
      </c>
      <c r="Q39" s="65" t="n">
        <f aca="false">-(alph^2)-2*S_2*Ldif</f>
        <v>-624933000.82</v>
      </c>
      <c r="R39" s="65" t="n">
        <f aca="false">S_2^2</f>
        <v>1122222530.1681</v>
      </c>
      <c r="S39" s="122" t="n">
        <f aca="false">IF(S_2&lt;0,0,(-b_2-SQRT(b_2^2-4*a_1*c_2))/(2*a_1))</f>
        <v>0</v>
      </c>
      <c r="T39" s="66" t="n">
        <f aca="false">Pcap*DDc+(P0+g*(L0-KK))*(DDg-DDc)-g*((DDg^2-DDc^2)*Ldif/2+alph*(DDg^1.5-DDc^1.5)/1.5)</f>
        <v>5.143455792997</v>
      </c>
      <c r="U39" s="67" t="n">
        <f aca="false">IF(AND(T39&gt;F,T38&lt;F),J39,0)</f>
        <v>0</v>
      </c>
      <c r="V39" s="67" t="n">
        <f aca="false">IF(AND(T39&lt;F,T40&gt;F),J39,0)</f>
        <v>51999.94</v>
      </c>
      <c r="W39" s="139"/>
      <c r="X39" s="102" t="n">
        <v>980</v>
      </c>
      <c r="Y39" s="124" t="n">
        <f aca="false">Y38+Y$16</f>
        <v>7.97927379608154E-005</v>
      </c>
      <c r="Z39" s="115" t="n">
        <f aca="false">(K-(L0-Y39*Ldif-alph*Y39^0.5))/R0</f>
        <v>0.612635754846384</v>
      </c>
      <c r="AA39" s="113" t="n">
        <f aca="false">IF(Z39&lt;1,X$14*((1-r_1)-Y$14*(1-r_1^2)+Z$14*(1-r_1^3)),0)</f>
        <v>2625893.52241005</v>
      </c>
      <c r="AB39" s="97" t="n">
        <f aca="false">AB38+AB$15</f>
        <v>7.97927379608154E-005</v>
      </c>
      <c r="AC39" s="115" t="n">
        <f aca="false">(Kopt-(L0-AB39*Ldif-alph*AB39^0.5))/R0</f>
        <v>0.612635754846384</v>
      </c>
      <c r="AD39" s="113" t="n">
        <f aca="false">IF(AC39&lt;1,X$14*((1-ropt)-Y$14*(1-ropt^2)+Z$14*(1-ropt^3)),0)</f>
        <v>2625893.52241005</v>
      </c>
      <c r="AE39" s="140"/>
      <c r="AF39" s="152" t="n">
        <v>2</v>
      </c>
      <c r="AG39" s="121" t="n">
        <f aca="false">AG$41+(AF39/10)*(AG$31-AG$41)</f>
        <v>33499.2</v>
      </c>
      <c r="AH39" s="153" t="n">
        <f aca="false">L0+R0-KK_3</f>
        <v>20000.8</v>
      </c>
      <c r="AI39" s="144" t="n">
        <f aca="false">-(alph^2)-2*S_3*Ldif</f>
        <v>-625040001.6</v>
      </c>
      <c r="AJ39" s="144" t="n">
        <f aca="false">S_3^2</f>
        <v>400032000.64</v>
      </c>
      <c r="AK39" s="154" t="n">
        <f aca="false">(-b_3-SQRT(b_3^2-4*a_3*c_3))/(2*a_3)</f>
        <v>0.640010237693787</v>
      </c>
      <c r="AL39" s="145" t="n">
        <f aca="false">1-(KK_3-L0)/R0</f>
        <v>5.71451428571429</v>
      </c>
      <c r="AM39" s="145" t="n">
        <f aca="false">1-beta*(1-f_3)</f>
        <v>1</v>
      </c>
      <c r="AN39" s="155" t="n">
        <f aca="false">f_3*j_3</f>
        <v>5.71451428571429</v>
      </c>
      <c r="AO39" s="155" t="n">
        <f aca="false">f_3*k_3+j_3*g_3</f>
        <v>-7.14285714285714</v>
      </c>
      <c r="AP39" s="155" t="n">
        <f aca="false">g_3*k_3+j_3*h_3+f_3*l_3</f>
        <v>-0.000285714285714286</v>
      </c>
      <c r="AQ39" s="155" t="n">
        <f aca="false">g_3*l_3*h_3*k_3</f>
        <v>0</v>
      </c>
      <c r="AR39" s="155" t="n">
        <f aca="false">h_3*l_3</f>
        <v>0</v>
      </c>
      <c r="AS39" s="156" t="n">
        <f aca="false">M0*D0_3*(m_3+(n_3*D0_3^0.5)/1.5+p_3*D0_3/2+(q_3*D0_3^1.5)/2.5+(r_3*D0_3^2)/3)</f>
        <v>12191.3539071023</v>
      </c>
      <c r="AT39" s="157" t="n">
        <f aca="false">IF(AND(AS39&lt;F,F&lt;AS40),AG39,0)</f>
        <v>0</v>
      </c>
      <c r="AU39" s="157" t="n">
        <f aca="false">IF(AND(AS38&lt;F,F&lt;AS39),AG39,0)</f>
        <v>0</v>
      </c>
    </row>
    <row r="40" customFormat="false" ht="12.75" hidden="false" customHeight="false" outlineLevel="0" collapsed="false">
      <c r="A40" s="55"/>
      <c r="B40" s="55" t="s">
        <v>240</v>
      </c>
      <c r="C40" s="55"/>
      <c r="D40" s="55"/>
      <c r="E40" s="55"/>
      <c r="F40" s="55"/>
      <c r="G40" s="55"/>
      <c r="H40" s="55"/>
      <c r="I40" s="120" t="n">
        <v>3</v>
      </c>
      <c r="J40" s="121" t="n">
        <f aca="false">J$43+(I40/10)*(J$33-J$43)</f>
        <v>51749.93</v>
      </c>
      <c r="K40" s="64" t="n">
        <f aca="false">L0+R0g-KK</f>
        <v>1750.07</v>
      </c>
      <c r="L40" s="65" t="n">
        <f aca="false">Ldif^2</f>
        <v>1</v>
      </c>
      <c r="M40" s="65" t="n">
        <f aca="false">-(alph^2)-2*S_1*Ldif</f>
        <v>-625003500.14</v>
      </c>
      <c r="N40" s="65" t="n">
        <f aca="false">S_1^2</f>
        <v>3062745.0049</v>
      </c>
      <c r="O40" s="122" t="n">
        <f aca="false">(-b_1-SQRT(b_1^2-4*a_1*c_1))/(2*a_1)</f>
        <v>0.00490039587020874</v>
      </c>
      <c r="P40" s="123" t="n">
        <f aca="false">L0-KK+(P0-Pcap)/g</f>
        <v>-33249.58</v>
      </c>
      <c r="Q40" s="65" t="n">
        <f aca="false">-(alph^2)-2*S_2*Ldif</f>
        <v>-624933500.84</v>
      </c>
      <c r="R40" s="65" t="n">
        <f aca="false">S_2^2</f>
        <v>1105534570.1764</v>
      </c>
      <c r="S40" s="122" t="n">
        <f aca="false">IF(S_2&lt;0,0,(-b_2-SQRT(b_2^2-4*a_1*c_2))/(2*a_1))</f>
        <v>0</v>
      </c>
      <c r="T40" s="66" t="n">
        <f aca="false">Pcap*DDc+(P0+g*(L0-KK))*(DDg-DDc)-g*((DDg^2-DDc^2)*Ldif/2+alph*(DDg^1.5-DDc^1.5)/1.5)</f>
        <v>8.16761240032098</v>
      </c>
      <c r="U40" s="67" t="n">
        <f aca="false">IF(AND(T40&gt;F,T39&lt;F),J40,0)</f>
        <v>51749.93</v>
      </c>
      <c r="V40" s="67" t="n">
        <f aca="false">IF(AND(T40&lt;F,T41&gt;F),J40,0)</f>
        <v>0</v>
      </c>
      <c r="W40" s="159"/>
      <c r="X40" s="102" t="n">
        <v>979</v>
      </c>
      <c r="Y40" s="124" t="n">
        <f aca="false">Y39+Y$16</f>
        <v>8.37823748588562E-005</v>
      </c>
      <c r="Z40" s="115" t="n">
        <f aca="false">(K-(L0-Y40*Ldif-alph*Y40^0.5))/R0</f>
        <v>0.614211421484708</v>
      </c>
      <c r="AA40" s="113" t="n">
        <f aca="false">IF(Z40&lt;1,X$14*((1-r_1)-Y$14*(1-r_1^2)+Z$14*(1-r_1^3)),0)</f>
        <v>2604574.47797488</v>
      </c>
      <c r="AB40" s="97" t="n">
        <f aca="false">AB39+AB$15</f>
        <v>8.37823748588562E-005</v>
      </c>
      <c r="AC40" s="115" t="n">
        <f aca="false">(Kopt-(L0-AB40*Ldif-alph*AB40^0.5))/R0</f>
        <v>0.614211421484708</v>
      </c>
      <c r="AD40" s="113" t="n">
        <f aca="false">IF(AC40&lt;1,X$14*((1-ropt)-Y$14*(1-ropt^2)+Z$14*(1-ropt^3)),0)</f>
        <v>2604574.47797488</v>
      </c>
      <c r="AF40" s="152" t="n">
        <v>1</v>
      </c>
      <c r="AG40" s="121" t="n">
        <f aca="false">AG$41+(AF40/10)*(AG$31-AG$41)</f>
        <v>30999.1</v>
      </c>
      <c r="AH40" s="153" t="n">
        <f aca="false">L0+R0-KK_3</f>
        <v>22500.9</v>
      </c>
      <c r="AI40" s="144" t="n">
        <f aca="false">-(alph^2)-2*S_3*Ldif</f>
        <v>-625045001.8</v>
      </c>
      <c r="AJ40" s="144" t="n">
        <f aca="false">S_3^2</f>
        <v>506290500.81</v>
      </c>
      <c r="AK40" s="154" t="n">
        <f aca="false">(-b_3-SQRT(b_3^2-4*a_3*c_3))/(2*a_3)</f>
        <v>0.810006499290466</v>
      </c>
      <c r="AL40" s="145" t="n">
        <f aca="false">1-(KK_3-L0)/R0</f>
        <v>6.42882857142857</v>
      </c>
      <c r="AM40" s="145" t="n">
        <f aca="false">1-beta*(1-f_3)</f>
        <v>1</v>
      </c>
      <c r="AN40" s="155" t="n">
        <f aca="false">f_3*j_3</f>
        <v>6.42882857142857</v>
      </c>
      <c r="AO40" s="155" t="n">
        <f aca="false">f_3*k_3+j_3*g_3</f>
        <v>-7.14285714285714</v>
      </c>
      <c r="AP40" s="155" t="n">
        <f aca="false">g_3*k_3+j_3*h_3+f_3*l_3</f>
        <v>-0.000285714285714286</v>
      </c>
      <c r="AQ40" s="155" t="n">
        <f aca="false">g_3*l_3*h_3*k_3</f>
        <v>0</v>
      </c>
      <c r="AR40" s="155" t="n">
        <f aca="false">h_3*l_3</f>
        <v>0</v>
      </c>
      <c r="AS40" s="156" t="n">
        <f aca="false">M0*D0_3*(m_3+(n_3*D0_3^0.5)/1.5+p_3*D0_3/2+(q_3*D0_3^1.5)/2.5+(r_3*D0_3^2)/3)</f>
        <v>17358.2884294045</v>
      </c>
      <c r="AT40" s="157" t="n">
        <f aca="false">IF(AND(AS40&lt;F,F&lt;AS41),AG40,0)</f>
        <v>0</v>
      </c>
      <c r="AU40" s="157" t="n">
        <f aca="false">IF(AND(AS39&lt;F,F&lt;AS40),AG40,0)</f>
        <v>0</v>
      </c>
    </row>
    <row r="41" customFormat="false" ht="12.75" hidden="false" customHeight="false" outlineLevel="0" collapsed="false">
      <c r="B41" s="55"/>
      <c r="C41" s="55"/>
      <c r="D41" s="55"/>
      <c r="E41" s="55"/>
      <c r="F41" s="55"/>
      <c r="G41" s="55"/>
      <c r="H41" s="55"/>
      <c r="I41" s="120" t="n">
        <v>2</v>
      </c>
      <c r="J41" s="121" t="n">
        <f aca="false">J$43+(I41/10)*(J$33-J$43)</f>
        <v>51499.92</v>
      </c>
      <c r="K41" s="64" t="n">
        <f aca="false">L0+R0g-KK</f>
        <v>2000.08</v>
      </c>
      <c r="L41" s="65" t="n">
        <f aca="false">Ldif^2</f>
        <v>1</v>
      </c>
      <c r="M41" s="65" t="n">
        <f aca="false">-(alph^2)-2*S_1*Ldif</f>
        <v>-625004000.16</v>
      </c>
      <c r="N41" s="65" t="n">
        <f aca="false">S_1^2</f>
        <v>4000320.00640001</v>
      </c>
      <c r="O41" s="122" t="n">
        <f aca="false">(-b_1-SQRT(b_1^2-4*a_1*c_1))/(2*a_1)</f>
        <v>0.006400465965271</v>
      </c>
      <c r="P41" s="123" t="n">
        <f aca="false">L0-KK+(P0-Pcap)/g</f>
        <v>-32999.57</v>
      </c>
      <c r="Q41" s="65" t="n">
        <f aca="false">-(alph^2)-2*S_2*Ldif</f>
        <v>-624934000.86</v>
      </c>
      <c r="R41" s="65" t="n">
        <f aca="false">S_2^2</f>
        <v>1088971620.1849</v>
      </c>
      <c r="S41" s="122" t="n">
        <f aca="false">IF(S_2&lt;0,0,(-b_2-SQRT(b_2^2-4*a_1*c_2))/(2*a_1))</f>
        <v>0</v>
      </c>
      <c r="T41" s="66" t="n">
        <f aca="false">Pcap*DDc+(P0+g*(L0-KK))*(DDg-DDc)-g*((DDg^2-DDc^2)*Ldif/2+alph*(DDg^1.5-DDc^1.5)/1.5)</f>
        <v>12.1918805828544</v>
      </c>
      <c r="U41" s="67" t="n">
        <f aca="false">IF(AND(T41&gt;F,T40&lt;F),J41,0)</f>
        <v>0</v>
      </c>
      <c r="V41" s="67" t="n">
        <f aca="false">IF(AND(T41&lt;F,T42&gt;F),J41,0)</f>
        <v>0</v>
      </c>
      <c r="W41" s="159"/>
      <c r="X41" s="102" t="n">
        <v>978</v>
      </c>
      <c r="Y41" s="124" t="n">
        <f aca="false">Y40+Y$16</f>
        <v>8.77720117568969E-005</v>
      </c>
      <c r="Z41" s="115" t="n">
        <f aca="false">(K-(L0-Y41*Ldif-alph*Y41^0.5))/R0</f>
        <v>0.615749998047064</v>
      </c>
      <c r="AA41" s="113" t="n">
        <f aca="false">IF(Z41&lt;1,X$14*((1-r_1)-Y$14*(1-r_1^2)+Z$14*(1-r_1^3)),0)</f>
        <v>2583841.12001454</v>
      </c>
      <c r="AB41" s="97" t="n">
        <f aca="false">AB40+AB$15</f>
        <v>8.77720117568969E-005</v>
      </c>
      <c r="AC41" s="115" t="n">
        <f aca="false">(Kopt-(L0-AB41*Ldif-alph*AB41^0.5))/R0</f>
        <v>0.615749998047064</v>
      </c>
      <c r="AD41" s="113" t="n">
        <f aca="false">IF(AC41&lt;1,X$14*((1-ropt)-Y$14*(1-ropt^2)+Z$14*(1-ropt^3)),0)</f>
        <v>2583841.12001454</v>
      </c>
      <c r="AF41" s="152" t="n">
        <v>0</v>
      </c>
      <c r="AG41" s="121" t="n">
        <f aca="false">L0-Ldif-alph+R0</f>
        <v>28499</v>
      </c>
      <c r="AH41" s="153" t="n">
        <f aca="false">L0+R0-KK_3</f>
        <v>25001</v>
      </c>
      <c r="AI41" s="144" t="n">
        <f aca="false">-(alph^2)-2*S_3*Ldif</f>
        <v>-625050002</v>
      </c>
      <c r="AJ41" s="144" t="n">
        <f aca="false">S_3^2</f>
        <v>625050001</v>
      </c>
      <c r="AK41" s="154" t="n">
        <f aca="false">(-b_3-SQRT(b_3^2-4*a_3*c_3))/(2*a_3)</f>
        <v>1</v>
      </c>
      <c r="AL41" s="145" t="n">
        <f aca="false">1-(KK_3-L0)/R0</f>
        <v>7.14314285714286</v>
      </c>
      <c r="AM41" s="145" t="n">
        <f aca="false">1-beta*(1-f_3)</f>
        <v>1</v>
      </c>
      <c r="AN41" s="155" t="n">
        <f aca="false">f_3*j_3</f>
        <v>7.14314285714286</v>
      </c>
      <c r="AO41" s="155" t="n">
        <f aca="false">f_3*k_3+j_3*g_3</f>
        <v>-7.14285714285714</v>
      </c>
      <c r="AP41" s="155" t="n">
        <f aca="false">g_3*k_3+j_3*h_3+f_3*l_3</f>
        <v>-0.000285714285714286</v>
      </c>
      <c r="AQ41" s="155" t="n">
        <f aca="false">g_3*l_3*h_3*k_3</f>
        <v>0</v>
      </c>
      <c r="AR41" s="155" t="n">
        <f aca="false">h_3*l_3</f>
        <v>0</v>
      </c>
      <c r="AS41" s="156" t="n">
        <f aca="false">M0*D0_3*(m_3+(n_3*D0_3^0.5)/1.5+p_3*D0_3/2+(q_3*D0_3^1.5)/2.5+(r_3*D0_3^2)/3)</f>
        <v>23810.9523809524</v>
      </c>
      <c r="AT41" s="157"/>
      <c r="AU41" s="157" t="n">
        <f aca="false">IF(AND(AS40&lt;F,F&lt;AS41),AG41,0)</f>
        <v>0</v>
      </c>
    </row>
    <row r="42" customFormat="false" ht="12.75" hidden="false" customHeight="false" outlineLevel="0" collapsed="false">
      <c r="B42" s="55" t="s">
        <v>241</v>
      </c>
      <c r="C42" s="55"/>
      <c r="D42" s="55"/>
      <c r="I42" s="120" t="n">
        <v>1</v>
      </c>
      <c r="J42" s="121" t="n">
        <f aca="false">J$43+(I42/10)*(J$33-J$43)</f>
        <v>51249.91</v>
      </c>
      <c r="K42" s="64" t="n">
        <f aca="false">L0+R0g-KK</f>
        <v>2250.09</v>
      </c>
      <c r="L42" s="65" t="n">
        <f aca="false">Ldif^2</f>
        <v>1</v>
      </c>
      <c r="M42" s="65" t="n">
        <f aca="false">-(alph^2)-2*S_1*Ldif</f>
        <v>-625004500.18</v>
      </c>
      <c r="N42" s="65" t="n">
        <f aca="false">S_1^2</f>
        <v>5062905.00809998</v>
      </c>
      <c r="O42" s="122" t="n">
        <f aca="false">(-b_1-SQRT(b_1^2-4*a_1*c_1))/(2*a_1)</f>
        <v>0.00810056924819946</v>
      </c>
      <c r="P42" s="123" t="n">
        <f aca="false">L0-KK+(P0-Pcap)/g</f>
        <v>-32749.56</v>
      </c>
      <c r="Q42" s="65" t="n">
        <f aca="false">-(alph^2)-2*S_2*Ldif</f>
        <v>-624934500.88</v>
      </c>
      <c r="R42" s="65" t="n">
        <f aca="false">S_2^2</f>
        <v>1072533680.1936</v>
      </c>
      <c r="S42" s="122" t="n">
        <f aca="false">IF(S_2&lt;0,0,(-b_2-SQRT(b_2^2-4*a_1*c_2))/(2*a_1))</f>
        <v>0</v>
      </c>
      <c r="T42" s="66" t="n">
        <f aca="false">Pcap*DDc+(P0+g*(L0-KK))*(DDg-DDc)-g*((DDg^2-DDc^2)*Ldif/2+alph*(DDg^1.5-DDc^1.5)/1.5)</f>
        <v>17.3591320546242</v>
      </c>
      <c r="U42" s="67" t="n">
        <f aca="false">IF(AND(T42&gt;F,T41&lt;F),J42,0)</f>
        <v>0</v>
      </c>
      <c r="V42" s="67" t="n">
        <f aca="false">IF(AND(T42&lt;F,T43&gt;F),J42,0)</f>
        <v>0</v>
      </c>
      <c r="W42" s="159"/>
      <c r="X42" s="102" t="n">
        <v>977</v>
      </c>
      <c r="Y42" s="124" t="n">
        <f aca="false">Y41+Y$16</f>
        <v>9.17616486549377E-005</v>
      </c>
      <c r="Z42" s="115" t="n">
        <f aca="false">(K-(L0-Y42*Ldif-alph*Y42^0.5))/R0</f>
        <v>0.617253986624691</v>
      </c>
      <c r="AA42" s="113" t="n">
        <f aca="false">IF(Z42&lt;1,X$14*((1-r_1)-Y$14*(1-r_1^2)+Z$14*(1-r_1^3)),0)</f>
        <v>2563653.93820711</v>
      </c>
      <c r="AB42" s="97" t="n">
        <f aca="false">AB41+AB$15</f>
        <v>9.17616486549377E-005</v>
      </c>
      <c r="AC42" s="115" t="n">
        <f aca="false">(Kopt-(L0-AB42*Ldif-alph*AB42^0.5))/R0</f>
        <v>0.617253986624691</v>
      </c>
      <c r="AD42" s="113" t="n">
        <f aca="false">IF(AC42&lt;1,X$14*((1-ropt)-Y$14*(1-ropt^2)+Z$14*(1-ropt^3)),0)</f>
        <v>2563653.93820711</v>
      </c>
    </row>
    <row r="43" customFormat="false" ht="12.75" hidden="false" customHeight="false" outlineLevel="0" collapsed="false">
      <c r="B43" s="55" t="s">
        <v>242</v>
      </c>
      <c r="I43" s="120" t="n">
        <v>0</v>
      </c>
      <c r="J43" s="67" t="n">
        <f aca="false">U19</f>
        <v>50999.9</v>
      </c>
      <c r="K43" s="64" t="n">
        <f aca="false">L0+R0g-KK</f>
        <v>2500.1</v>
      </c>
      <c r="L43" s="65" t="n">
        <f aca="false">Ldif^2</f>
        <v>1</v>
      </c>
      <c r="M43" s="65" t="n">
        <f aca="false">-(alph^2)-2*S_1*Ldif</f>
        <v>-625005000.2</v>
      </c>
      <c r="N43" s="65" t="n">
        <f aca="false">S_1^2</f>
        <v>6250500.00999999</v>
      </c>
      <c r="O43" s="122" t="n">
        <f aca="false">(-b_1-SQRT(b_1^2-4*a_1*c_1))/(2*a_1)</f>
        <v>0.0100007057189941</v>
      </c>
      <c r="P43" s="123" t="n">
        <f aca="false">L0-KK+(P0-Pcap)/g</f>
        <v>-32499.55</v>
      </c>
      <c r="Q43" s="65" t="n">
        <f aca="false">-(alph^2)-2*S_2*Ldif</f>
        <v>-624935000.9</v>
      </c>
      <c r="R43" s="65" t="n">
        <f aca="false">S_2^2</f>
        <v>1056220750.2025</v>
      </c>
      <c r="S43" s="122" t="n">
        <f aca="false">IF(S_2&lt;0,0,(-b_2-SQRT(b_2^2-4*a_1*c_2))/(2*a_1))</f>
        <v>0</v>
      </c>
      <c r="T43" s="66" t="n">
        <f aca="false">Pcap*DDc+(P0+g*(L0-KK))*(DDg-DDc)-g*((DDg^2-DDc^2)*Ldif/2+alph*(DDg^1.5-DDc^1.5)/1.5)</f>
        <v>23.8122381877734</v>
      </c>
      <c r="U43" s="67" t="n">
        <f aca="false">IF(AND(T43&gt;F,T42&lt;F),J43,0)</f>
        <v>0</v>
      </c>
      <c r="W43" s="159"/>
      <c r="X43" s="102" t="n">
        <v>976</v>
      </c>
      <c r="Y43" s="124" t="n">
        <f aca="false">Y42+Y$16</f>
        <v>9.57512855529785E-005</v>
      </c>
      <c r="Z43" s="115" t="n">
        <f aca="false">(K-(L0-Y43*Ldif-alph*Y43^0.5))/R0</f>
        <v>0.618725620035907</v>
      </c>
      <c r="AA43" s="113" t="n">
        <f aca="false">IF(Z43&lt;1,X$14*((1-r_1)-Y$14*(1-r_1^2)+Z$14*(1-r_1^3)),0)</f>
        <v>2543977.67429756</v>
      </c>
      <c r="AB43" s="97" t="n">
        <f aca="false">AB42+AB$15</f>
        <v>9.57512855529785E-005</v>
      </c>
      <c r="AC43" s="115" t="n">
        <f aca="false">(Kopt-(L0-AB43*Ldif-alph*AB43^0.5))/R0</f>
        <v>0.618725620035907</v>
      </c>
      <c r="AD43" s="113" t="n">
        <f aca="false">IF(AC43&lt;1,X$14*((1-ropt)-Y$14*(1-ropt^2)+Z$14*(1-ropt^3)),0)</f>
        <v>2543977.67429756</v>
      </c>
      <c r="AF43" s="55"/>
      <c r="AG43" s="141" t="s">
        <v>221</v>
      </c>
      <c r="AH43" s="142" t="s">
        <v>222</v>
      </c>
      <c r="AI43" s="142" t="s">
        <v>223</v>
      </c>
      <c r="AJ43" s="147" t="s">
        <v>224</v>
      </c>
      <c r="AK43" s="142" t="s">
        <v>225</v>
      </c>
      <c r="AL43" s="142" t="s">
        <v>226</v>
      </c>
      <c r="AM43" s="142" t="s">
        <v>227</v>
      </c>
      <c r="AN43" s="142" t="s">
        <v>228</v>
      </c>
      <c r="AO43" s="142" t="s">
        <v>229</v>
      </c>
      <c r="AP43" s="142" t="s">
        <v>230</v>
      </c>
      <c r="AQ43" s="142" t="s">
        <v>231</v>
      </c>
      <c r="AR43" s="142" t="s">
        <v>232</v>
      </c>
      <c r="AS43" s="55"/>
      <c r="AT43" s="148" t="n">
        <f aca="false">MAX(AT44:AT53)</f>
        <v>51999.94</v>
      </c>
      <c r="AU43" s="148" t="n">
        <f aca="false">MAX(AU45:AU54)</f>
        <v>51749.93</v>
      </c>
    </row>
    <row r="44" customFormat="false" ht="12.75" hidden="false" customHeight="false" outlineLevel="0" collapsed="false">
      <c r="J44" s="67"/>
      <c r="K44" s="67"/>
      <c r="L44" s="151"/>
      <c r="M44" s="151"/>
      <c r="N44" s="151"/>
      <c r="O44" s="69"/>
      <c r="P44" s="69"/>
      <c r="Q44" s="69"/>
      <c r="R44" s="69"/>
      <c r="S44" s="69"/>
      <c r="T44" s="69"/>
      <c r="U44" s="69"/>
      <c r="V44" s="69"/>
      <c r="W44" s="159"/>
      <c r="X44" s="102" t="n">
        <v>975</v>
      </c>
      <c r="Y44" s="124" t="n">
        <f aca="false">Y43+Y$16</f>
        <v>9.97409224510192E-005</v>
      </c>
      <c r="Z44" s="115" t="n">
        <f aca="false">(K-(L0-Y44*Ldif-alph*Y44^0.5))/R0</f>
        <v>0.620166900730513</v>
      </c>
      <c r="AA44" s="113" t="n">
        <f aca="false">IF(Z44&lt;1,X$14*((1-r_1)-Y$14*(1-r_1^2)+Z$14*(1-r_1^3)),0)</f>
        <v>2524780.70776162</v>
      </c>
      <c r="AB44" s="97" t="n">
        <f aca="false">AB43+AB$15</f>
        <v>9.97409224510192E-005</v>
      </c>
      <c r="AC44" s="115" t="n">
        <f aca="false">(Kopt-(L0-AB44*Ldif-alph*AB44^0.5))/R0</f>
        <v>0.620166900730513</v>
      </c>
      <c r="AD44" s="113" t="n">
        <f aca="false">IF(AC44&lt;1,X$14*((1-ropt)-Y$14*(1-ropt^2)+Z$14*(1-ropt^3)),0)</f>
        <v>2524780.70776162</v>
      </c>
      <c r="AF44" s="152" t="n">
        <v>10</v>
      </c>
      <c r="AG44" s="141" t="n">
        <f aca="false">AT30</f>
        <v>53500</v>
      </c>
      <c r="AH44" s="153" t="n">
        <f aca="false">L0+R0-KK_3</f>
        <v>0</v>
      </c>
      <c r="AI44" s="144" t="n">
        <f aca="false">-(alph^2)-2*S_3*Ldif</f>
        <v>-625000000</v>
      </c>
      <c r="AJ44" s="144" t="n">
        <f aca="false">S_3^2</f>
        <v>0</v>
      </c>
      <c r="AK44" s="154" t="n">
        <f aca="false">(-b_3-SQRT(b_3^2-4*a_3*c_3))/(2*a_3)</f>
        <v>0</v>
      </c>
      <c r="AL44" s="145" t="n">
        <f aca="false">1-(KK_3-L0)/R0</f>
        <v>0</v>
      </c>
      <c r="AM44" s="145" t="n">
        <f aca="false">1-beta*(1-f_3)</f>
        <v>1</v>
      </c>
      <c r="AN44" s="155" t="n">
        <f aca="false">f_3*j_3</f>
        <v>0</v>
      </c>
      <c r="AO44" s="155" t="n">
        <f aca="false">f_3*k_3+j_3*g_3</f>
        <v>-7.14285714285714</v>
      </c>
      <c r="AP44" s="155" t="n">
        <f aca="false">g_3*k_3+j_3*h_3+f_3*l_3</f>
        <v>-0.000285714285714286</v>
      </c>
      <c r="AQ44" s="155" t="n">
        <f aca="false">g_3*l_3*h_3*k_3</f>
        <v>0</v>
      </c>
      <c r="AR44" s="155" t="n">
        <f aca="false">h_3*l_3</f>
        <v>0</v>
      </c>
      <c r="AS44" s="156" t="n">
        <f aca="false">M0*D0_3*(m_3+(n_3*D0_3^0.5)/1.5+p_3*D0_3/2+(q_3*D0_3^1.5)/2.5+(r_3*D0_3^2)/3)</f>
        <v>0</v>
      </c>
      <c r="AT44" s="157" t="n">
        <f aca="false">IF(AND(AS44&lt;F,F&lt;AS45),AG44,0)</f>
        <v>0</v>
      </c>
      <c r="AU44" s="157"/>
    </row>
    <row r="45" customFormat="false" ht="12.75" hidden="false" customHeight="false" outlineLevel="0" collapsed="false">
      <c r="I45" s="150"/>
      <c r="J45" s="67"/>
      <c r="K45" s="67"/>
      <c r="L45" s="151"/>
      <c r="M45" s="151"/>
      <c r="N45" s="107"/>
      <c r="O45" s="102"/>
      <c r="P45" s="102"/>
      <c r="Q45" s="102"/>
      <c r="R45" s="102"/>
      <c r="S45" s="102"/>
      <c r="T45" s="102"/>
      <c r="U45" s="113" t="n">
        <f aca="false">MAX(U47:U56)</f>
        <v>51899.936</v>
      </c>
      <c r="V45" s="113" t="n">
        <f aca="false">MAX(V46:V55)</f>
        <v>51924.937</v>
      </c>
      <c r="W45" s="159"/>
      <c r="X45" s="102" t="n">
        <v>974</v>
      </c>
      <c r="Y45" s="124" t="n">
        <f aca="false">Y44+Y$16</f>
        <v>0.00010373055934906</v>
      </c>
      <c r="Z45" s="115" t="n">
        <f aca="false">(K-(L0-Y45*Ldif-alph*Y45^0.5))/R0</f>
        <v>0.621579632752436</v>
      </c>
      <c r="AA45" s="113" t="n">
        <f aca="false">IF(Z45&lt;1,X$14*((1-r_1)-Y$14*(1-r_1^2)+Z$14*(1-r_1^3)),0)</f>
        <v>2506034.55108618</v>
      </c>
      <c r="AB45" s="97" t="n">
        <f aca="false">AB44+AB$15</f>
        <v>0.00010373055934906</v>
      </c>
      <c r="AC45" s="115" t="n">
        <f aca="false">(Kopt-(L0-AB45*Ldif-alph*AB45^0.5))/R0</f>
        <v>0.621579632752436</v>
      </c>
      <c r="AD45" s="113" t="n">
        <f aca="false">IF(AC45&lt;1,X$14*((1-ropt)-Y$14*(1-ropt^2)+Z$14*(1-ropt^3)),0)</f>
        <v>2506034.55108618</v>
      </c>
      <c r="AF45" s="152" t="n">
        <v>9</v>
      </c>
      <c r="AG45" s="121" t="n">
        <f aca="false">AG$54+(AF45/10)*(AG$44-AG$54)</f>
        <v>53249.99</v>
      </c>
      <c r="AH45" s="153" t="n">
        <f aca="false">L0+R0-KK_3</f>
        <v>250.010000000002</v>
      </c>
      <c r="AI45" s="144" t="n">
        <f aca="false">-(alph^2)-2*S_3*Ldif</f>
        <v>-625000500.02</v>
      </c>
      <c r="AJ45" s="144" t="n">
        <f aca="false">S_3^2</f>
        <v>62505.000100001</v>
      </c>
      <c r="AK45" s="154" t="n">
        <f aca="false">(-b_3-SQRT(b_3^2-4*a_3*c_3))/(2*a_3)</f>
        <v>0.000100016593933105</v>
      </c>
      <c r="AL45" s="145" t="n">
        <f aca="false">1-(KK_3-L0)/R0</f>
        <v>0.0714314285714293</v>
      </c>
      <c r="AM45" s="145" t="n">
        <f aca="false">1-beta*(1-f_3)</f>
        <v>1</v>
      </c>
      <c r="AN45" s="155" t="n">
        <f aca="false">f_3*j_3</f>
        <v>0.0714314285714293</v>
      </c>
      <c r="AO45" s="155" t="n">
        <f aca="false">f_3*k_3+j_3*g_3</f>
        <v>-7.14285714285714</v>
      </c>
      <c r="AP45" s="155" t="n">
        <f aca="false">g_3*k_3+j_3*h_3+f_3*l_3</f>
        <v>-0.000285714285714286</v>
      </c>
      <c r="AQ45" s="155" t="n">
        <f aca="false">g_3*l_3*h_3*k_3</f>
        <v>0</v>
      </c>
      <c r="AR45" s="155" t="n">
        <f aca="false">h_3*l_3</f>
        <v>0</v>
      </c>
      <c r="AS45" s="156" t="n">
        <f aca="false">M0*D0_3*(m_3+(n_3*D0_3^0.5)/1.5+p_3*D0_3/2+(q_3*D0_3^1.5)/2.5+(r_3*D0_3^2)/3)</f>
        <v>0.02381236664434</v>
      </c>
      <c r="AT45" s="157" t="n">
        <f aca="false">IF(AND(AS45&lt;F,F&lt;AS46),AG45,0)</f>
        <v>0</v>
      </c>
      <c r="AU45" s="157" t="n">
        <f aca="false">IF(AND(AS44&lt;F,F&lt;AS45),AG45,0)</f>
        <v>0</v>
      </c>
    </row>
    <row r="46" customFormat="false" ht="12.75" hidden="false" customHeight="false" outlineLevel="0" collapsed="false">
      <c r="B46" s="55"/>
      <c r="I46" s="120" t="n">
        <v>10</v>
      </c>
      <c r="J46" s="67" t="n">
        <f aca="false">V32</f>
        <v>51999.94</v>
      </c>
      <c r="K46" s="64" t="n">
        <f aca="false">L0+R0g-KK</f>
        <v>1500.06</v>
      </c>
      <c r="L46" s="65" t="n">
        <f aca="false">Ldif^2</f>
        <v>1</v>
      </c>
      <c r="M46" s="65" t="n">
        <f aca="false">-(alph^2)-2*S_1*Ldif</f>
        <v>-625003000.12</v>
      </c>
      <c r="N46" s="65" t="n">
        <f aca="false">S_1^2</f>
        <v>2250180.00359999</v>
      </c>
      <c r="O46" s="122" t="n">
        <f aca="false">(-b_1-SQRT(b_1^2-4*a_1*c_1))/(2*a_1)</f>
        <v>0.00360029935836792</v>
      </c>
      <c r="P46" s="123" t="n">
        <f aca="false">L0-KK+(P0-Pcap)/g</f>
        <v>-33499.59</v>
      </c>
      <c r="Q46" s="65" t="n">
        <f aca="false">-(alph^2)-2*S_2*Ldif</f>
        <v>-624933000.82</v>
      </c>
      <c r="R46" s="65" t="n">
        <f aca="false">S_2^2</f>
        <v>1122222530.1681</v>
      </c>
      <c r="S46" s="122" t="n">
        <f aca="false">IF(S_2&lt;0,0,(-b_2-SQRT(b_2^2-4*a_1*c_2))/(2*a_1))</f>
        <v>0</v>
      </c>
      <c r="T46" s="66" t="n">
        <f aca="false">Pcap*DDc+(P0+g*(L0-KK))*(DDg-DDc)-g*((DDg^2-DDc^2)*Ldif/2+alph*(DDg^1.5-DDc^1.5)/1.5)</f>
        <v>5.143455792997</v>
      </c>
      <c r="V46" s="67" t="n">
        <f aca="false">IF(AND(T46&lt;F,T47&gt;F),J46,0)</f>
        <v>0</v>
      </c>
      <c r="W46" s="159"/>
      <c r="X46" s="102" t="n">
        <v>973</v>
      </c>
      <c r="Y46" s="124" t="n">
        <f aca="false">Y45+Y$16</f>
        <v>0.000107720196247101</v>
      </c>
      <c r="Z46" s="115" t="n">
        <f aca="false">(K-(L0-Y46*Ldif-alph*Y46^0.5))/R0</f>
        <v>0.622965448217073</v>
      </c>
      <c r="AA46" s="113" t="n">
        <f aca="false">IF(Z46&lt;1,X$14*((1-r_1)-Y$14*(1-r_1^2)+Z$14*(1-r_1^3)),0)</f>
        <v>2487713.43166767</v>
      </c>
      <c r="AB46" s="97" t="n">
        <f aca="false">AB45+AB$15</f>
        <v>0.000107720196247101</v>
      </c>
      <c r="AC46" s="115" t="n">
        <f aca="false">(Kopt-(L0-AB46*Ldif-alph*AB46^0.5))/R0</f>
        <v>0.622965448217073</v>
      </c>
      <c r="AD46" s="113" t="n">
        <f aca="false">IF(AC46&lt;1,X$14*((1-ropt)-Y$14*(1-ropt^2)+Z$14*(1-ropt^3)),0)</f>
        <v>2487713.43166767</v>
      </c>
      <c r="AF46" s="152" t="n">
        <v>8</v>
      </c>
      <c r="AG46" s="121" t="n">
        <f aca="false">AG$54+(AF46/10)*(AG$44-AG$54)</f>
        <v>52999.98</v>
      </c>
      <c r="AH46" s="153" t="n">
        <f aca="false">L0+R0-KK_3</f>
        <v>500.019999999997</v>
      </c>
      <c r="AI46" s="144" t="n">
        <f aca="false">-(alph^2)-2*S_3*Ldif</f>
        <v>-625001000.04</v>
      </c>
      <c r="AJ46" s="144" t="n">
        <f aca="false">S_3^2</f>
        <v>250020.000399997</v>
      </c>
      <c r="AK46" s="154" t="n">
        <f aca="false">(-b_3-SQRT(b_3^2-4*a_3*c_3))/(2*a_3)</f>
        <v>0.000400006771087647</v>
      </c>
      <c r="AL46" s="145" t="n">
        <f aca="false">1-(KK_3-L0)/R0</f>
        <v>0.142862857142856</v>
      </c>
      <c r="AM46" s="145" t="n">
        <f aca="false">1-beta*(1-f_3)</f>
        <v>1</v>
      </c>
      <c r="AN46" s="155" t="n">
        <f aca="false">f_3*j_3</f>
        <v>0.142862857142856</v>
      </c>
      <c r="AO46" s="155" t="n">
        <f aca="false">f_3*k_3+j_3*g_3</f>
        <v>-7.14285714285714</v>
      </c>
      <c r="AP46" s="155" t="n">
        <f aca="false">g_3*k_3+j_3*h_3+f_3*l_3</f>
        <v>-0.000285714285714286</v>
      </c>
      <c r="AQ46" s="155" t="n">
        <f aca="false">g_3*l_3*h_3*k_3</f>
        <v>0</v>
      </c>
      <c r="AR46" s="155" t="n">
        <f aca="false">h_3*l_3</f>
        <v>0</v>
      </c>
      <c r="AS46" s="156" t="n">
        <f aca="false">M0*D0_3*(m_3+(n_3*D0_3^0.5)/1.5+p_3*D0_3/2+(q_3*D0_3^1.5)/2.5+(r_3*D0_3^2)/3)</f>
        <v>0.190498819385861</v>
      </c>
      <c r="AT46" s="157" t="n">
        <f aca="false">IF(AND(AS46&lt;F,F&lt;AS47),AG46,0)</f>
        <v>0</v>
      </c>
      <c r="AU46" s="157" t="n">
        <f aca="false">IF(AND(AS45&lt;F,F&lt;AS46),AG46,0)</f>
        <v>0</v>
      </c>
    </row>
    <row r="47" customFormat="false" ht="12.75" hidden="false" customHeight="false" outlineLevel="0" collapsed="false">
      <c r="B47" s="55"/>
      <c r="I47" s="120" t="n">
        <v>9</v>
      </c>
      <c r="J47" s="121" t="n">
        <f aca="false">J$56+(I47/10)*(J$46-J$56)</f>
        <v>51974.939</v>
      </c>
      <c r="K47" s="64" t="n">
        <f aca="false">L0+R0g-KK</f>
        <v>1525.061</v>
      </c>
      <c r="L47" s="65" t="n">
        <f aca="false">Ldif^2</f>
        <v>1</v>
      </c>
      <c r="M47" s="65" t="n">
        <f aca="false">-(alph^2)-2*S_1*Ldif</f>
        <v>-625003050.122</v>
      </c>
      <c r="N47" s="65" t="n">
        <f aca="false">S_1^2</f>
        <v>2325811.053721</v>
      </c>
      <c r="O47" s="122" t="n">
        <f aca="false">(-b_1-SQRT(b_1^2-4*a_1*c_1))/(2*a_1)</f>
        <v>0.00372129678726196</v>
      </c>
      <c r="P47" s="123" t="n">
        <f aca="false">L0-KK+(P0-Pcap)/g</f>
        <v>-33474.589</v>
      </c>
      <c r="Q47" s="65" t="n">
        <f aca="false">-(alph^2)-2*S_2*Ldif</f>
        <v>-624933050.822</v>
      </c>
      <c r="R47" s="65" t="n">
        <f aca="false">S_2^2</f>
        <v>1120548108.71892</v>
      </c>
      <c r="S47" s="122" t="n">
        <f aca="false">IF(S_2&lt;0,0,(-b_2-SQRT(b_2^2-4*a_1*c_2))/(2*a_1))</f>
        <v>0</v>
      </c>
      <c r="T47" s="66" t="n">
        <f aca="false">Pcap*DDc+(P0+g*(L0-KK))*(DDg-DDc)-g*((DDg^2-DDc^2)*Ldif/2+alph*(DDg^1.5-DDc^1.5)/1.5)</f>
        <v>5.40493828396494</v>
      </c>
      <c r="U47" s="67" t="n">
        <f aca="false">IF(AND(T47&gt;F,T46&lt;F),J47,0)</f>
        <v>0</v>
      </c>
      <c r="V47" s="67" t="n">
        <f aca="false">IF(AND(T47&lt;F,T48&gt;F),J47,0)</f>
        <v>0</v>
      </c>
      <c r="W47" s="159"/>
      <c r="X47" s="102" t="n">
        <v>972</v>
      </c>
      <c r="Y47" s="124" t="n">
        <f aca="false">Y46+Y$16</f>
        <v>0.000111709833145142</v>
      </c>
      <c r="Z47" s="115" t="n">
        <f aca="false">(K-(L0-Y47*Ldif-alph*Y47^0.5))/R0</f>
        <v>0.624325829411811</v>
      </c>
      <c r="AA47" s="113" t="n">
        <f aca="false">IF(Z47&lt;1,X$14*((1-r_1)-Y$14*(1-r_1^2)+Z$14*(1-r_1^3)),0)</f>
        <v>2469793.94282467</v>
      </c>
      <c r="AB47" s="97" t="n">
        <f aca="false">AB46+AB$15</f>
        <v>0.000111709833145142</v>
      </c>
      <c r="AC47" s="115" t="n">
        <f aca="false">(Kopt-(L0-AB47*Ldif-alph*AB47^0.5))/R0</f>
        <v>0.624325829411811</v>
      </c>
      <c r="AD47" s="113" t="n">
        <f aca="false">IF(AC47&lt;1,X$14*((1-ropt)-Y$14*(1-ropt^2)+Z$14*(1-ropt^3)),0)</f>
        <v>2469793.94282467</v>
      </c>
      <c r="AF47" s="152" t="n">
        <v>7</v>
      </c>
      <c r="AG47" s="121" t="n">
        <f aca="false">AG$54+(AF47/10)*(AG$44-AG$54)</f>
        <v>52749.97</v>
      </c>
      <c r="AH47" s="153" t="n">
        <f aca="false">L0+R0-KK_3</f>
        <v>750.029999999999</v>
      </c>
      <c r="AI47" s="144" t="n">
        <f aca="false">-(alph^2)-2*S_3*Ldif</f>
        <v>-625001500.06</v>
      </c>
      <c r="AJ47" s="144" t="n">
        <f aca="false">S_3^2</f>
        <v>562545.000899998</v>
      </c>
      <c r="AK47" s="154" t="n">
        <f aca="false">(-b_3-SQRT(b_3^2-4*a_3*c_3))/(2*a_3)</f>
        <v>0.000900089740753174</v>
      </c>
      <c r="AL47" s="145" t="n">
        <f aca="false">1-(KK_3-L0)/R0</f>
        <v>0.214294285714285</v>
      </c>
      <c r="AM47" s="145" t="n">
        <f aca="false">1-beta*(1-f_3)</f>
        <v>1</v>
      </c>
      <c r="AN47" s="155" t="n">
        <f aca="false">f_3*j_3</f>
        <v>0.214294285714285</v>
      </c>
      <c r="AO47" s="155" t="n">
        <f aca="false">f_3*k_3+j_3*g_3</f>
        <v>-7.14285714285714</v>
      </c>
      <c r="AP47" s="155" t="n">
        <f aca="false">g_3*k_3+j_3*h_3+f_3*l_3</f>
        <v>-0.000285714285714286</v>
      </c>
      <c r="AQ47" s="155" t="n">
        <f aca="false">g_3*l_3*h_3*k_3</f>
        <v>0</v>
      </c>
      <c r="AR47" s="155" t="n">
        <f aca="false">h_3*l_3</f>
        <v>0</v>
      </c>
      <c r="AS47" s="156" t="n">
        <f aca="false">M0*D0_3*(m_3+(n_3*D0_3^0.5)/1.5+p_3*D0_3/2+(q_3*D0_3^1.5)/2.5+(r_3*D0_3^2)/3)</f>
        <v>0.642933131239105</v>
      </c>
      <c r="AT47" s="157" t="n">
        <f aca="false">IF(AND(AS47&lt;F,F&lt;AS48),AG47,0)</f>
        <v>0</v>
      </c>
      <c r="AU47" s="157" t="n">
        <f aca="false">IF(AND(AS46&lt;F,F&lt;AS47),AG47,0)</f>
        <v>0</v>
      </c>
    </row>
    <row r="48" customFormat="false" ht="12.75" hidden="false" customHeight="false" outlineLevel="0" collapsed="false">
      <c r="B48" s="55"/>
      <c r="I48" s="120" t="n">
        <v>8</v>
      </c>
      <c r="J48" s="121" t="n">
        <f aca="false">J$56+(I48/10)*(J$46-J$56)</f>
        <v>51949.938</v>
      </c>
      <c r="K48" s="64" t="n">
        <f aca="false">L0+R0g-KK</f>
        <v>1550.062</v>
      </c>
      <c r="L48" s="65" t="n">
        <f aca="false">Ldif^2</f>
        <v>1</v>
      </c>
      <c r="M48" s="65" t="n">
        <f aca="false">-(alph^2)-2*S_1*Ldif</f>
        <v>-625003100.124</v>
      </c>
      <c r="N48" s="65" t="n">
        <f aca="false">S_1^2</f>
        <v>2402692.20384399</v>
      </c>
      <c r="O48" s="122" t="n">
        <f aca="false">(-b_1-SQRT(b_1^2-4*a_1*c_1))/(2*a_1)</f>
        <v>0.00384426116943359</v>
      </c>
      <c r="P48" s="123" t="n">
        <f aca="false">L0-KK+(P0-Pcap)/g</f>
        <v>-33449.588</v>
      </c>
      <c r="Q48" s="65" t="n">
        <f aca="false">-(alph^2)-2*S_2*Ldif</f>
        <v>-624933100.824</v>
      </c>
      <c r="R48" s="65" t="n">
        <f aca="false">S_2^2</f>
        <v>1118874937.36974</v>
      </c>
      <c r="S48" s="122" t="n">
        <f aca="false">IF(S_2&lt;0,0,(-b_2-SQRT(b_2^2-4*a_1*c_2))/(2*a_1))</f>
        <v>0</v>
      </c>
      <c r="T48" s="66" t="n">
        <f aca="false">Pcap*DDc+(P0+g*(L0-KK))*(DDg-DDc)-g*((DDg^2-DDc^2)*Ldif/2+alph*(DDg^1.5-DDc^1.5)/1.5)</f>
        <v>5.67513604231806</v>
      </c>
      <c r="U48" s="67" t="n">
        <f aca="false">IF(AND(T48&gt;F,T47&lt;F),J48,0)</f>
        <v>0</v>
      </c>
      <c r="V48" s="67" t="n">
        <f aca="false">IF(AND(T48&lt;F,T49&gt;F),J48,0)</f>
        <v>0</v>
      </c>
      <c r="W48" s="159"/>
      <c r="X48" s="102" t="n">
        <v>971</v>
      </c>
      <c r="Y48" s="124" t="n">
        <f aca="false">Y47+Y$16</f>
        <v>0.000115699470043182</v>
      </c>
      <c r="Z48" s="115" t="n">
        <f aca="false">(K-(L0-Y48*Ldif-alph*Y48^0.5))/R0</f>
        <v>0.625662127372744</v>
      </c>
      <c r="AA48" s="113" t="n">
        <f aca="false">IF(Z48&lt;1,X$14*((1-r_1)-Y$14*(1-r_1^2)+Z$14*(1-r_1^3)),0)</f>
        <v>2452254.75045424</v>
      </c>
      <c r="AB48" s="97" t="n">
        <f aca="false">AB47+AB$15</f>
        <v>0.000115699470043182</v>
      </c>
      <c r="AC48" s="115" t="n">
        <f aca="false">(Kopt-(L0-AB48*Ldif-alph*AB48^0.5))/R0</f>
        <v>0.625662127372744</v>
      </c>
      <c r="AD48" s="113" t="n">
        <f aca="false">IF(AC48&lt;1,X$14*((1-ropt)-Y$14*(1-ropt^2)+Z$14*(1-ropt^3)),0)</f>
        <v>2452254.75045424</v>
      </c>
      <c r="AF48" s="152" t="n">
        <v>6</v>
      </c>
      <c r="AG48" s="121" t="n">
        <f aca="false">AG$54+(AF48/10)*(AG$44-AG$54)</f>
        <v>52499.96</v>
      </c>
      <c r="AH48" s="153" t="n">
        <f aca="false">L0+R0-KK_3</f>
        <v>1000.04</v>
      </c>
      <c r="AI48" s="144" t="n">
        <f aca="false">-(alph^2)-2*S_3*Ldif</f>
        <v>-625002000.08</v>
      </c>
      <c r="AJ48" s="144" t="n">
        <f aca="false">S_3^2</f>
        <v>1000080.0016</v>
      </c>
      <c r="AK48" s="154" t="n">
        <f aca="false">(-b_3-SQRT(b_3^2-4*a_3*c_3))/(2*a_3)</f>
        <v>0.00160014629364014</v>
      </c>
      <c r="AL48" s="145" t="n">
        <f aca="false">1-(KK_3-L0)/R0</f>
        <v>0.285725714285715</v>
      </c>
      <c r="AM48" s="145" t="n">
        <f aca="false">1-beta*(1-f_3)</f>
        <v>1</v>
      </c>
      <c r="AN48" s="155" t="n">
        <f aca="false">f_3*j_3</f>
        <v>0.285725714285715</v>
      </c>
      <c r="AO48" s="155" t="n">
        <f aca="false">f_3*k_3+j_3*g_3</f>
        <v>-7.14285714285714</v>
      </c>
      <c r="AP48" s="155" t="n">
        <f aca="false">g_3*k_3+j_3*h_3+f_3*l_3</f>
        <v>-0.000285714285714286</v>
      </c>
      <c r="AQ48" s="155" t="n">
        <f aca="false">g_3*l_3*h_3*k_3</f>
        <v>0</v>
      </c>
      <c r="AR48" s="155" t="n">
        <f aca="false">h_3*l_3</f>
        <v>0</v>
      </c>
      <c r="AS48" s="156" t="n">
        <f aca="false">M0*D0_3*(m_3+(n_3*D0_3^0.5)/1.5+p_3*D0_3/2+(q_3*D0_3^1.5)/2.5+(r_3*D0_3^2)/3)</f>
        <v>1.52398873030576</v>
      </c>
      <c r="AT48" s="157" t="n">
        <f aca="false">IF(AND(AS48&lt;F,F&lt;AS49),AG48,0)</f>
        <v>0</v>
      </c>
      <c r="AU48" s="157" t="n">
        <f aca="false">IF(AND(AS47&lt;F,F&lt;AS48),AG48,0)</f>
        <v>0</v>
      </c>
    </row>
    <row r="49" customFormat="false" ht="12.75" hidden="false" customHeight="false" outlineLevel="0" collapsed="false">
      <c r="I49" s="120" t="n">
        <v>7</v>
      </c>
      <c r="J49" s="121" t="n">
        <f aca="false">J$56+(I49/10)*(J$46-J$56)</f>
        <v>51924.937</v>
      </c>
      <c r="K49" s="64" t="n">
        <f aca="false">L0+R0g-KK</f>
        <v>1575.06299999999</v>
      </c>
      <c r="L49" s="65" t="n">
        <f aca="false">Ldif^2</f>
        <v>1</v>
      </c>
      <c r="M49" s="65" t="n">
        <f aca="false">-(alph^2)-2*S_1*Ldif</f>
        <v>-625003150.126</v>
      </c>
      <c r="N49" s="65" t="n">
        <f aca="false">S_1^2</f>
        <v>2480823.45396898</v>
      </c>
      <c r="O49" s="122" t="n">
        <f aca="false">(-b_1-SQRT(b_1^2-4*a_1*c_1))/(2*a_1)</f>
        <v>0.00396931171417236</v>
      </c>
      <c r="P49" s="123" t="n">
        <f aca="false">L0-KK+(P0-Pcap)/g</f>
        <v>-33424.587</v>
      </c>
      <c r="Q49" s="65" t="n">
        <f aca="false">-(alph^2)-2*S_2*Ldif</f>
        <v>-624933150.826</v>
      </c>
      <c r="R49" s="65" t="n">
        <f aca="false">S_2^2</f>
        <v>1117203016.12057</v>
      </c>
      <c r="S49" s="122" t="n">
        <f aca="false">IF(S_2&lt;0,0,(-b_2-SQRT(b_2^2-4*a_1*c_2))/(2*a_1))</f>
        <v>0</v>
      </c>
      <c r="T49" s="66" t="n">
        <f aca="false">Pcap*DDc+(P0+g*(L0-KK))*(DDg-DDc)-g*((DDg^2-DDc^2)*Ldif/2+alph*(DDg^1.5-DDc^1.5)/1.5)</f>
        <v>5.95419194080257</v>
      </c>
      <c r="U49" s="67" t="n">
        <f aca="false">IF(AND(T49&gt;F,T48&lt;F),J49,0)</f>
        <v>0</v>
      </c>
      <c r="V49" s="67" t="n">
        <f aca="false">IF(AND(T49&lt;F,T50&gt;F),J49,0)</f>
        <v>51924.937</v>
      </c>
      <c r="W49" s="159"/>
      <c r="X49" s="102" t="n">
        <v>970</v>
      </c>
      <c r="Y49" s="124" t="n">
        <f aca="false">Y48+Y$16</f>
        <v>0.000119689106941223</v>
      </c>
      <c r="Z49" s="115" t="n">
        <f aca="false">(K-(L0-Y49*Ldif-alph*Y49^0.5))/R0</f>
        <v>0.626975577601015</v>
      </c>
      <c r="AA49" s="113" t="n">
        <f aca="false">IF(Z49&lt;1,X$14*((1-r_1)-Y$14*(1-r_1^2)+Z$14*(1-r_1^3)),0)</f>
        <v>2435076.34485668</v>
      </c>
      <c r="AB49" s="97" t="n">
        <f aca="false">AB48+AB$15</f>
        <v>0.000119689106941223</v>
      </c>
      <c r="AC49" s="115" t="n">
        <f aca="false">(Kopt-(L0-AB49*Ldif-alph*AB49^0.5))/R0</f>
        <v>0.626975577601015</v>
      </c>
      <c r="AD49" s="113" t="n">
        <f aca="false">IF(AC49&lt;1,X$14*((1-ropt)-Y$14*(1-ropt^2)+Z$14*(1-ropt^3)),0)</f>
        <v>2435076.34485668</v>
      </c>
      <c r="AF49" s="152" t="n">
        <v>5</v>
      </c>
      <c r="AG49" s="121" t="n">
        <f aca="false">AG$54+(AF49/10)*(AG$44-AG$54)</f>
        <v>52249.95</v>
      </c>
      <c r="AH49" s="153" t="n">
        <f aca="false">L0+R0-KK_3</f>
        <v>1250.05</v>
      </c>
      <c r="AI49" s="144" t="n">
        <f aca="false">-(alph^2)-2*S_3*Ldif</f>
        <v>-625002500.1</v>
      </c>
      <c r="AJ49" s="144" t="n">
        <f aca="false">S_3^2</f>
        <v>1562625.00250001</v>
      </c>
      <c r="AK49" s="154" t="n">
        <f aca="false">(-b_3-SQRT(b_3^2-4*a_3*c_3))/(2*a_3)</f>
        <v>0.00250017642974854</v>
      </c>
      <c r="AL49" s="145" t="n">
        <f aca="false">1-(KK_3-L0)/R0</f>
        <v>0.357157142857144</v>
      </c>
      <c r="AM49" s="145" t="n">
        <f aca="false">1-beta*(1-f_3)</f>
        <v>1</v>
      </c>
      <c r="AN49" s="155" t="n">
        <f aca="false">f_3*j_3</f>
        <v>0.357157142857144</v>
      </c>
      <c r="AO49" s="155" t="n">
        <f aca="false">f_3*k_3+j_3*g_3</f>
        <v>-7.14285714285714</v>
      </c>
      <c r="AP49" s="155" t="n">
        <f aca="false">g_3*k_3+j_3*h_3+f_3*l_3</f>
        <v>-0.000285714285714286</v>
      </c>
      <c r="AQ49" s="155" t="n">
        <f aca="false">g_3*l_3*h_3*k_3</f>
        <v>0</v>
      </c>
      <c r="AR49" s="155" t="n">
        <f aca="false">h_3*l_3</f>
        <v>0</v>
      </c>
      <c r="AS49" s="156" t="n">
        <f aca="false">M0*D0_3*(m_3+(n_3*D0_3^0.5)/1.5+p_3*D0_3/2+(q_3*D0_3^1.5)/2.5+(r_3*D0_3^2)/3)</f>
        <v>2.97653870330339</v>
      </c>
      <c r="AT49" s="157" t="n">
        <f aca="false">IF(AND(AS49&lt;F,F&lt;AS50),AG49,0)</f>
        <v>0</v>
      </c>
      <c r="AU49" s="157" t="n">
        <f aca="false">IF(AND(AS48&lt;F,F&lt;AS49),AG49,0)</f>
        <v>0</v>
      </c>
    </row>
    <row r="50" customFormat="false" ht="12.75" hidden="false" customHeight="false" outlineLevel="0" collapsed="false">
      <c r="I50" s="120" t="n">
        <v>6</v>
      </c>
      <c r="J50" s="121" t="n">
        <f aca="false">J$56+(I50/10)*(J$46-J$56)</f>
        <v>51899.936</v>
      </c>
      <c r="K50" s="64" t="n">
        <f aca="false">L0+R0g-KK</f>
        <v>1600.064</v>
      </c>
      <c r="L50" s="65" t="n">
        <f aca="false">Ldif^2</f>
        <v>1</v>
      </c>
      <c r="M50" s="65" t="n">
        <f aca="false">-(alph^2)-2*S_1*Ldif</f>
        <v>-625003200.128</v>
      </c>
      <c r="N50" s="65" t="n">
        <f aca="false">S_1^2</f>
        <v>2560204.804096</v>
      </c>
      <c r="O50" s="122" t="n">
        <f aca="false">(-b_1-SQRT(b_1^2-4*a_1*c_1))/(2*a_1)</f>
        <v>0.00409632921218872</v>
      </c>
      <c r="P50" s="123" t="n">
        <f aca="false">L0-KK+(P0-Pcap)/g</f>
        <v>-33399.586</v>
      </c>
      <c r="Q50" s="65" t="n">
        <f aca="false">-(alph^2)-2*S_2*Ldif</f>
        <v>-624933200.828</v>
      </c>
      <c r="R50" s="65" t="n">
        <f aca="false">S_2^2</f>
        <v>1115532344.9714</v>
      </c>
      <c r="S50" s="122" t="n">
        <f aca="false">IF(S_2&lt;0,0,(-b_2-SQRT(b_2^2-4*a_1*c_2))/(2*a_1))</f>
        <v>0</v>
      </c>
      <c r="T50" s="66" t="n">
        <f aca="false">Pcap*DDc+(P0+g*(L0-KK))*(DDg-DDc)-g*((DDg^2-DDc^2)*Ldif/2+alph*(DDg^1.5-DDc^1.5)/1.5)</f>
        <v>6.2422488510357</v>
      </c>
      <c r="U50" s="67" t="n">
        <f aca="false">IF(AND(T50&gt;F,T49&lt;F),J50,0)</f>
        <v>51899.936</v>
      </c>
      <c r="V50" s="67" t="n">
        <f aca="false">IF(AND(T50&lt;F,T51&gt;F),J50,0)</f>
        <v>0</v>
      </c>
      <c r="W50" s="159"/>
      <c r="X50" s="102" t="n">
        <v>969</v>
      </c>
      <c r="Y50" s="124" t="n">
        <f aca="false">Y49+Y$16</f>
        <v>0.000123678743839264</v>
      </c>
      <c r="Z50" s="115" t="n">
        <f aca="false">(K-(L0-Y50*Ldif-alph*Y50^0.5))/R0</f>
        <v>0.628267313439199</v>
      </c>
      <c r="AA50" s="113" t="n">
        <f aca="false">IF(Z50&lt;1,X$14*((1-r_1)-Y$14*(1-r_1^2)+Z$14*(1-r_1^3)),0)</f>
        <v>2418240.82950993</v>
      </c>
      <c r="AB50" s="97" t="n">
        <f aca="false">AB49+AB$15</f>
        <v>0.000123678743839264</v>
      </c>
      <c r="AC50" s="115" t="n">
        <f aca="false">(Kopt-(L0-AB50*Ldif-alph*AB50^0.5))/R0</f>
        <v>0.628267313439199</v>
      </c>
      <c r="AD50" s="113" t="n">
        <f aca="false">IF(AC50&lt;1,X$14*((1-ropt)-Y$14*(1-ropt^2)+Z$14*(1-ropt^3)),0)</f>
        <v>2418240.82950993</v>
      </c>
      <c r="AF50" s="152" t="n">
        <v>4</v>
      </c>
      <c r="AG50" s="121" t="n">
        <f aca="false">AG$54+(AF50/10)*(AG$44-AG$54)</f>
        <v>51999.94</v>
      </c>
      <c r="AH50" s="153" t="n">
        <f aca="false">L0+R0-KK_3</f>
        <v>1500.06</v>
      </c>
      <c r="AI50" s="144" t="n">
        <f aca="false">-(alph^2)-2*S_3*Ldif</f>
        <v>-625003000.12</v>
      </c>
      <c r="AJ50" s="144" t="n">
        <f aca="false">S_3^2</f>
        <v>2250180.00359999</v>
      </c>
      <c r="AK50" s="154" t="n">
        <f aca="false">(-b_3-SQRT(b_3^2-4*a_3*c_3))/(2*a_3)</f>
        <v>0.00360029935836792</v>
      </c>
      <c r="AL50" s="145" t="n">
        <f aca="false">1-(KK_3-L0)/R0</f>
        <v>0.428588571428571</v>
      </c>
      <c r="AM50" s="145" t="n">
        <f aca="false">1-beta*(1-f_3)</f>
        <v>1</v>
      </c>
      <c r="AN50" s="155" t="n">
        <f aca="false">f_3*j_3</f>
        <v>0.428588571428571</v>
      </c>
      <c r="AO50" s="155" t="n">
        <f aca="false">f_3*k_3+j_3*g_3</f>
        <v>-7.14285714285714</v>
      </c>
      <c r="AP50" s="155" t="n">
        <f aca="false">g_3*k_3+j_3*h_3+f_3*l_3</f>
        <v>-0.000285714285714286</v>
      </c>
      <c r="AQ50" s="155" t="n">
        <f aca="false">g_3*l_3*h_3*k_3</f>
        <v>0</v>
      </c>
      <c r="AR50" s="155" t="n">
        <f aca="false">h_3*l_3</f>
        <v>0</v>
      </c>
      <c r="AS50" s="156" t="n">
        <f aca="false">M0*D0_3*(m_3+(n_3*D0_3^0.5)/1.5+p_3*D0_3/2+(q_3*D0_3^1.5)/2.5+(r_3*D0_3^2)/3)</f>
        <v>5.143455792997</v>
      </c>
      <c r="AT50" s="157" t="n">
        <f aca="false">IF(AND(AS50&lt;F,F&lt;AS51),AG50,0)</f>
        <v>51999.94</v>
      </c>
      <c r="AU50" s="157" t="n">
        <f aca="false">IF(AND(AS49&lt;F,F&lt;AS50),AG50,0)</f>
        <v>0</v>
      </c>
    </row>
    <row r="51" customFormat="false" ht="12.75" hidden="false" customHeight="false" outlineLevel="0" collapsed="false">
      <c r="I51" s="120" t="n">
        <v>5</v>
      </c>
      <c r="J51" s="121" t="n">
        <f aca="false">J$56+(I51/10)*(J$46-J$56)</f>
        <v>51874.935</v>
      </c>
      <c r="K51" s="64" t="n">
        <f aca="false">L0+R0g-KK</f>
        <v>1625.065</v>
      </c>
      <c r="L51" s="65" t="n">
        <f aca="false">Ldif^2</f>
        <v>1</v>
      </c>
      <c r="M51" s="65" t="n">
        <f aca="false">-(alph^2)-2*S_1*Ldif</f>
        <v>-625003250.13</v>
      </c>
      <c r="N51" s="65" t="n">
        <f aca="false">S_1^2</f>
        <v>2640836.25422501</v>
      </c>
      <c r="O51" s="122" t="n">
        <f aca="false">(-b_1-SQRT(b_1^2-4*a_1*c_1))/(2*a_1)</f>
        <v>0.00422531366348267</v>
      </c>
      <c r="P51" s="123" t="n">
        <f aca="false">L0-KK+(P0-Pcap)/g</f>
        <v>-33374.585</v>
      </c>
      <c r="Q51" s="65" t="n">
        <f aca="false">-(alph^2)-2*S_2*Ldif</f>
        <v>-624933250.83</v>
      </c>
      <c r="R51" s="65" t="n">
        <f aca="false">S_2^2</f>
        <v>1113862923.92223</v>
      </c>
      <c r="S51" s="122" t="n">
        <f aca="false">IF(S_2&lt;0,0,(-b_2-SQRT(b_2^2-4*a_1*c_2))/(2*a_1))</f>
        <v>0</v>
      </c>
      <c r="T51" s="66" t="n">
        <f aca="false">Pcap*DDc+(P0+g*(L0-KK))*(DDg-DDc)-g*((DDg^2-DDc^2)*Ldif/2+alph*(DDg^1.5-DDc^1.5)/1.5)</f>
        <v>6.53944964559163</v>
      </c>
      <c r="U51" s="67" t="n">
        <f aca="false">IF(AND(T51&gt;F,T50&lt;F),J51,0)</f>
        <v>0</v>
      </c>
      <c r="V51" s="67" t="n">
        <f aca="false">IF(AND(T51&lt;F,T52&gt;F),J51,0)</f>
        <v>0</v>
      </c>
      <c r="W51" s="159"/>
      <c r="X51" s="102" t="n">
        <v>968</v>
      </c>
      <c r="Y51" s="124" t="n">
        <f aca="false">Y50+Y$16</f>
        <v>0.000127668380737305</v>
      </c>
      <c r="Z51" s="115" t="n">
        <f aca="false">(K-(L0-Y51*Ldif-alph*Y51^0.5))/R0</f>
        <v>0.6295383775201</v>
      </c>
      <c r="AA51" s="113" t="n">
        <f aca="false">IF(Z51&lt;1,X$14*((1-r_1)-Y$14*(1-r_1^2)+Z$14*(1-r_1^3)),0)</f>
        <v>2401731.7402827</v>
      </c>
      <c r="AB51" s="97" t="n">
        <f aca="false">AB50+AB$15</f>
        <v>0.000127668380737305</v>
      </c>
      <c r="AC51" s="115" t="n">
        <f aca="false">(Kopt-(L0-AB51*Ldif-alph*AB51^0.5))/R0</f>
        <v>0.6295383775201</v>
      </c>
      <c r="AD51" s="113" t="n">
        <f aca="false">IF(AC51&lt;1,X$14*((1-ropt)-Y$14*(1-ropt^2)+Z$14*(1-ropt^3)),0)</f>
        <v>2401731.7402827</v>
      </c>
      <c r="AF51" s="152" t="n">
        <v>3</v>
      </c>
      <c r="AG51" s="121" t="n">
        <f aca="false">AG$54+(AF51/10)*(AG$44-AG$54)</f>
        <v>51749.93</v>
      </c>
      <c r="AH51" s="153" t="n">
        <f aca="false">L0+R0-KK_3</f>
        <v>1750.07</v>
      </c>
      <c r="AI51" s="144" t="n">
        <f aca="false">-(alph^2)-2*S_3*Ldif</f>
        <v>-625003500.14</v>
      </c>
      <c r="AJ51" s="144" t="n">
        <f aca="false">S_3^2</f>
        <v>3062745.0049</v>
      </c>
      <c r="AK51" s="154" t="n">
        <f aca="false">(-b_3-SQRT(b_3^2-4*a_3*c_3))/(2*a_3)</f>
        <v>0.00490039587020874</v>
      </c>
      <c r="AL51" s="145" t="n">
        <f aca="false">1-(KK_3-L0)/R0</f>
        <v>0.50002</v>
      </c>
      <c r="AM51" s="145" t="n">
        <f aca="false">1-beta*(1-f_3)</f>
        <v>1</v>
      </c>
      <c r="AN51" s="155" t="n">
        <f aca="false">f_3*j_3</f>
        <v>0.50002</v>
      </c>
      <c r="AO51" s="155" t="n">
        <f aca="false">f_3*k_3+j_3*g_3</f>
        <v>-7.14285714285714</v>
      </c>
      <c r="AP51" s="155" t="n">
        <f aca="false">g_3*k_3+j_3*h_3+f_3*l_3</f>
        <v>-0.000285714285714286</v>
      </c>
      <c r="AQ51" s="155" t="n">
        <f aca="false">g_3*l_3*h_3*k_3</f>
        <v>0</v>
      </c>
      <c r="AR51" s="155" t="n">
        <f aca="false">h_3*l_3</f>
        <v>0</v>
      </c>
      <c r="AS51" s="156" t="n">
        <f aca="false">M0*D0_3*(m_3+(n_3*D0_3^0.5)/1.5+p_3*D0_3/2+(q_3*D0_3^1.5)/2.5+(r_3*D0_3^2)/3)</f>
        <v>8.16761240032098</v>
      </c>
      <c r="AT51" s="157" t="n">
        <f aca="false">IF(AND(AS51&lt;F,F&lt;AS52),AG51,0)</f>
        <v>0</v>
      </c>
      <c r="AU51" s="157" t="n">
        <f aca="false">IF(AND(AS50&lt;F,F&lt;AS51),AG51,0)</f>
        <v>51749.93</v>
      </c>
    </row>
    <row r="52" customFormat="false" ht="12.75" hidden="false" customHeight="false" outlineLevel="0" collapsed="false">
      <c r="I52" s="120" t="n">
        <v>4</v>
      </c>
      <c r="J52" s="121" t="n">
        <f aca="false">J$56+(I52/10)*(J$46-J$56)</f>
        <v>51849.934</v>
      </c>
      <c r="K52" s="64" t="n">
        <f aca="false">L0+R0g-KK</f>
        <v>1650.066</v>
      </c>
      <c r="L52" s="65" t="n">
        <f aca="false">Ldif^2</f>
        <v>1</v>
      </c>
      <c r="M52" s="65" t="n">
        <f aca="false">-(alph^2)-2*S_1*Ldif</f>
        <v>-625003300.132</v>
      </c>
      <c r="N52" s="65" t="n">
        <f aca="false">S_1^2</f>
        <v>2722717.804356</v>
      </c>
      <c r="O52" s="122" t="n">
        <f aca="false">(-b_1-SQRT(b_1^2-4*a_1*c_1))/(2*a_1)</f>
        <v>0.00435632467269898</v>
      </c>
      <c r="P52" s="123" t="n">
        <f aca="false">L0-KK+(P0-Pcap)/g</f>
        <v>-33349.584</v>
      </c>
      <c r="Q52" s="65" t="n">
        <f aca="false">-(alph^2)-2*S_2*Ldif</f>
        <v>-624933300.832</v>
      </c>
      <c r="R52" s="65" t="n">
        <f aca="false">S_2^2</f>
        <v>1112194752.97306</v>
      </c>
      <c r="S52" s="122" t="n">
        <f aca="false">IF(S_2&lt;0,0,(-b_2-SQRT(b_2^2-4*a_1*c_2))/(2*a_1))</f>
        <v>0</v>
      </c>
      <c r="T52" s="66" t="n">
        <f aca="false">Pcap*DDc+(P0+g*(L0-KK))*(DDg-DDc)-g*((DDg^2-DDc^2)*Ldif/2+alph*(DDg^1.5-DDc^1.5)/1.5)</f>
        <v>6.84593719618274</v>
      </c>
      <c r="U52" s="67" t="n">
        <f aca="false">IF(AND(T52&gt;F,T51&lt;F),J52,0)</f>
        <v>0</v>
      </c>
      <c r="V52" s="67" t="n">
        <f aca="false">IF(AND(T52&lt;F,T53&gt;F),J52,0)</f>
        <v>0</v>
      </c>
      <c r="W52" s="159"/>
      <c r="X52" s="102" t="n">
        <v>967</v>
      </c>
      <c r="Y52" s="124" t="n">
        <f aca="false">Y51+Y$16</f>
        <v>0.000131658017635345</v>
      </c>
      <c r="Z52" s="115" t="n">
        <f aca="false">(K-(L0-Y52*Ldif-alph*Y52^0.5))/R0</f>
        <v>0.630789731616838</v>
      </c>
      <c r="AA52" s="113" t="n">
        <f aca="false">IF(Z52&lt;1,X$14*((1-r_1)-Y$14*(1-r_1^2)+Z$14*(1-r_1^3)),0)</f>
        <v>2385533.88989241</v>
      </c>
      <c r="AB52" s="97" t="n">
        <f aca="false">AB51+AB$15</f>
        <v>0.000131658017635345</v>
      </c>
      <c r="AC52" s="115" t="n">
        <f aca="false">(Kopt-(L0-AB52*Ldif-alph*AB52^0.5))/R0</f>
        <v>0.630789731616838</v>
      </c>
      <c r="AD52" s="113" t="n">
        <f aca="false">IF(AC52&lt;1,X$14*((1-ropt)-Y$14*(1-ropt^2)+Z$14*(1-ropt^3)),0)</f>
        <v>2385533.88989241</v>
      </c>
      <c r="AF52" s="152" t="n">
        <v>2</v>
      </c>
      <c r="AG52" s="121" t="n">
        <f aca="false">AG$54+(AF52/10)*(AG$44-AG$54)</f>
        <v>51499.92</v>
      </c>
      <c r="AH52" s="153" t="n">
        <f aca="false">L0+R0-KK_3</f>
        <v>2000.08</v>
      </c>
      <c r="AI52" s="144" t="n">
        <f aca="false">-(alph^2)-2*S_3*Ldif</f>
        <v>-625004000.16</v>
      </c>
      <c r="AJ52" s="144" t="n">
        <f aca="false">S_3^2</f>
        <v>4000320.00640001</v>
      </c>
      <c r="AK52" s="154" t="n">
        <f aca="false">(-b_3-SQRT(b_3^2-4*a_3*c_3))/(2*a_3)</f>
        <v>0.006400465965271</v>
      </c>
      <c r="AL52" s="145" t="n">
        <f aca="false">1-(KK_3-L0)/R0</f>
        <v>0.571451428571429</v>
      </c>
      <c r="AM52" s="145" t="n">
        <f aca="false">1-beta*(1-f_3)</f>
        <v>1</v>
      </c>
      <c r="AN52" s="155" t="n">
        <f aca="false">f_3*j_3</f>
        <v>0.571451428571429</v>
      </c>
      <c r="AO52" s="155" t="n">
        <f aca="false">f_3*k_3+j_3*g_3</f>
        <v>-7.14285714285714</v>
      </c>
      <c r="AP52" s="155" t="n">
        <f aca="false">g_3*k_3+j_3*h_3+f_3*l_3</f>
        <v>-0.000285714285714286</v>
      </c>
      <c r="AQ52" s="155" t="n">
        <f aca="false">g_3*l_3*h_3*k_3</f>
        <v>0</v>
      </c>
      <c r="AR52" s="155" t="n">
        <f aca="false">h_3*l_3</f>
        <v>0</v>
      </c>
      <c r="AS52" s="156" t="n">
        <f aca="false">M0*D0_3*(m_3+(n_3*D0_3^0.5)/1.5+p_3*D0_3/2+(q_3*D0_3^1.5)/2.5+(r_3*D0_3^2)/3)</f>
        <v>12.1918805828544</v>
      </c>
      <c r="AT52" s="157" t="n">
        <f aca="false">IF(AND(AS52&lt;F,F&lt;AS53),AG52,0)</f>
        <v>0</v>
      </c>
      <c r="AU52" s="157" t="n">
        <f aca="false">IF(AND(AS51&lt;F,F&lt;AS52),AG52,0)</f>
        <v>0</v>
      </c>
    </row>
    <row r="53" customFormat="false" ht="12.75" hidden="false" customHeight="false" outlineLevel="0" collapsed="false">
      <c r="I53" s="120" t="n">
        <v>3</v>
      </c>
      <c r="J53" s="121" t="n">
        <f aca="false">J$56+(I53/10)*(J$46-J$56)</f>
        <v>51824.933</v>
      </c>
      <c r="K53" s="64" t="n">
        <f aca="false">L0+R0g-KK</f>
        <v>1675.067</v>
      </c>
      <c r="L53" s="65" t="n">
        <f aca="false">Ldif^2</f>
        <v>1</v>
      </c>
      <c r="M53" s="65" t="n">
        <f aca="false">-(alph^2)-2*S_1*Ldif</f>
        <v>-625003350.134</v>
      </c>
      <c r="N53" s="65" t="n">
        <f aca="false">S_1^2</f>
        <v>2805849.45448899</v>
      </c>
      <c r="O53" s="122" t="n">
        <f aca="false">(-b_1-SQRT(b_1^2-4*a_1*c_1))/(2*a_1)</f>
        <v>0.00448936223983765</v>
      </c>
      <c r="P53" s="123" t="n">
        <f aca="false">L0-KK+(P0-Pcap)/g</f>
        <v>-33324.583</v>
      </c>
      <c r="Q53" s="65" t="n">
        <f aca="false">-(alph^2)-2*S_2*Ldif</f>
        <v>-624933350.834</v>
      </c>
      <c r="R53" s="65" t="n">
        <f aca="false">S_2^2</f>
        <v>1110527832.12389</v>
      </c>
      <c r="S53" s="122" t="n">
        <f aca="false">IF(S_2&lt;0,0,(-b_2-SQRT(b_2^2-4*a_1*c_2))/(2*a_1))</f>
        <v>0</v>
      </c>
      <c r="T53" s="66" t="n">
        <f aca="false">Pcap*DDc+(P0+g*(L0-KK))*(DDg-DDc)-g*((DDg^2-DDc^2)*Ldif/2+alph*(DDg^1.5-DDc^1.5)/1.5)</f>
        <v>7.1618543747898</v>
      </c>
      <c r="U53" s="67" t="n">
        <f aca="false">IF(AND(T53&gt;F,T52&lt;F),J53,0)</f>
        <v>0</v>
      </c>
      <c r="V53" s="67" t="n">
        <f aca="false">IF(AND(T53&lt;F,T54&gt;F),J53,0)</f>
        <v>0</v>
      </c>
      <c r="W53" s="159"/>
      <c r="X53" s="102" t="n">
        <v>966</v>
      </c>
      <c r="Y53" s="124" t="n">
        <f aca="false">Y52+Y$16</f>
        <v>0.000135647654533386</v>
      </c>
      <c r="Z53" s="115" t="n">
        <f aca="false">(K-(L0-Y53*Ldif-alph*Y53^0.5))/R0</f>
        <v>0.632022265158989</v>
      </c>
      <c r="AA53" s="113" t="n">
        <f aca="false">IF(Z53&lt;1,X$14*((1-r_1)-Y$14*(1-r_1^2)+Z$14*(1-r_1^3)),0)</f>
        <v>2369633.23342763</v>
      </c>
      <c r="AB53" s="97" t="n">
        <f aca="false">AB52+AB$15</f>
        <v>0.000135647654533386</v>
      </c>
      <c r="AC53" s="115" t="n">
        <f aca="false">(Kopt-(L0-AB53*Ldif-alph*AB53^0.5))/R0</f>
        <v>0.632022265158989</v>
      </c>
      <c r="AD53" s="113" t="n">
        <f aca="false">IF(AC53&lt;1,X$14*((1-ropt)-Y$14*(1-ropt^2)+Z$14*(1-ropt^3)),0)</f>
        <v>2369633.23342763</v>
      </c>
      <c r="AF53" s="152" t="n">
        <v>1</v>
      </c>
      <c r="AG53" s="121" t="n">
        <f aca="false">AG$54+(AF53/10)*(AG$44-AG$54)</f>
        <v>51249.91</v>
      </c>
      <c r="AH53" s="153" t="n">
        <f aca="false">L0+R0-KK_3</f>
        <v>2250.09</v>
      </c>
      <c r="AI53" s="144" t="n">
        <f aca="false">-(alph^2)-2*S_3*Ldif</f>
        <v>-625004500.18</v>
      </c>
      <c r="AJ53" s="144" t="n">
        <f aca="false">S_3^2</f>
        <v>5062905.00809998</v>
      </c>
      <c r="AK53" s="154" t="n">
        <f aca="false">(-b_3-SQRT(b_3^2-4*a_3*c_3))/(2*a_3)</f>
        <v>0.00810056924819946</v>
      </c>
      <c r="AL53" s="145" t="n">
        <f aca="false">1-(KK_3-L0)/R0</f>
        <v>0.642882857142856</v>
      </c>
      <c r="AM53" s="145" t="n">
        <f aca="false">1-beta*(1-f_3)</f>
        <v>1</v>
      </c>
      <c r="AN53" s="155" t="n">
        <f aca="false">f_3*j_3</f>
        <v>0.642882857142856</v>
      </c>
      <c r="AO53" s="155" t="n">
        <f aca="false">f_3*k_3+j_3*g_3</f>
        <v>-7.14285714285714</v>
      </c>
      <c r="AP53" s="155" t="n">
        <f aca="false">g_3*k_3+j_3*h_3+f_3*l_3</f>
        <v>-0.000285714285714286</v>
      </c>
      <c r="AQ53" s="155" t="n">
        <f aca="false">g_3*l_3*h_3*k_3</f>
        <v>0</v>
      </c>
      <c r="AR53" s="155" t="n">
        <f aca="false">h_3*l_3</f>
        <v>0</v>
      </c>
      <c r="AS53" s="156" t="n">
        <f aca="false">M0*D0_3*(m_3+(n_3*D0_3^0.5)/1.5+p_3*D0_3/2+(q_3*D0_3^1.5)/2.5+(r_3*D0_3^2)/3)</f>
        <v>17.3591320546242</v>
      </c>
      <c r="AT53" s="157" t="n">
        <f aca="false">IF(AND(AS53&lt;F,F&lt;AS54),AG53,0)</f>
        <v>0</v>
      </c>
      <c r="AU53" s="157" t="n">
        <f aca="false">IF(AND(AS52&lt;F,F&lt;AS53),AG53,0)</f>
        <v>0</v>
      </c>
    </row>
    <row r="54" customFormat="false" ht="12.75" hidden="false" customHeight="false" outlineLevel="0" collapsed="false">
      <c r="I54" s="120" t="n">
        <v>2</v>
      </c>
      <c r="J54" s="121" t="n">
        <f aca="false">J$56+(I54/10)*(J$46-J$56)</f>
        <v>51799.932</v>
      </c>
      <c r="K54" s="64" t="n">
        <f aca="false">L0+R0g-KK</f>
        <v>1700.068</v>
      </c>
      <c r="L54" s="65" t="n">
        <f aca="false">Ldif^2</f>
        <v>1</v>
      </c>
      <c r="M54" s="65" t="n">
        <f aca="false">-(alph^2)-2*S_1*Ldif</f>
        <v>-625003400.136</v>
      </c>
      <c r="N54" s="65" t="n">
        <f aca="false">S_1^2</f>
        <v>2890231.204624</v>
      </c>
      <c r="O54" s="122" t="n">
        <f aca="false">(-b_1-SQRT(b_1^2-4*a_1*c_1))/(2*a_1)</f>
        <v>0.00462436676025391</v>
      </c>
      <c r="P54" s="123" t="n">
        <f aca="false">L0-KK+(P0-Pcap)/g</f>
        <v>-33299.582</v>
      </c>
      <c r="Q54" s="65" t="n">
        <f aca="false">-(alph^2)-2*S_2*Ldif</f>
        <v>-624933400.836</v>
      </c>
      <c r="R54" s="65" t="n">
        <f aca="false">S_2^2</f>
        <v>1108862161.37472</v>
      </c>
      <c r="S54" s="122" t="n">
        <f aca="false">IF(S_2&lt;0,0,(-b_2-SQRT(b_2^2-4*a_1*c_2))/(2*a_1))</f>
        <v>0</v>
      </c>
      <c r="T54" s="66" t="n">
        <f aca="false">Pcap*DDc+(P0+g*(L0-KK))*(DDg-DDc)-g*((DDg^2-DDc^2)*Ldif/2+alph*(DDg^1.5-DDc^1.5)/1.5)</f>
        <v>7.4873440538835</v>
      </c>
      <c r="U54" s="67" t="n">
        <f aca="false">IF(AND(T54&gt;F,T53&lt;F),J54,0)</f>
        <v>0</v>
      </c>
      <c r="V54" s="67" t="n">
        <f aca="false">IF(AND(T54&lt;F,T55&gt;F),J54,0)</f>
        <v>0</v>
      </c>
      <c r="W54" s="159"/>
      <c r="X54" s="102" t="n">
        <v>965</v>
      </c>
      <c r="Y54" s="124" t="n">
        <f aca="false">Y53+Y$16</f>
        <v>0.000139637291431427</v>
      </c>
      <c r="Z54" s="115" t="n">
        <f aca="false">(K-(L0-Y54*Ldif-alph*Y54^0.5))/R0</f>
        <v>0.633236802629097</v>
      </c>
      <c r="AA54" s="113" t="n">
        <f aca="false">IF(Z54&lt;1,X$14*((1-r_1)-Y$14*(1-r_1^2)+Z$14*(1-r_1^3)),0)</f>
        <v>2354016.75155024</v>
      </c>
      <c r="AB54" s="97" t="n">
        <f aca="false">AB53+AB$15</f>
        <v>0.000139637291431427</v>
      </c>
      <c r="AC54" s="115" t="n">
        <f aca="false">(Kopt-(L0-AB54*Ldif-alph*AB54^0.5))/R0</f>
        <v>0.633236802629097</v>
      </c>
      <c r="AD54" s="113" t="n">
        <f aca="false">IF(AC54&lt;1,X$14*((1-ropt)-Y$14*(1-ropt^2)+Z$14*(1-ropt^3)),0)</f>
        <v>2354016.75155024</v>
      </c>
      <c r="AF54" s="152" t="n">
        <v>0</v>
      </c>
      <c r="AG54" s="121" t="n">
        <f aca="false">AU30</f>
        <v>50999.9</v>
      </c>
      <c r="AH54" s="153" t="n">
        <f aca="false">L0+R0-KK_3</f>
        <v>2500.1</v>
      </c>
      <c r="AI54" s="144" t="n">
        <f aca="false">-(alph^2)-2*S_3*Ldif</f>
        <v>-625005000.2</v>
      </c>
      <c r="AJ54" s="144" t="n">
        <f aca="false">S_3^2</f>
        <v>6250500.00999999</v>
      </c>
      <c r="AK54" s="154" t="n">
        <f aca="false">(-b_3-SQRT(b_3^2-4*a_3*c_3))/(2*a_3)</f>
        <v>0.0100007057189941</v>
      </c>
      <c r="AL54" s="145" t="n">
        <f aca="false">1-(KK_3-L0)/R0</f>
        <v>0.714314285714285</v>
      </c>
      <c r="AM54" s="145" t="n">
        <f aca="false">1-beta*(1-f_3)</f>
        <v>1</v>
      </c>
      <c r="AN54" s="155" t="n">
        <f aca="false">f_3*j_3</f>
        <v>0.714314285714285</v>
      </c>
      <c r="AO54" s="155" t="n">
        <f aca="false">f_3*k_3+j_3*g_3</f>
        <v>-7.14285714285714</v>
      </c>
      <c r="AP54" s="155" t="n">
        <f aca="false">g_3*k_3+j_3*h_3+f_3*l_3</f>
        <v>-0.000285714285714286</v>
      </c>
      <c r="AQ54" s="155" t="n">
        <f aca="false">g_3*l_3*h_3*k_3</f>
        <v>0</v>
      </c>
      <c r="AR54" s="155" t="n">
        <f aca="false">h_3*l_3</f>
        <v>0</v>
      </c>
      <c r="AS54" s="156" t="n">
        <f aca="false">M0*D0_3*(m_3+(n_3*D0_3^0.5)/1.5+p_3*D0_3/2+(q_3*D0_3^1.5)/2.5+(r_3*D0_3^2)/3)</f>
        <v>23.8122381877734</v>
      </c>
      <c r="AT54" s="157"/>
      <c r="AU54" s="157" t="n">
        <f aca="false">IF(AND(AS53&lt;F,F&lt;AS54),AG54,0)</f>
        <v>0</v>
      </c>
    </row>
    <row r="55" customFormat="false" ht="12.75" hidden="false" customHeight="false" outlineLevel="0" collapsed="false">
      <c r="I55" s="120" t="n">
        <v>1</v>
      </c>
      <c r="J55" s="121" t="n">
        <f aca="false">J$56+(I55/10)*(J$46-J$56)</f>
        <v>51774.931</v>
      </c>
      <c r="K55" s="64" t="n">
        <f aca="false">L0+R0g-KK</f>
        <v>1725.069</v>
      </c>
      <c r="L55" s="65" t="n">
        <f aca="false">Ldif^2</f>
        <v>1</v>
      </c>
      <c r="M55" s="65" t="n">
        <f aca="false">-(alph^2)-2*S_1*Ldif</f>
        <v>-625003450.138</v>
      </c>
      <c r="N55" s="65" t="n">
        <f aca="false">S_1^2</f>
        <v>2975863.05476101</v>
      </c>
      <c r="O55" s="122" t="n">
        <f aca="false">(-b_1-SQRT(b_1^2-4*a_1*c_1))/(2*a_1)</f>
        <v>0.00476133823394775</v>
      </c>
      <c r="P55" s="123" t="n">
        <f aca="false">L0-KK+(P0-Pcap)/g</f>
        <v>-33274.581</v>
      </c>
      <c r="Q55" s="65" t="n">
        <f aca="false">-(alph^2)-2*S_2*Ldif</f>
        <v>-624933450.838</v>
      </c>
      <c r="R55" s="65" t="n">
        <f aca="false">S_2^2</f>
        <v>1107197740.72556</v>
      </c>
      <c r="S55" s="122" t="n">
        <f aca="false">IF(S_2&lt;0,0,(-b_2-SQRT(b_2^2-4*a_1*c_2))/(2*a_1))</f>
        <v>0</v>
      </c>
      <c r="T55" s="66" t="n">
        <f aca="false">Pcap*DDc+(P0+g*(L0-KK))*(DDg-DDc)-g*((DDg^2-DDc^2)*Ldif/2+alph*(DDg^1.5-DDc^1.5)/1.5)</f>
        <v>7.82254910515678</v>
      </c>
      <c r="U55" s="67" t="n">
        <f aca="false">IF(AND(T55&gt;F,T54&lt;F),J55,0)</f>
        <v>0</v>
      </c>
      <c r="V55" s="67" t="n">
        <f aca="false">IF(AND(T55&lt;F,T56&gt;F),J55,0)</f>
        <v>0</v>
      </c>
      <c r="W55" s="159"/>
      <c r="X55" s="102" t="n">
        <v>964</v>
      </c>
      <c r="Y55" s="124" t="n">
        <f aca="false">Y54+Y$16</f>
        <v>0.000143626928329468</v>
      </c>
      <c r="Z55" s="115" t="n">
        <f aca="false">(K-(L0-Y55*Ldif-alph*Y55^0.5))/R0</f>
        <v>0.634434110014398</v>
      </c>
      <c r="AA55" s="113" t="n">
        <f aca="false">IF(Z55&lt;1,X$14*((1-r_1)-Y$14*(1-r_1^2)+Z$14*(1-r_1^3)),0)</f>
        <v>2338672.34861689</v>
      </c>
      <c r="AB55" s="97" t="n">
        <f aca="false">AB54+AB$15</f>
        <v>0.000143626928329468</v>
      </c>
      <c r="AC55" s="115" t="n">
        <f aca="false">(Kopt-(L0-AB55*Ldif-alph*AB55^0.5))/R0</f>
        <v>0.634434110014398</v>
      </c>
      <c r="AD55" s="113" t="n">
        <f aca="false">IF(AC55&lt;1,X$14*((1-ropt)-Y$14*(1-ropt^2)+Z$14*(1-ropt^3)),0)</f>
        <v>2338672.34861689</v>
      </c>
    </row>
    <row r="56" customFormat="false" ht="12.75" hidden="false" customHeight="false" outlineLevel="0" collapsed="false">
      <c r="I56" s="120" t="n">
        <v>0</v>
      </c>
      <c r="J56" s="67" t="n">
        <f aca="false">U32</f>
        <v>51749.93</v>
      </c>
      <c r="K56" s="64" t="n">
        <f aca="false">L0+R0g-KK</f>
        <v>1750.07</v>
      </c>
      <c r="L56" s="65" t="n">
        <f aca="false">Ldif^2</f>
        <v>1</v>
      </c>
      <c r="M56" s="65" t="n">
        <f aca="false">-(alph^2)-2*S_1*Ldif</f>
        <v>-625003500.14</v>
      </c>
      <c r="N56" s="65" t="n">
        <f aca="false">S_1^2</f>
        <v>3062745.0049</v>
      </c>
      <c r="O56" s="122" t="n">
        <f aca="false">(-b_1-SQRT(b_1^2-4*a_1*c_1))/(2*a_1)</f>
        <v>0.00490039587020874</v>
      </c>
      <c r="P56" s="123" t="n">
        <f aca="false">L0-KK+(P0-Pcap)/g</f>
        <v>-33249.58</v>
      </c>
      <c r="Q56" s="65" t="n">
        <f aca="false">-(alph^2)-2*S_2*Ldif</f>
        <v>-624933500.84</v>
      </c>
      <c r="R56" s="65" t="n">
        <f aca="false">S_2^2</f>
        <v>1105534570.1764</v>
      </c>
      <c r="S56" s="122" t="n">
        <f aca="false">IF(S_2&lt;0,0,(-b_2-SQRT(b_2^2-4*a_1*c_2))/(2*a_1))</f>
        <v>0</v>
      </c>
      <c r="T56" s="66" t="n">
        <f aca="false">Pcap*DDc+(P0+g*(L0-KK))*(DDg-DDc)-g*((DDg^2-DDc^2)*Ldif/2+alph*(DDg^1.5-DDc^1.5)/1.5)</f>
        <v>8.16761240032098</v>
      </c>
      <c r="U56" s="67" t="n">
        <f aca="false">IF(AND(T56&gt;F,T55&lt;F),J56,0)</f>
        <v>0</v>
      </c>
      <c r="W56" s="159"/>
      <c r="X56" s="102" t="n">
        <v>963</v>
      </c>
      <c r="Y56" s="124" t="n">
        <f aca="false">Y55+Y$16</f>
        <v>0.000147616565227508</v>
      </c>
      <c r="Z56" s="115" t="n">
        <f aca="false">(K-(L0-Y56*Ldif-alph*Y56^0.5))/R0</f>
        <v>0.635614900457174</v>
      </c>
      <c r="AA56" s="113" t="n">
        <f aca="false">IF(Z56&lt;1,X$14*((1-r_1)-Y$14*(1-r_1^2)+Z$14*(1-r_1^3)),0)</f>
        <v>2323588.76345462</v>
      </c>
      <c r="AB56" s="97" t="n">
        <f aca="false">AB55+AB$15</f>
        <v>0.000147616565227508</v>
      </c>
      <c r="AC56" s="115" t="n">
        <f aca="false">(Kopt-(L0-AB56*Ldif-alph*AB56^0.5))/R0</f>
        <v>0.635614900457174</v>
      </c>
      <c r="AD56" s="113" t="n">
        <f aca="false">IF(AC56&lt;1,X$14*((1-ropt)-Y$14*(1-ropt^2)+Z$14*(1-ropt^3)),0)</f>
        <v>2323588.76345462</v>
      </c>
      <c r="AF56" s="55"/>
      <c r="AG56" s="141" t="s">
        <v>221</v>
      </c>
      <c r="AH56" s="142" t="s">
        <v>222</v>
      </c>
      <c r="AI56" s="142" t="s">
        <v>223</v>
      </c>
      <c r="AJ56" s="147" t="s">
        <v>224</v>
      </c>
      <c r="AK56" s="142" t="s">
        <v>225</v>
      </c>
      <c r="AL56" s="142" t="s">
        <v>226</v>
      </c>
      <c r="AM56" s="142" t="s">
        <v>227</v>
      </c>
      <c r="AN56" s="142" t="s">
        <v>228</v>
      </c>
      <c r="AO56" s="142" t="s">
        <v>229</v>
      </c>
      <c r="AP56" s="142" t="s">
        <v>230</v>
      </c>
      <c r="AQ56" s="142" t="s">
        <v>231</v>
      </c>
      <c r="AR56" s="142" t="s">
        <v>232</v>
      </c>
      <c r="AS56" s="55"/>
      <c r="AT56" s="148" t="n">
        <f aca="false">MAX(AT57:AT66)</f>
        <v>51924.937</v>
      </c>
      <c r="AU56" s="148" t="n">
        <f aca="false">MAX(AU58:AU67)</f>
        <v>51899.936</v>
      </c>
    </row>
    <row r="57" customFormat="false" ht="12.75" hidden="false" customHeight="false" outlineLevel="0" collapsed="false">
      <c r="J57" s="67"/>
      <c r="K57" s="67"/>
      <c r="L57" s="151"/>
      <c r="M57" s="151"/>
      <c r="N57" s="151"/>
      <c r="O57" s="69"/>
      <c r="P57" s="69"/>
      <c r="Q57" s="69"/>
      <c r="R57" s="69"/>
      <c r="S57" s="69"/>
      <c r="T57" s="69"/>
      <c r="U57" s="69"/>
      <c r="V57" s="69"/>
      <c r="W57" s="159"/>
      <c r="X57" s="102" t="n">
        <v>962</v>
      </c>
      <c r="Y57" s="124" t="n">
        <f aca="false">Y56+Y$16</f>
        <v>0.000151606202125549</v>
      </c>
      <c r="Z57" s="115" t="n">
        <f aca="false">(K-(L0-Y57*Ldif-alph*Y57^0.5))/R0</f>
        <v>0.636779839222186</v>
      </c>
      <c r="AA57" s="113" t="n">
        <f aca="false">IF(Z57&lt;1,X$14*((1-r_1)-Y$14*(1-r_1^2)+Z$14*(1-r_1^3)),0)</f>
        <v>2308755.49092057</v>
      </c>
      <c r="AB57" s="97" t="n">
        <f aca="false">AB56+AB$15</f>
        <v>0.000151606202125549</v>
      </c>
      <c r="AC57" s="115" t="n">
        <f aca="false">(Kopt-(L0-AB57*Ldif-alph*AB57^0.5))/R0</f>
        <v>0.636779839222186</v>
      </c>
      <c r="AD57" s="113" t="n">
        <f aca="false">IF(AC57&lt;1,X$14*((1-ropt)-Y$14*(1-ropt^2)+Z$14*(1-ropt^3)),0)</f>
        <v>2308755.49092057</v>
      </c>
      <c r="AF57" s="152" t="n">
        <v>10</v>
      </c>
      <c r="AG57" s="141" t="n">
        <f aca="false">AT43</f>
        <v>51999.94</v>
      </c>
      <c r="AH57" s="153" t="n">
        <f aca="false">L0+R0-KK_3</f>
        <v>1500.06</v>
      </c>
      <c r="AI57" s="144" t="n">
        <f aca="false">-(alph^2)-2*S_3*Ldif</f>
        <v>-625003000.12</v>
      </c>
      <c r="AJ57" s="144" t="n">
        <f aca="false">S_3^2</f>
        <v>2250180.00359999</v>
      </c>
      <c r="AK57" s="154" t="n">
        <f aca="false">(-b_3-SQRT(b_3^2-4*a_3*c_3))/(2*a_3)</f>
        <v>0.00360029935836792</v>
      </c>
      <c r="AL57" s="145" t="n">
        <f aca="false">1-(KK_3-L0)/R0</f>
        <v>0.428588571428571</v>
      </c>
      <c r="AM57" s="145" t="n">
        <f aca="false">1-beta*(1-f_3)</f>
        <v>1</v>
      </c>
      <c r="AN57" s="155" t="n">
        <f aca="false">f_3*j_3</f>
        <v>0.428588571428571</v>
      </c>
      <c r="AO57" s="155" t="n">
        <f aca="false">f_3*k_3+j_3*g_3</f>
        <v>-7.14285714285714</v>
      </c>
      <c r="AP57" s="155" t="n">
        <f aca="false">g_3*k_3+j_3*h_3+f_3*l_3</f>
        <v>-0.000285714285714286</v>
      </c>
      <c r="AQ57" s="155" t="n">
        <f aca="false">g_3*l_3*h_3*k_3</f>
        <v>0</v>
      </c>
      <c r="AR57" s="155" t="n">
        <f aca="false">h_3*l_3</f>
        <v>0</v>
      </c>
      <c r="AS57" s="156" t="n">
        <f aca="false">M0*D0_3*(m_3+(n_3*D0_3^0.5)/1.5+p_3*D0_3/2+(q_3*D0_3^1.5)/2.5+(r_3*D0_3^2)/3)</f>
        <v>5.143455792997</v>
      </c>
      <c r="AT57" s="157" t="n">
        <f aca="false">IF(AND(AS57&lt;F,F&lt;AS58),AG57,0)</f>
        <v>0</v>
      </c>
      <c r="AU57" s="157"/>
    </row>
    <row r="58" customFormat="false" ht="12.75" hidden="false" customHeight="false" outlineLevel="0" collapsed="false">
      <c r="I58" s="150"/>
      <c r="J58" s="67"/>
      <c r="K58" s="67"/>
      <c r="L58" s="151"/>
      <c r="M58" s="151"/>
      <c r="N58" s="107"/>
      <c r="O58" s="102"/>
      <c r="P58" s="102"/>
      <c r="Q58" s="102"/>
      <c r="R58" s="102"/>
      <c r="S58" s="102"/>
      <c r="T58" s="102"/>
      <c r="U58" s="160" t="n">
        <f aca="false">MAX(U60:U69)</f>
        <v>51919.9368</v>
      </c>
      <c r="V58" s="160" t="n">
        <f aca="false">MAX(V59:V68)</f>
        <v>51922.4369</v>
      </c>
      <c r="W58" s="159"/>
      <c r="X58" s="102" t="n">
        <v>961</v>
      </c>
      <c r="Y58" s="124" t="n">
        <f aca="false">Y57+Y$16</f>
        <v>0.00015559583902359</v>
      </c>
      <c r="Z58" s="115" t="n">
        <f aca="false">(K-(L0-Y58*Ldif-alph*Y58^0.5))/R0</f>
        <v>0.637929548079372</v>
      </c>
      <c r="AA58" s="113" t="n">
        <f aca="false">IF(Z58&lt;1,X$14*((1-r_1)-Y$14*(1-r_1^2)+Z$14*(1-r_1^3)),0)</f>
        <v>2294162.71269513</v>
      </c>
      <c r="AB58" s="97" t="n">
        <f aca="false">AB57+AB$15</f>
        <v>0.00015559583902359</v>
      </c>
      <c r="AC58" s="115" t="n">
        <f aca="false">(Kopt-(L0-AB58*Ldif-alph*AB58^0.5))/R0</f>
        <v>0.637929548079372</v>
      </c>
      <c r="AD58" s="113" t="n">
        <f aca="false">IF(AC58&lt;1,X$14*((1-ropt)-Y$14*(1-ropt^2)+Z$14*(1-ropt^3)),0)</f>
        <v>2294162.71269513</v>
      </c>
      <c r="AF58" s="152" t="n">
        <v>9</v>
      </c>
      <c r="AG58" s="121" t="n">
        <f aca="false">AG$67+(AF58/10)*(AG$57-AG$67)</f>
        <v>51974.939</v>
      </c>
      <c r="AH58" s="153" t="n">
        <f aca="false">L0+R0-KK_3</f>
        <v>1525.061</v>
      </c>
      <c r="AI58" s="144" t="n">
        <f aca="false">-(alph^2)-2*S_3*Ldif</f>
        <v>-625003050.122</v>
      </c>
      <c r="AJ58" s="144" t="n">
        <f aca="false">S_3^2</f>
        <v>2325811.053721</v>
      </c>
      <c r="AK58" s="154" t="n">
        <f aca="false">(-b_3-SQRT(b_3^2-4*a_3*c_3))/(2*a_3)</f>
        <v>0.00372129678726196</v>
      </c>
      <c r="AL58" s="145" t="n">
        <f aca="false">1-(KK_3-L0)/R0</f>
        <v>0.435731714285715</v>
      </c>
      <c r="AM58" s="145" t="n">
        <f aca="false">1-beta*(1-f_3)</f>
        <v>1</v>
      </c>
      <c r="AN58" s="155" t="n">
        <f aca="false">f_3*j_3</f>
        <v>0.435731714285715</v>
      </c>
      <c r="AO58" s="155" t="n">
        <f aca="false">f_3*k_3+j_3*g_3</f>
        <v>-7.14285714285714</v>
      </c>
      <c r="AP58" s="155" t="n">
        <f aca="false">g_3*k_3+j_3*h_3+f_3*l_3</f>
        <v>-0.000285714285714286</v>
      </c>
      <c r="AQ58" s="155" t="n">
        <f aca="false">g_3*l_3*h_3*k_3</f>
        <v>0</v>
      </c>
      <c r="AR58" s="155" t="n">
        <f aca="false">h_3*l_3</f>
        <v>0</v>
      </c>
      <c r="AS58" s="156" t="n">
        <f aca="false">M0*D0_3*(m_3+(n_3*D0_3^0.5)/1.5+p_3*D0_3/2+(q_3*D0_3^1.5)/2.5+(r_3*D0_3^2)/3)</f>
        <v>5.40493828396494</v>
      </c>
      <c r="AT58" s="157" t="n">
        <f aca="false">IF(AND(AS58&lt;F,F&lt;AS59),AG58,0)</f>
        <v>0</v>
      </c>
      <c r="AU58" s="157" t="n">
        <f aca="false">IF(AND(AS57&lt;F,F&lt;AS58),AG58,0)</f>
        <v>0</v>
      </c>
    </row>
    <row r="59" customFormat="false" ht="12.75" hidden="false" customHeight="false" outlineLevel="0" collapsed="false">
      <c r="I59" s="120" t="n">
        <v>10</v>
      </c>
      <c r="J59" s="67" t="n">
        <f aca="false">V45</f>
        <v>51924.937</v>
      </c>
      <c r="K59" s="64" t="n">
        <f aca="false">L0+R0g-KK</f>
        <v>1575.06299999999</v>
      </c>
      <c r="L59" s="65" t="n">
        <f aca="false">Ldif^2</f>
        <v>1</v>
      </c>
      <c r="M59" s="65" t="n">
        <f aca="false">-(alph^2)-2*S_1*Ldif</f>
        <v>-625003150.126</v>
      </c>
      <c r="N59" s="65" t="n">
        <f aca="false">S_1^2</f>
        <v>2480823.45396898</v>
      </c>
      <c r="O59" s="122" t="n">
        <f aca="false">(-b_1-SQRT(b_1^2-4*a_1*c_1))/(2*a_1)</f>
        <v>0.00396931171417236</v>
      </c>
      <c r="P59" s="123" t="n">
        <f aca="false">L0-KK+(P0-Pcap)/g</f>
        <v>-33424.587</v>
      </c>
      <c r="Q59" s="65" t="n">
        <f aca="false">-(alph^2)-2*S_2*Ldif</f>
        <v>-624933150.826</v>
      </c>
      <c r="R59" s="65" t="n">
        <f aca="false">S_2^2</f>
        <v>1117203016.12057</v>
      </c>
      <c r="S59" s="122" t="n">
        <f aca="false">IF(S_2&lt;0,0,(-b_2-SQRT(b_2^2-4*a_1*c_2))/(2*a_1))</f>
        <v>0</v>
      </c>
      <c r="T59" s="66" t="n">
        <f aca="false">Pcap*DDc+(P0+g*(L0-KK))*(DDg-DDc)-g*((DDg^2-DDc^2)*Ldif/2+alph*(DDg^1.5-DDc^1.5)/1.5)</f>
        <v>5.95419194080257</v>
      </c>
      <c r="U59" s="161"/>
      <c r="V59" s="161" t="n">
        <f aca="false">IF(AND(T59&lt;F,T60&gt;F),J59,0)</f>
        <v>0</v>
      </c>
      <c r="W59" s="159"/>
      <c r="X59" s="102" t="n">
        <v>960</v>
      </c>
      <c r="Y59" s="124" t="n">
        <f aca="false">Y58+Y$16</f>
        <v>0.000159585475921631</v>
      </c>
      <c r="Z59" s="115" t="n">
        <f aca="false">(K-(L0-Y59*Ldif-alph*Y59^0.5))/R0</f>
        <v>0.639064609183872</v>
      </c>
      <c r="AA59" s="113" t="n">
        <f aca="false">IF(Z59&lt;1,X$14*((1-r_1)-Y$14*(1-r_1^2)+Z$14*(1-r_1^3)),0)</f>
        <v>2279801.23601285</v>
      </c>
      <c r="AB59" s="97" t="n">
        <f aca="false">AB58+AB$15</f>
        <v>0.000159585475921631</v>
      </c>
      <c r="AC59" s="115" t="n">
        <f aca="false">(Kopt-(L0-AB59*Ldif-alph*AB59^0.5))/R0</f>
        <v>0.639064609183872</v>
      </c>
      <c r="AD59" s="113" t="n">
        <f aca="false">IF(AC59&lt;1,X$14*((1-ropt)-Y$14*(1-ropt^2)+Z$14*(1-ropt^3)),0)</f>
        <v>2279801.23601285</v>
      </c>
      <c r="AF59" s="152" t="n">
        <v>8</v>
      </c>
      <c r="AG59" s="121" t="n">
        <f aca="false">AG$67+(AF59/10)*(AG$57-AG$67)</f>
        <v>51949.938</v>
      </c>
      <c r="AH59" s="153" t="n">
        <f aca="false">L0+R0-KK_3</f>
        <v>1550.062</v>
      </c>
      <c r="AI59" s="144" t="n">
        <f aca="false">-(alph^2)-2*S_3*Ldif</f>
        <v>-625003100.124</v>
      </c>
      <c r="AJ59" s="144" t="n">
        <f aca="false">S_3^2</f>
        <v>2402692.20384399</v>
      </c>
      <c r="AK59" s="154" t="n">
        <f aca="false">(-b_3-SQRT(b_3^2-4*a_3*c_3))/(2*a_3)</f>
        <v>0.00384426116943359</v>
      </c>
      <c r="AL59" s="145" t="n">
        <f aca="false">1-(KK_3-L0)/R0</f>
        <v>0.442874857142857</v>
      </c>
      <c r="AM59" s="145" t="n">
        <f aca="false">1-beta*(1-f_3)</f>
        <v>1</v>
      </c>
      <c r="AN59" s="155" t="n">
        <f aca="false">f_3*j_3</f>
        <v>0.442874857142857</v>
      </c>
      <c r="AO59" s="155" t="n">
        <f aca="false">f_3*k_3+j_3*g_3</f>
        <v>-7.14285714285714</v>
      </c>
      <c r="AP59" s="155" t="n">
        <f aca="false">g_3*k_3+j_3*h_3+f_3*l_3</f>
        <v>-0.000285714285714286</v>
      </c>
      <c r="AQ59" s="155" t="n">
        <f aca="false">g_3*l_3*h_3*k_3</f>
        <v>0</v>
      </c>
      <c r="AR59" s="155" t="n">
        <f aca="false">h_3*l_3</f>
        <v>0</v>
      </c>
      <c r="AS59" s="156" t="n">
        <f aca="false">M0*D0_3*(m_3+(n_3*D0_3^0.5)/1.5+p_3*D0_3/2+(q_3*D0_3^1.5)/2.5+(r_3*D0_3^2)/3)</f>
        <v>5.67513604231805</v>
      </c>
      <c r="AT59" s="157" t="n">
        <f aca="false">IF(AND(AS59&lt;F,F&lt;AS60),AG59,0)</f>
        <v>0</v>
      </c>
      <c r="AU59" s="157" t="n">
        <f aca="false">IF(AND(AS58&lt;F,F&lt;AS59),AG59,0)</f>
        <v>0</v>
      </c>
    </row>
    <row r="60" customFormat="false" ht="12.75" hidden="false" customHeight="false" outlineLevel="0" collapsed="false">
      <c r="I60" s="120" t="n">
        <v>9</v>
      </c>
      <c r="J60" s="121" t="n">
        <f aca="false">J$69+(I60/10)*(J$59-J$69)</f>
        <v>51922.4369</v>
      </c>
      <c r="K60" s="64" t="n">
        <f aca="false">L0+R0g-KK</f>
        <v>1577.56309999999</v>
      </c>
      <c r="L60" s="65" t="n">
        <f aca="false">Ldif^2</f>
        <v>1</v>
      </c>
      <c r="M60" s="65" t="n">
        <f aca="false">-(alph^2)-2*S_1*Ldif</f>
        <v>-625003155.1262</v>
      </c>
      <c r="N60" s="65" t="n">
        <f aca="false">S_1^2</f>
        <v>2488705.33448159</v>
      </c>
      <c r="O60" s="122" t="n">
        <f aca="false">(-b_1-SQRT(b_1^2-4*a_1*c_1))/(2*a_1)</f>
        <v>0.00398188829421997</v>
      </c>
      <c r="P60" s="123" t="n">
        <f aca="false">L0-KK+(P0-Pcap)/g</f>
        <v>-33422.0869</v>
      </c>
      <c r="Q60" s="65" t="n">
        <f aca="false">-(alph^2)-2*S_2*Ldif</f>
        <v>-624933155.8262</v>
      </c>
      <c r="R60" s="65" t="n">
        <f aca="false">S_2^2</f>
        <v>1117035892.75115</v>
      </c>
      <c r="S60" s="122" t="n">
        <f aca="false">IF(S_2&lt;0,0,(-b_2-SQRT(b_2^2-4*a_1*c_2))/(2*a_1))</f>
        <v>0</v>
      </c>
      <c r="T60" s="66" t="n">
        <f aca="false">Pcap*DDc+(P0+g*(L0-KK))*(DDg-DDc)-g*((DDg^2-DDc^2)*Ldif/2+alph*(DDg^1.5-DDc^1.5)/1.5)</f>
        <v>5.98259022884697</v>
      </c>
      <c r="U60" s="161" t="n">
        <f aca="false">IF(AND(T60&gt;F,T59&lt;F),J60,0)</f>
        <v>0</v>
      </c>
      <c r="V60" s="161" t="n">
        <f aca="false">IF(AND(T60&lt;F,T61&gt;F),J60,0)</f>
        <v>51922.4369</v>
      </c>
      <c r="W60" s="159"/>
      <c r="X60" s="102" t="n">
        <v>959</v>
      </c>
      <c r="Y60" s="124" t="n">
        <f aca="false">Y59+Y$16</f>
        <v>0.000163575112819672</v>
      </c>
      <c r="Z60" s="115" t="n">
        <f aca="false">(K-(L0-Y60*Ldif-alph*Y60^0.5))/R0</f>
        <v>0.64018556852202</v>
      </c>
      <c r="AA60" s="113" t="n">
        <f aca="false">IF(Z60&lt;1,X$14*((1-r_1)-Y$14*(1-r_1^2)+Z$14*(1-r_1^3)),0)</f>
        <v>2265662.43924689</v>
      </c>
      <c r="AB60" s="97" t="n">
        <f aca="false">AB59+AB$15</f>
        <v>0.000163575112819672</v>
      </c>
      <c r="AC60" s="115" t="n">
        <f aca="false">(Kopt-(L0-AB60*Ldif-alph*AB60^0.5))/R0</f>
        <v>0.64018556852202</v>
      </c>
      <c r="AD60" s="113" t="n">
        <f aca="false">IF(AC60&lt;1,X$14*((1-ropt)-Y$14*(1-ropt^2)+Z$14*(1-ropt^3)),0)</f>
        <v>2265662.43924689</v>
      </c>
      <c r="AF60" s="152" t="n">
        <v>7</v>
      </c>
      <c r="AG60" s="121" t="n">
        <f aca="false">AG$67+(AF60/10)*(AG$57-AG$67)</f>
        <v>51924.937</v>
      </c>
      <c r="AH60" s="153" t="n">
        <f aca="false">L0+R0-KK_3</f>
        <v>1575.06299999999</v>
      </c>
      <c r="AI60" s="144" t="n">
        <f aca="false">-(alph^2)-2*S_3*Ldif</f>
        <v>-625003150.126</v>
      </c>
      <c r="AJ60" s="144" t="n">
        <f aca="false">S_3^2</f>
        <v>2480823.45396898</v>
      </c>
      <c r="AK60" s="154" t="n">
        <f aca="false">(-b_3-SQRT(b_3^2-4*a_3*c_3))/(2*a_3)</f>
        <v>0.00396931171417236</v>
      </c>
      <c r="AL60" s="145" t="n">
        <f aca="false">1-(KK_3-L0)/R0</f>
        <v>0.450017999999999</v>
      </c>
      <c r="AM60" s="145" t="n">
        <f aca="false">1-beta*(1-f_3)</f>
        <v>1</v>
      </c>
      <c r="AN60" s="155" t="n">
        <f aca="false">f_3*j_3</f>
        <v>0.450017999999999</v>
      </c>
      <c r="AO60" s="155" t="n">
        <f aca="false">f_3*k_3+j_3*g_3</f>
        <v>-7.14285714285714</v>
      </c>
      <c r="AP60" s="155" t="n">
        <f aca="false">g_3*k_3+j_3*h_3+f_3*l_3</f>
        <v>-0.000285714285714286</v>
      </c>
      <c r="AQ60" s="155" t="n">
        <f aca="false">g_3*l_3*h_3*k_3</f>
        <v>0</v>
      </c>
      <c r="AR60" s="155" t="n">
        <f aca="false">h_3*l_3</f>
        <v>0</v>
      </c>
      <c r="AS60" s="156" t="n">
        <f aca="false">M0*D0_3*(m_3+(n_3*D0_3^0.5)/1.5+p_3*D0_3/2+(q_3*D0_3^1.5)/2.5+(r_3*D0_3^2)/3)</f>
        <v>5.95419194080258</v>
      </c>
      <c r="AT60" s="157" t="n">
        <f aca="false">IF(AND(AS60&lt;F,F&lt;AS61),AG60,0)</f>
        <v>51924.937</v>
      </c>
      <c r="AU60" s="157" t="n">
        <f aca="false">IF(AND(AS59&lt;F,F&lt;AS60),AG60,0)</f>
        <v>0</v>
      </c>
    </row>
    <row r="61" customFormat="false" ht="12.75" hidden="false" customHeight="false" outlineLevel="0" collapsed="false">
      <c r="I61" s="120" t="n">
        <v>8</v>
      </c>
      <c r="J61" s="121" t="n">
        <f aca="false">J$69+(I61/10)*(J$59-J$69)</f>
        <v>51919.9368</v>
      </c>
      <c r="K61" s="64" t="n">
        <f aca="false">L0+R0g-KK</f>
        <v>1580.0632</v>
      </c>
      <c r="L61" s="65" t="n">
        <f aca="false">Ldif^2</f>
        <v>1</v>
      </c>
      <c r="M61" s="65" t="n">
        <f aca="false">-(alph^2)-2*S_1*Ldif</f>
        <v>-625003160.1264</v>
      </c>
      <c r="N61" s="65" t="n">
        <f aca="false">S_1^2</f>
        <v>2496599.71599423</v>
      </c>
      <c r="O61" s="122" t="n">
        <f aca="false">(-b_1-SQRT(b_1^2-4*a_1*c_1))/(2*a_1)</f>
        <v>0.00399452447891235</v>
      </c>
      <c r="P61" s="123" t="n">
        <f aca="false">L0-KK+(P0-Pcap)/g</f>
        <v>-33419.5868</v>
      </c>
      <c r="Q61" s="65" t="n">
        <f aca="false">-(alph^2)-2*S_2*Ldif</f>
        <v>-624933160.8264</v>
      </c>
      <c r="R61" s="65" t="n">
        <f aca="false">S_2^2</f>
        <v>1116868781.88273</v>
      </c>
      <c r="S61" s="122" t="n">
        <f aca="false">IF(S_2&lt;0,0,(-b_2-SQRT(b_2^2-4*a_1*c_2))/(2*a_1))</f>
        <v>0</v>
      </c>
      <c r="T61" s="66" t="n">
        <f aca="false">Pcap*DDc+(P0+g*(L0-KK))*(DDg-DDc)-g*((DDg^2-DDc^2)*Ldif/2+alph*(DDg^1.5-DDc^1.5)/1.5)</f>
        <v>6.01107866999349</v>
      </c>
      <c r="U61" s="161" t="n">
        <f aca="false">IF(AND(T61&gt;F,T60&lt;F),J61,0)</f>
        <v>51919.9368</v>
      </c>
      <c r="V61" s="161" t="n">
        <f aca="false">IF(AND(T61&lt;F,T62&gt;F),J61,0)</f>
        <v>0</v>
      </c>
      <c r="W61" s="159"/>
      <c r="X61" s="102" t="n">
        <v>958</v>
      </c>
      <c r="Y61" s="124" t="n">
        <f aca="false">Y60+Y$16</f>
        <v>0.000167564749717712</v>
      </c>
      <c r="Z61" s="115" t="n">
        <f aca="false">(K-(L0-Y61*Ldif-alph*Y61^0.5))/R0</f>
        <v>0.641292938981301</v>
      </c>
      <c r="AA61" s="113" t="n">
        <f aca="false">IF(Z61&lt;1,X$14*((1-r_1)-Y$14*(1-r_1^2)+Z$14*(1-r_1^3)),0)</f>
        <v>2251738.22343177</v>
      </c>
      <c r="AB61" s="97" t="n">
        <f aca="false">AB60+AB$15</f>
        <v>0.000167564749717712</v>
      </c>
      <c r="AC61" s="115" t="n">
        <f aca="false">(Kopt-(L0-AB61*Ldif-alph*AB61^0.5))/R0</f>
        <v>0.641292938981301</v>
      </c>
      <c r="AD61" s="113" t="n">
        <f aca="false">IF(AC61&lt;1,X$14*((1-ropt)-Y$14*(1-ropt^2)+Z$14*(1-ropt^3)),0)</f>
        <v>2251738.22343177</v>
      </c>
      <c r="AF61" s="152" t="n">
        <v>6</v>
      </c>
      <c r="AG61" s="121" t="n">
        <f aca="false">AG$67+(AF61/10)*(AG$57-AG$67)</f>
        <v>51899.936</v>
      </c>
      <c r="AH61" s="153" t="n">
        <f aca="false">L0+R0-KK_3</f>
        <v>1600.064</v>
      </c>
      <c r="AI61" s="144" t="n">
        <f aca="false">-(alph^2)-2*S_3*Ldif</f>
        <v>-625003200.128</v>
      </c>
      <c r="AJ61" s="144" t="n">
        <f aca="false">S_3^2</f>
        <v>2560204.804096</v>
      </c>
      <c r="AK61" s="154" t="n">
        <f aca="false">(-b_3-SQRT(b_3^2-4*a_3*c_3))/(2*a_3)</f>
        <v>0.00409632921218872</v>
      </c>
      <c r="AL61" s="145" t="n">
        <f aca="false">1-(KK_3-L0)/R0</f>
        <v>0.457161142857143</v>
      </c>
      <c r="AM61" s="145" t="n">
        <f aca="false">1-beta*(1-f_3)</f>
        <v>1</v>
      </c>
      <c r="AN61" s="155" t="n">
        <f aca="false">f_3*j_3</f>
        <v>0.457161142857143</v>
      </c>
      <c r="AO61" s="155" t="n">
        <f aca="false">f_3*k_3+j_3*g_3</f>
        <v>-7.14285714285714</v>
      </c>
      <c r="AP61" s="155" t="n">
        <f aca="false">g_3*k_3+j_3*h_3+f_3*l_3</f>
        <v>-0.000285714285714286</v>
      </c>
      <c r="AQ61" s="155" t="n">
        <f aca="false">g_3*l_3*h_3*k_3</f>
        <v>0</v>
      </c>
      <c r="AR61" s="155" t="n">
        <f aca="false">h_3*l_3</f>
        <v>0</v>
      </c>
      <c r="AS61" s="156" t="n">
        <f aca="false">M0*D0_3*(m_3+(n_3*D0_3^0.5)/1.5+p_3*D0_3/2+(q_3*D0_3^1.5)/2.5+(r_3*D0_3^2)/3)</f>
        <v>6.2422488510357</v>
      </c>
      <c r="AT61" s="157" t="n">
        <f aca="false">IF(AND(AS61&lt;F,F&lt;AS62),AG61,0)</f>
        <v>0</v>
      </c>
      <c r="AU61" s="157" t="n">
        <f aca="false">IF(AND(AS60&lt;F,F&lt;AS61),AG61,0)</f>
        <v>51899.936</v>
      </c>
    </row>
    <row r="62" customFormat="false" ht="12.75" hidden="false" customHeight="false" outlineLevel="0" collapsed="false">
      <c r="I62" s="120" t="n">
        <v>7</v>
      </c>
      <c r="J62" s="121" t="n">
        <f aca="false">J$69+(I62/10)*(J$59-J$69)</f>
        <v>51917.4367</v>
      </c>
      <c r="K62" s="64" t="n">
        <f aca="false">L0+R0g-KK</f>
        <v>1582.56329999999</v>
      </c>
      <c r="L62" s="65" t="n">
        <f aca="false">Ldif^2</f>
        <v>1</v>
      </c>
      <c r="M62" s="65" t="n">
        <f aca="false">-(alph^2)-2*S_1*Ldif</f>
        <v>-625003165.1266</v>
      </c>
      <c r="N62" s="65" t="n">
        <f aca="false">S_1^2</f>
        <v>2504506.59850687</v>
      </c>
      <c r="O62" s="122" t="n">
        <f aca="false">(-b_1-SQRT(b_1^2-4*a_1*c_1))/(2*a_1)</f>
        <v>0.00400722026824951</v>
      </c>
      <c r="P62" s="123" t="n">
        <f aca="false">L0-KK+(P0-Pcap)/g</f>
        <v>-33417.0867</v>
      </c>
      <c r="Q62" s="65" t="n">
        <f aca="false">-(alph^2)-2*S_2*Ldif</f>
        <v>-624933165.8266</v>
      </c>
      <c r="R62" s="65" t="n">
        <f aca="false">S_2^2</f>
        <v>1116701683.51532</v>
      </c>
      <c r="S62" s="122" t="n">
        <f aca="false">IF(S_2&lt;0,0,(-b_2-SQRT(b_2^2-4*a_1*c_2))/(2*a_1))</f>
        <v>0</v>
      </c>
      <c r="T62" s="66" t="n">
        <f aca="false">Pcap*DDc+(P0+g*(L0-KK))*(DDg-DDc)-g*((DDg^2-DDc^2)*Ldif/2+alph*(DDg^1.5-DDc^1.5)/1.5)</f>
        <v>6.03965740676032</v>
      </c>
      <c r="U62" s="161" t="n">
        <f aca="false">IF(AND(T62&gt;F,T61&lt;F),J62,0)</f>
        <v>0</v>
      </c>
      <c r="V62" s="161" t="n">
        <f aca="false">IF(AND(T62&lt;F,T63&gt;F),J62,0)</f>
        <v>0</v>
      </c>
      <c r="W62" s="159"/>
      <c r="X62" s="102" t="n">
        <v>957</v>
      </c>
      <c r="Y62" s="124" t="n">
        <f aca="false">Y61+Y$16</f>
        <v>0.000171554386615753</v>
      </c>
      <c r="Z62" s="115" t="n">
        <f aca="false">(K-(L0-Y62*Ldif-alph*Y62^0.5))/R0</f>
        <v>0.642387203093144</v>
      </c>
      <c r="AA62" s="113" t="n">
        <f aca="false">IF(Z62&lt;1,X$14*((1-r_1)-Y$14*(1-r_1^2)+Z$14*(1-r_1^3)),0)</f>
        <v>2238020.96895202</v>
      </c>
      <c r="AB62" s="97" t="n">
        <f aca="false">AB61+AB$15</f>
        <v>0.000171554386615753</v>
      </c>
      <c r="AC62" s="115" t="n">
        <f aca="false">(Kopt-(L0-AB62*Ldif-alph*AB62^0.5))/R0</f>
        <v>0.642387203093144</v>
      </c>
      <c r="AD62" s="113" t="n">
        <f aca="false">IF(AC62&lt;1,X$14*((1-ropt)-Y$14*(1-ropt^2)+Z$14*(1-ropt^3)),0)</f>
        <v>2238020.96895202</v>
      </c>
      <c r="AF62" s="152" t="n">
        <v>5</v>
      </c>
      <c r="AG62" s="121" t="n">
        <f aca="false">AG$67+(AF62/10)*(AG$57-AG$67)</f>
        <v>51874.935</v>
      </c>
      <c r="AH62" s="153" t="n">
        <f aca="false">L0+R0-KK_3</f>
        <v>1625.065</v>
      </c>
      <c r="AI62" s="144" t="n">
        <f aca="false">-(alph^2)-2*S_3*Ldif</f>
        <v>-625003250.13</v>
      </c>
      <c r="AJ62" s="144" t="n">
        <f aca="false">S_3^2</f>
        <v>2640836.25422501</v>
      </c>
      <c r="AK62" s="154" t="n">
        <f aca="false">(-b_3-SQRT(b_3^2-4*a_3*c_3))/(2*a_3)</f>
        <v>0.00422531366348267</v>
      </c>
      <c r="AL62" s="145" t="n">
        <f aca="false">1-(KK_3-L0)/R0</f>
        <v>0.464304285714287</v>
      </c>
      <c r="AM62" s="145" t="n">
        <f aca="false">1-beta*(1-f_3)</f>
        <v>1</v>
      </c>
      <c r="AN62" s="155" t="n">
        <f aca="false">f_3*j_3</f>
        <v>0.464304285714287</v>
      </c>
      <c r="AO62" s="155" t="n">
        <f aca="false">f_3*k_3+j_3*g_3</f>
        <v>-7.14285714285714</v>
      </c>
      <c r="AP62" s="155" t="n">
        <f aca="false">g_3*k_3+j_3*h_3+f_3*l_3</f>
        <v>-0.000285714285714286</v>
      </c>
      <c r="AQ62" s="155" t="n">
        <f aca="false">g_3*l_3*h_3*k_3</f>
        <v>0</v>
      </c>
      <c r="AR62" s="155" t="n">
        <f aca="false">h_3*l_3</f>
        <v>0</v>
      </c>
      <c r="AS62" s="156" t="n">
        <f aca="false">M0*D0_3*(m_3+(n_3*D0_3^0.5)/1.5+p_3*D0_3/2+(q_3*D0_3^1.5)/2.5+(r_3*D0_3^2)/3)</f>
        <v>6.53944964559163</v>
      </c>
      <c r="AT62" s="157" t="n">
        <f aca="false">IF(AND(AS62&lt;F,F&lt;AS63),AG62,0)</f>
        <v>0</v>
      </c>
      <c r="AU62" s="157" t="n">
        <f aca="false">IF(AND(AS61&lt;F,F&lt;AS62),AG62,0)</f>
        <v>0</v>
      </c>
    </row>
    <row r="63" customFormat="false" ht="12.75" hidden="false" customHeight="false" outlineLevel="0" collapsed="false">
      <c r="I63" s="120" t="n">
        <v>6</v>
      </c>
      <c r="J63" s="121" t="n">
        <f aca="false">J$69+(I63/10)*(J$59-J$69)</f>
        <v>51914.9366</v>
      </c>
      <c r="K63" s="64" t="n">
        <f aca="false">L0+R0g-KK</f>
        <v>1585.0634</v>
      </c>
      <c r="L63" s="65" t="n">
        <f aca="false">Ldif^2</f>
        <v>1</v>
      </c>
      <c r="M63" s="65" t="n">
        <f aca="false">-(alph^2)-2*S_1*Ldif</f>
        <v>-625003170.1268</v>
      </c>
      <c r="N63" s="65" t="n">
        <f aca="false">S_1^2</f>
        <v>2512425.98201956</v>
      </c>
      <c r="O63" s="122" t="n">
        <f aca="false">(-b_1-SQRT(b_1^2-4*a_1*c_1))/(2*a_1)</f>
        <v>0.00401985645294189</v>
      </c>
      <c r="P63" s="123" t="n">
        <f aca="false">L0-KK+(P0-Pcap)/g</f>
        <v>-33414.5866</v>
      </c>
      <c r="Q63" s="65" t="n">
        <f aca="false">-(alph^2)-2*S_2*Ldif</f>
        <v>-624933170.8268</v>
      </c>
      <c r="R63" s="65" t="n">
        <f aca="false">S_2^2</f>
        <v>1116534597.6489</v>
      </c>
      <c r="S63" s="122" t="n">
        <f aca="false">IF(S_2&lt;0,0,(-b_2-SQRT(b_2^2-4*a_1*c_2))/(2*a_1))</f>
        <v>0</v>
      </c>
      <c r="T63" s="66" t="n">
        <f aca="false">Pcap*DDc+(P0+g*(L0-KK))*(DDg-DDc)-g*((DDg^2-DDc^2)*Ldif/2+alph*(DDg^1.5-DDc^1.5)/1.5)</f>
        <v>6.06832658270264</v>
      </c>
      <c r="U63" s="161" t="n">
        <f aca="false">IF(AND(T63&gt;F,T62&lt;F),J63,0)</f>
        <v>0</v>
      </c>
      <c r="V63" s="161" t="n">
        <f aca="false">IF(AND(T63&lt;F,T64&gt;F),J63,0)</f>
        <v>0</v>
      </c>
      <c r="W63" s="159"/>
      <c r="X63" s="102" t="n">
        <v>956</v>
      </c>
      <c r="Y63" s="124" t="n">
        <f aca="false">Y62+Y$16</f>
        <v>0.000175544023513794</v>
      </c>
      <c r="Z63" s="115" t="n">
        <f aca="false">(K-(L0-Y63*Ldif-alph*Y63^0.5))/R0</f>
        <v>0.643468815490273</v>
      </c>
      <c r="AA63" s="113" t="n">
        <f aca="false">IF(Z63&lt;1,X$14*((1-r_1)-Y$14*(1-r_1^2)+Z$14*(1-r_1^3)),0)</f>
        <v>2224503.49673841</v>
      </c>
      <c r="AB63" s="97" t="n">
        <f aca="false">AB62+AB$15</f>
        <v>0.000175544023513794</v>
      </c>
      <c r="AC63" s="115" t="n">
        <f aca="false">(Kopt-(L0-AB63*Ldif-alph*AB63^0.5))/R0</f>
        <v>0.643468815490273</v>
      </c>
      <c r="AD63" s="113" t="n">
        <f aca="false">IF(AC63&lt;1,X$14*((1-ropt)-Y$14*(1-ropt^2)+Z$14*(1-ropt^3)),0)</f>
        <v>2224503.49673841</v>
      </c>
      <c r="AF63" s="152" t="n">
        <v>4</v>
      </c>
      <c r="AG63" s="121" t="n">
        <f aca="false">AG$67+(AF63/10)*(AG$57-AG$67)</f>
        <v>51849.934</v>
      </c>
      <c r="AH63" s="153" t="n">
        <f aca="false">L0+R0-KK_3</f>
        <v>1650.066</v>
      </c>
      <c r="AI63" s="144" t="n">
        <f aca="false">-(alph^2)-2*S_3*Ldif</f>
        <v>-625003300.132</v>
      </c>
      <c r="AJ63" s="144" t="n">
        <f aca="false">S_3^2</f>
        <v>2722717.804356</v>
      </c>
      <c r="AK63" s="154" t="n">
        <f aca="false">(-b_3-SQRT(b_3^2-4*a_3*c_3))/(2*a_3)</f>
        <v>0.00435632467269898</v>
      </c>
      <c r="AL63" s="145" t="n">
        <f aca="false">1-(KK_3-L0)/R0</f>
        <v>0.471447428571428</v>
      </c>
      <c r="AM63" s="145" t="n">
        <f aca="false">1-beta*(1-f_3)</f>
        <v>1</v>
      </c>
      <c r="AN63" s="155" t="n">
        <f aca="false">f_3*j_3</f>
        <v>0.471447428571428</v>
      </c>
      <c r="AO63" s="155" t="n">
        <f aca="false">f_3*k_3+j_3*g_3</f>
        <v>-7.14285714285714</v>
      </c>
      <c r="AP63" s="155" t="n">
        <f aca="false">g_3*k_3+j_3*h_3+f_3*l_3</f>
        <v>-0.000285714285714286</v>
      </c>
      <c r="AQ63" s="155" t="n">
        <f aca="false">g_3*l_3*h_3*k_3</f>
        <v>0</v>
      </c>
      <c r="AR63" s="155" t="n">
        <f aca="false">h_3*l_3</f>
        <v>0</v>
      </c>
      <c r="AS63" s="156" t="n">
        <f aca="false">M0*D0_3*(m_3+(n_3*D0_3^0.5)/1.5+p_3*D0_3/2+(q_3*D0_3^1.5)/2.5+(r_3*D0_3^2)/3)</f>
        <v>6.84593719618274</v>
      </c>
      <c r="AT63" s="157" t="n">
        <f aca="false">IF(AND(AS63&lt;F,F&lt;AS64),AG63,0)</f>
        <v>0</v>
      </c>
      <c r="AU63" s="157" t="n">
        <f aca="false">IF(AND(AS62&lt;F,F&lt;AS63),AG63,0)</f>
        <v>0</v>
      </c>
    </row>
    <row r="64" customFormat="false" ht="12.75" hidden="false" customHeight="false" outlineLevel="0" collapsed="false">
      <c r="I64" s="120" t="n">
        <v>5</v>
      </c>
      <c r="J64" s="121" t="n">
        <f aca="false">J$69+(I64/10)*(J$59-J$69)</f>
        <v>51912.4365</v>
      </c>
      <c r="K64" s="64" t="n">
        <f aca="false">L0+R0g-KK</f>
        <v>1587.5635</v>
      </c>
      <c r="L64" s="65" t="n">
        <f aca="false">Ldif^2</f>
        <v>1</v>
      </c>
      <c r="M64" s="65" t="n">
        <f aca="false">-(alph^2)-2*S_1*Ldif</f>
        <v>-625003175.127</v>
      </c>
      <c r="N64" s="65" t="n">
        <f aca="false">S_1^2</f>
        <v>2520357.86653224</v>
      </c>
      <c r="O64" s="122" t="n">
        <f aca="false">(-b_1-SQRT(b_1^2-4*a_1*c_1))/(2*a_1)</f>
        <v>0.00403255224227905</v>
      </c>
      <c r="P64" s="123" t="n">
        <f aca="false">L0-KK+(P0-Pcap)/g</f>
        <v>-33412.0865</v>
      </c>
      <c r="Q64" s="65" t="n">
        <f aca="false">-(alph^2)-2*S_2*Ldif</f>
        <v>-624933175.827</v>
      </c>
      <c r="R64" s="65" t="n">
        <f aca="false">S_2^2</f>
        <v>1116367524.28348</v>
      </c>
      <c r="S64" s="122" t="n">
        <f aca="false">IF(S_2&lt;0,0,(-b_2-SQRT(b_2^2-4*a_1*c_2))/(2*a_1))</f>
        <v>0</v>
      </c>
      <c r="T64" s="66" t="n">
        <f aca="false">Pcap*DDc+(P0+g*(L0-KK))*(DDg-DDc)-g*((DDg^2-DDc^2)*Ldif/2+alph*(DDg^1.5-DDc^1.5)/1.5)</f>
        <v>6.09708634001194</v>
      </c>
      <c r="U64" s="161" t="n">
        <f aca="false">IF(AND(T64&gt;F,T63&lt;F),J64,0)</f>
        <v>0</v>
      </c>
      <c r="V64" s="161" t="n">
        <f aca="false">IF(AND(T64&lt;F,T65&gt;F),J64,0)</f>
        <v>0</v>
      </c>
      <c r="W64" s="159"/>
      <c r="X64" s="102" t="n">
        <v>955</v>
      </c>
      <c r="Y64" s="124" t="n">
        <f aca="false">Y63+Y$16</f>
        <v>0.000179533660411835</v>
      </c>
      <c r="Z64" s="115" t="n">
        <f aca="false">(K-(L0-Y64*Ldif-alph*Y64^0.5))/R0</f>
        <v>0.644538205114031</v>
      </c>
      <c r="AA64" s="113" t="n">
        <f aca="false">IF(Z64&lt;1,X$14*((1-r_1)-Y$14*(1-r_1^2)+Z$14*(1-r_1^3)),0)</f>
        <v>2211179.03341221</v>
      </c>
      <c r="AB64" s="97" t="n">
        <f aca="false">AB63+AB$15</f>
        <v>0.000179533660411835</v>
      </c>
      <c r="AC64" s="115" t="n">
        <f aca="false">(Kopt-(L0-AB64*Ldif-alph*AB64^0.5))/R0</f>
        <v>0.644538205114031</v>
      </c>
      <c r="AD64" s="113" t="n">
        <f aca="false">IF(AC64&lt;1,X$14*((1-ropt)-Y$14*(1-ropt^2)+Z$14*(1-ropt^3)),0)</f>
        <v>2211179.03341221</v>
      </c>
      <c r="AF64" s="152" t="n">
        <v>3</v>
      </c>
      <c r="AG64" s="121" t="n">
        <f aca="false">AG$67+(AF64/10)*(AG$57-AG$67)</f>
        <v>51824.933</v>
      </c>
      <c r="AH64" s="153" t="n">
        <f aca="false">L0+R0-KK_3</f>
        <v>1675.067</v>
      </c>
      <c r="AI64" s="144" t="n">
        <f aca="false">-(alph^2)-2*S_3*Ldif</f>
        <v>-625003350.134</v>
      </c>
      <c r="AJ64" s="144" t="n">
        <f aca="false">S_3^2</f>
        <v>2805849.45448899</v>
      </c>
      <c r="AK64" s="154" t="n">
        <f aca="false">(-b_3-SQRT(b_3^2-4*a_3*c_3))/(2*a_3)</f>
        <v>0.00448936223983765</v>
      </c>
      <c r="AL64" s="145" t="n">
        <f aca="false">1-(KK_3-L0)/R0</f>
        <v>0.47859057142857</v>
      </c>
      <c r="AM64" s="145" t="n">
        <f aca="false">1-beta*(1-f_3)</f>
        <v>1</v>
      </c>
      <c r="AN64" s="155" t="n">
        <f aca="false">f_3*j_3</f>
        <v>0.47859057142857</v>
      </c>
      <c r="AO64" s="155" t="n">
        <f aca="false">f_3*k_3+j_3*g_3</f>
        <v>-7.14285714285714</v>
      </c>
      <c r="AP64" s="155" t="n">
        <f aca="false">g_3*k_3+j_3*h_3+f_3*l_3</f>
        <v>-0.000285714285714286</v>
      </c>
      <c r="AQ64" s="155" t="n">
        <f aca="false">g_3*l_3*h_3*k_3</f>
        <v>0</v>
      </c>
      <c r="AR64" s="155" t="n">
        <f aca="false">h_3*l_3</f>
        <v>0</v>
      </c>
      <c r="AS64" s="156" t="n">
        <f aca="false">M0*D0_3*(m_3+(n_3*D0_3^0.5)/1.5+p_3*D0_3/2+(q_3*D0_3^1.5)/2.5+(r_3*D0_3^2)/3)</f>
        <v>7.1618543747898</v>
      </c>
      <c r="AT64" s="157" t="n">
        <f aca="false">IF(AND(AS64&lt;F,F&lt;AS65),AG64,0)</f>
        <v>0</v>
      </c>
      <c r="AU64" s="157" t="n">
        <f aca="false">IF(AND(AS63&lt;F,F&lt;AS64),AG64,0)</f>
        <v>0</v>
      </c>
    </row>
    <row r="65" customFormat="false" ht="12.75" hidden="false" customHeight="false" outlineLevel="0" collapsed="false">
      <c r="I65" s="120" t="n">
        <v>4</v>
      </c>
      <c r="J65" s="121" t="n">
        <f aca="false">J$69+(I65/10)*(J$59-J$69)</f>
        <v>51909.9364</v>
      </c>
      <c r="K65" s="64" t="n">
        <f aca="false">L0+R0g-KK</f>
        <v>1590.06359999999</v>
      </c>
      <c r="L65" s="65" t="n">
        <f aca="false">Ldif^2</f>
        <v>1</v>
      </c>
      <c r="M65" s="65" t="n">
        <f aca="false">-(alph^2)-2*S_1*Ldif</f>
        <v>-625003180.1272</v>
      </c>
      <c r="N65" s="65" t="n">
        <f aca="false">S_1^2</f>
        <v>2528302.25204494</v>
      </c>
      <c r="O65" s="122" t="n">
        <f aca="false">(-b_1-SQRT(b_1^2-4*a_1*c_1))/(2*a_1)</f>
        <v>0.00404524803161621</v>
      </c>
      <c r="P65" s="123" t="n">
        <f aca="false">L0-KK+(P0-Pcap)/g</f>
        <v>-33409.5864</v>
      </c>
      <c r="Q65" s="65" t="n">
        <f aca="false">-(alph^2)-2*S_2*Ldif</f>
        <v>-624933180.8272</v>
      </c>
      <c r="R65" s="65" t="n">
        <f aca="false">S_2^2</f>
        <v>1116200463.41907</v>
      </c>
      <c r="S65" s="122" t="n">
        <f aca="false">IF(S_2&lt;0,0,(-b_2-SQRT(b_2^2-4*a_1*c_2))/(2*a_1))</f>
        <v>0</v>
      </c>
      <c r="T65" s="66" t="n">
        <f aca="false">Pcap*DDc+(P0+g*(L0-KK))*(DDg-DDc)-g*((DDg^2-DDc^2)*Ldif/2+alph*(DDg^1.5-DDc^1.5)/1.5)</f>
        <v>6.12593682173238</v>
      </c>
      <c r="U65" s="161" t="n">
        <f aca="false">IF(AND(T65&gt;F,T64&lt;F),J65,0)</f>
        <v>0</v>
      </c>
      <c r="V65" s="161" t="n">
        <f aca="false">IF(AND(T65&lt;F,T66&gt;F),J65,0)</f>
        <v>0</v>
      </c>
      <c r="W65" s="159"/>
      <c r="X65" s="102" t="n">
        <v>954</v>
      </c>
      <c r="Y65" s="124" t="n">
        <f aca="false">Y64+Y$16</f>
        <v>0.000183523297309875</v>
      </c>
      <c r="Z65" s="115" t="n">
        <f aca="false">(K-(L0-Y65*Ldif-alph*Y65^0.5))/R0</f>
        <v>0.64559577720214</v>
      </c>
      <c r="AA65" s="113" t="n">
        <f aca="false">IF(Z65&lt;1,X$14*((1-r_1)-Y$14*(1-r_1^2)+Z$14*(1-r_1^3)),0)</f>
        <v>2198041.17989672</v>
      </c>
      <c r="AB65" s="97" t="n">
        <f aca="false">AB64+AB$15</f>
        <v>0.000183523297309875</v>
      </c>
      <c r="AC65" s="115" t="n">
        <f aca="false">(Kopt-(L0-AB65*Ldif-alph*AB65^0.5))/R0</f>
        <v>0.64559577720214</v>
      </c>
      <c r="AD65" s="113" t="n">
        <f aca="false">IF(AC65&lt;1,X$14*((1-ropt)-Y$14*(1-ropt^2)+Z$14*(1-ropt^3)),0)</f>
        <v>2198041.17989672</v>
      </c>
      <c r="AF65" s="152" t="n">
        <v>2</v>
      </c>
      <c r="AG65" s="121" t="n">
        <f aca="false">AG$67+(AF65/10)*(AG$57-AG$67)</f>
        <v>51799.932</v>
      </c>
      <c r="AH65" s="153" t="n">
        <f aca="false">L0+R0-KK_3</f>
        <v>1700.068</v>
      </c>
      <c r="AI65" s="144" t="n">
        <f aca="false">-(alph^2)-2*S_3*Ldif</f>
        <v>-625003400.136</v>
      </c>
      <c r="AJ65" s="144" t="n">
        <f aca="false">S_3^2</f>
        <v>2890231.204624</v>
      </c>
      <c r="AK65" s="154" t="n">
        <f aca="false">(-b_3-SQRT(b_3^2-4*a_3*c_3))/(2*a_3)</f>
        <v>0.00462436676025391</v>
      </c>
      <c r="AL65" s="145" t="n">
        <f aca="false">1-(KK_3-L0)/R0</f>
        <v>0.485733714285714</v>
      </c>
      <c r="AM65" s="145" t="n">
        <f aca="false">1-beta*(1-f_3)</f>
        <v>1</v>
      </c>
      <c r="AN65" s="155" t="n">
        <f aca="false">f_3*j_3</f>
        <v>0.485733714285714</v>
      </c>
      <c r="AO65" s="155" t="n">
        <f aca="false">f_3*k_3+j_3*g_3</f>
        <v>-7.14285714285714</v>
      </c>
      <c r="AP65" s="155" t="n">
        <f aca="false">g_3*k_3+j_3*h_3+f_3*l_3</f>
        <v>-0.000285714285714286</v>
      </c>
      <c r="AQ65" s="155" t="n">
        <f aca="false">g_3*l_3*h_3*k_3</f>
        <v>0</v>
      </c>
      <c r="AR65" s="155" t="n">
        <f aca="false">h_3*l_3</f>
        <v>0</v>
      </c>
      <c r="AS65" s="156" t="n">
        <f aca="false">M0*D0_3*(m_3+(n_3*D0_3^0.5)/1.5+p_3*D0_3/2+(q_3*D0_3^1.5)/2.5+(r_3*D0_3^2)/3)</f>
        <v>7.48734405388349</v>
      </c>
      <c r="AT65" s="157" t="n">
        <f aca="false">IF(AND(AS65&lt;F,F&lt;AS66),AG65,0)</f>
        <v>0</v>
      </c>
      <c r="AU65" s="157" t="n">
        <f aca="false">IF(AND(AS64&lt;F,F&lt;AS65),AG65,0)</f>
        <v>0</v>
      </c>
    </row>
    <row r="66" customFormat="false" ht="12.75" hidden="false" customHeight="false" outlineLevel="0" collapsed="false">
      <c r="I66" s="120" t="n">
        <v>3</v>
      </c>
      <c r="J66" s="121" t="n">
        <f aca="false">J$69+(I66/10)*(J$59-J$69)</f>
        <v>51907.4363</v>
      </c>
      <c r="K66" s="64" t="n">
        <f aca="false">L0+R0g-KK</f>
        <v>1592.5637</v>
      </c>
      <c r="L66" s="65" t="n">
        <f aca="false">Ldif^2</f>
        <v>1</v>
      </c>
      <c r="M66" s="65" t="n">
        <f aca="false">-(alph^2)-2*S_1*Ldif</f>
        <v>-625003185.1274</v>
      </c>
      <c r="N66" s="65" t="n">
        <f aca="false">S_1^2</f>
        <v>2536259.13855769</v>
      </c>
      <c r="O66" s="122" t="n">
        <f aca="false">(-b_1-SQRT(b_1^2-4*a_1*c_1))/(2*a_1)</f>
        <v>0.00405800342559814</v>
      </c>
      <c r="P66" s="123" t="n">
        <f aca="false">L0-KK+(P0-Pcap)/g</f>
        <v>-33407.0863</v>
      </c>
      <c r="Q66" s="65" t="n">
        <f aca="false">-(alph^2)-2*S_2*Ldif</f>
        <v>-624933185.8274</v>
      </c>
      <c r="R66" s="65" t="n">
        <f aca="false">S_2^2</f>
        <v>1116033415.05565</v>
      </c>
      <c r="S66" s="122" t="n">
        <f aca="false">IF(S_2&lt;0,0,(-b_2-SQRT(b_2^2-4*a_1*c_2))/(2*a_1))</f>
        <v>0</v>
      </c>
      <c r="T66" s="66" t="n">
        <f aca="false">Pcap*DDc+(P0+g*(L0-KK))*(DDg-DDc)-g*((DDg^2-DDc^2)*Ldif/2+alph*(DDg^1.5-DDc^1.5)/1.5)</f>
        <v>6.15487817090646</v>
      </c>
      <c r="U66" s="161" t="n">
        <f aca="false">IF(AND(T66&gt;F,T65&lt;F),J66,0)</f>
        <v>0</v>
      </c>
      <c r="V66" s="161" t="n">
        <f aca="false">IF(AND(T66&lt;F,T67&gt;F),J66,0)</f>
        <v>0</v>
      </c>
      <c r="W66" s="159"/>
      <c r="X66" s="102" t="n">
        <v>953</v>
      </c>
      <c r="Y66" s="124" t="n">
        <f aca="false">Y65+Y$16</f>
        <v>0.000187512934207916</v>
      </c>
      <c r="Z66" s="115" t="n">
        <f aca="false">(K-(L0-Y66*Ldif-alph*Y66^0.5))/R0</f>
        <v>0.646641915082963</v>
      </c>
      <c r="AA66" s="113" t="n">
        <f aca="false">IF(Z66&lt;1,X$14*((1-r_1)-Y$14*(1-r_1^2)+Z$14*(1-r_1^3)),0)</f>
        <v>2185083.88308413</v>
      </c>
      <c r="AB66" s="97" t="n">
        <f aca="false">AB65+AB$15</f>
        <v>0.000187512934207916</v>
      </c>
      <c r="AC66" s="115" t="n">
        <f aca="false">(Kopt-(L0-AB66*Ldif-alph*AB66^0.5))/R0</f>
        <v>0.646641915082963</v>
      </c>
      <c r="AD66" s="113" t="n">
        <f aca="false">IF(AC66&lt;1,X$14*((1-ropt)-Y$14*(1-ropt^2)+Z$14*(1-ropt^3)),0)</f>
        <v>2185083.88308413</v>
      </c>
      <c r="AF66" s="152" t="n">
        <v>1</v>
      </c>
      <c r="AG66" s="121" t="n">
        <f aca="false">AG$67+(AF66/10)*(AG$57-AG$67)</f>
        <v>51774.931</v>
      </c>
      <c r="AH66" s="153" t="n">
        <f aca="false">L0+R0-KK_3</f>
        <v>1725.069</v>
      </c>
      <c r="AI66" s="144" t="n">
        <f aca="false">-(alph^2)-2*S_3*Ldif</f>
        <v>-625003450.138</v>
      </c>
      <c r="AJ66" s="144" t="n">
        <f aca="false">S_3^2</f>
        <v>2975863.05476101</v>
      </c>
      <c r="AK66" s="154" t="n">
        <f aca="false">(-b_3-SQRT(b_3^2-4*a_3*c_3))/(2*a_3)</f>
        <v>0.00476133823394775</v>
      </c>
      <c r="AL66" s="145" t="n">
        <f aca="false">1-(KK_3-L0)/R0</f>
        <v>0.492876857142858</v>
      </c>
      <c r="AM66" s="145" t="n">
        <f aca="false">1-beta*(1-f_3)</f>
        <v>1</v>
      </c>
      <c r="AN66" s="155" t="n">
        <f aca="false">f_3*j_3</f>
        <v>0.492876857142858</v>
      </c>
      <c r="AO66" s="155" t="n">
        <f aca="false">f_3*k_3+j_3*g_3</f>
        <v>-7.14285714285714</v>
      </c>
      <c r="AP66" s="155" t="n">
        <f aca="false">g_3*k_3+j_3*h_3+f_3*l_3</f>
        <v>-0.000285714285714286</v>
      </c>
      <c r="AQ66" s="155" t="n">
        <f aca="false">g_3*l_3*h_3*k_3</f>
        <v>0</v>
      </c>
      <c r="AR66" s="155" t="n">
        <f aca="false">h_3*l_3</f>
        <v>0</v>
      </c>
      <c r="AS66" s="156" t="n">
        <f aca="false">M0*D0_3*(m_3+(n_3*D0_3^0.5)/1.5+p_3*D0_3/2+(q_3*D0_3^1.5)/2.5+(r_3*D0_3^2)/3)</f>
        <v>7.82254910515679</v>
      </c>
      <c r="AT66" s="157" t="n">
        <f aca="false">IF(AND(AS66&lt;F,F&lt;AS67),AG66,0)</f>
        <v>0</v>
      </c>
      <c r="AU66" s="157" t="n">
        <f aca="false">IF(AND(AS65&lt;F,F&lt;AS66),AG66,0)</f>
        <v>0</v>
      </c>
    </row>
    <row r="67" customFormat="false" ht="12.75" hidden="false" customHeight="false" outlineLevel="0" collapsed="false">
      <c r="G67" s="71"/>
      <c r="I67" s="120" t="n">
        <v>2</v>
      </c>
      <c r="J67" s="121" t="n">
        <f aca="false">J$69+(I67/10)*(J$59-J$69)</f>
        <v>51904.9362</v>
      </c>
      <c r="K67" s="64" t="n">
        <f aca="false">L0+R0g-KK</f>
        <v>1595.0638</v>
      </c>
      <c r="L67" s="65" t="n">
        <f aca="false">Ldif^2</f>
        <v>1</v>
      </c>
      <c r="M67" s="65" t="n">
        <f aca="false">-(alph^2)-2*S_1*Ldif</f>
        <v>-625003190.1276</v>
      </c>
      <c r="N67" s="65" t="n">
        <f aca="false">S_1^2</f>
        <v>2544228.52607043</v>
      </c>
      <c r="O67" s="122" t="n">
        <f aca="false">(-b_1-SQRT(b_1^2-4*a_1*c_1))/(2*a_1)</f>
        <v>0.00407075881958008</v>
      </c>
      <c r="P67" s="123" t="n">
        <f aca="false">L0-KK+(P0-Pcap)/g</f>
        <v>-33404.5862</v>
      </c>
      <c r="Q67" s="65" t="n">
        <f aca="false">-(alph^2)-2*S_2*Ldif</f>
        <v>-624933190.8276</v>
      </c>
      <c r="R67" s="65" t="n">
        <f aca="false">S_2^2</f>
        <v>1115866379.19323</v>
      </c>
      <c r="S67" s="122" t="n">
        <f aca="false">IF(S_2&lt;0,0,(-b_2-SQRT(b_2^2-4*a_1*c_2))/(2*a_1))</f>
        <v>0</v>
      </c>
      <c r="T67" s="66" t="n">
        <f aca="false">Pcap*DDc+(P0+g*(L0-KK))*(DDg-DDc)-g*((DDg^2-DDc^2)*Ldif/2+alph*(DDg^1.5-DDc^1.5)/1.5)</f>
        <v>6.18391053023803</v>
      </c>
      <c r="U67" s="161" t="n">
        <f aca="false">IF(AND(T67&gt;F,T66&lt;F),J67,0)</f>
        <v>0</v>
      </c>
      <c r="V67" s="161" t="n">
        <f aca="false">IF(AND(T67&lt;F,T68&gt;F),J67,0)</f>
        <v>0</v>
      </c>
      <c r="W67" s="159"/>
      <c r="X67" s="102" t="n">
        <v>952</v>
      </c>
      <c r="Y67" s="124" t="n">
        <f aca="false">Y66+Y$16</f>
        <v>0.000191502571105957</v>
      </c>
      <c r="Z67" s="115" t="n">
        <f aca="false">(K-(L0-Y67*Ldif-alph*Y67^0.5))/R0</f>
        <v>0.647676981798862</v>
      </c>
      <c r="AA67" s="113" t="n">
        <f aca="false">IF(Z67&lt;1,X$14*((1-r_1)-Y$14*(1-r_1^2)+Z$14*(1-r_1^3)),0)</f>
        <v>2172301.4102013</v>
      </c>
      <c r="AB67" s="97" t="n">
        <f aca="false">AB66+AB$15</f>
        <v>0.000191502571105957</v>
      </c>
      <c r="AC67" s="115" t="n">
        <f aca="false">(Kopt-(L0-AB67*Ldif-alph*AB67^0.5))/R0</f>
        <v>0.647676981798862</v>
      </c>
      <c r="AD67" s="113" t="n">
        <f aca="false">IF(AC67&lt;1,X$14*((1-ropt)-Y$14*(1-ropt^2)+Z$14*(1-ropt^3)),0)</f>
        <v>2172301.4102013</v>
      </c>
      <c r="AF67" s="152" t="n">
        <v>0</v>
      </c>
      <c r="AG67" s="121" t="n">
        <f aca="false">AU43</f>
        <v>51749.93</v>
      </c>
      <c r="AH67" s="153" t="n">
        <f aca="false">L0+R0-KK_3</f>
        <v>1750.07</v>
      </c>
      <c r="AI67" s="144" t="n">
        <f aca="false">-(alph^2)-2*S_3*Ldif</f>
        <v>-625003500.14</v>
      </c>
      <c r="AJ67" s="144" t="n">
        <f aca="false">S_3^2</f>
        <v>3062745.0049</v>
      </c>
      <c r="AK67" s="154" t="n">
        <f aca="false">(-b_3-SQRT(b_3^2-4*a_3*c_3))/(2*a_3)</f>
        <v>0.00490039587020874</v>
      </c>
      <c r="AL67" s="145" t="n">
        <f aca="false">1-(KK_3-L0)/R0</f>
        <v>0.50002</v>
      </c>
      <c r="AM67" s="145" t="n">
        <f aca="false">1-beta*(1-f_3)</f>
        <v>1</v>
      </c>
      <c r="AN67" s="155" t="n">
        <f aca="false">f_3*j_3</f>
        <v>0.50002</v>
      </c>
      <c r="AO67" s="155" t="n">
        <f aca="false">f_3*k_3+j_3*g_3</f>
        <v>-7.14285714285714</v>
      </c>
      <c r="AP67" s="155" t="n">
        <f aca="false">g_3*k_3+j_3*h_3+f_3*l_3</f>
        <v>-0.000285714285714286</v>
      </c>
      <c r="AQ67" s="155" t="n">
        <f aca="false">g_3*l_3*h_3*k_3</f>
        <v>0</v>
      </c>
      <c r="AR67" s="155" t="n">
        <f aca="false">h_3*l_3</f>
        <v>0</v>
      </c>
      <c r="AS67" s="156" t="n">
        <f aca="false">M0*D0_3*(m_3+(n_3*D0_3^0.5)/1.5+p_3*D0_3/2+(q_3*D0_3^1.5)/2.5+(r_3*D0_3^2)/3)</f>
        <v>8.16761240032098</v>
      </c>
      <c r="AT67" s="157"/>
      <c r="AU67" s="157" t="n">
        <f aca="false">IF(AND(AS66&lt;F,F&lt;AS67),AG67,0)</f>
        <v>0</v>
      </c>
    </row>
    <row r="68" customFormat="false" ht="12.75" hidden="false" customHeight="false" outlineLevel="0" collapsed="false">
      <c r="G68" s="71"/>
      <c r="I68" s="120" t="n">
        <v>1</v>
      </c>
      <c r="J68" s="121" t="n">
        <f aca="false">J$69+(I68/10)*(J$59-J$69)</f>
        <v>51902.4361</v>
      </c>
      <c r="K68" s="64" t="n">
        <f aca="false">L0+R0g-KK</f>
        <v>1597.5639</v>
      </c>
      <c r="L68" s="65" t="n">
        <f aca="false">Ldif^2</f>
        <v>1</v>
      </c>
      <c r="M68" s="65" t="n">
        <f aca="false">-(alph^2)-2*S_1*Ldif</f>
        <v>-625003195.1278</v>
      </c>
      <c r="N68" s="65" t="n">
        <f aca="false">S_1^2</f>
        <v>2552210.41458321</v>
      </c>
      <c r="O68" s="122" t="n">
        <f aca="false">(-b_1-SQRT(b_1^2-4*a_1*c_1))/(2*a_1)</f>
        <v>0.00408351421356201</v>
      </c>
      <c r="P68" s="123" t="n">
        <f aca="false">L0-KK+(P0-Pcap)/g</f>
        <v>-33402.0861</v>
      </c>
      <c r="Q68" s="65" t="n">
        <f aca="false">-(alph^2)-2*S_2*Ldif</f>
        <v>-624933195.8278</v>
      </c>
      <c r="R68" s="65" t="n">
        <f aca="false">S_2^2</f>
        <v>1115699355.83181</v>
      </c>
      <c r="S68" s="122" t="n">
        <f aca="false">IF(S_2&lt;0,0,(-b_2-SQRT(b_2^2-4*a_1*c_2))/(2*a_1))</f>
        <v>0</v>
      </c>
      <c r="T68" s="66" t="n">
        <f aca="false">Pcap*DDc+(P0+g*(L0-KK))*(DDg-DDc)-g*((DDg^2-DDc^2)*Ldif/2+alph*(DDg^1.5-DDc^1.5)/1.5)</f>
        <v>6.21303404274963</v>
      </c>
      <c r="U68" s="161" t="n">
        <f aca="false">IF(AND(T68&gt;F,T67&lt;F),J68,0)</f>
        <v>0</v>
      </c>
      <c r="V68" s="161" t="n">
        <f aca="false">IF(AND(T68&lt;F,T69&gt;F),J68,0)</f>
        <v>0</v>
      </c>
      <c r="W68" s="159"/>
      <c r="X68" s="102" t="n">
        <v>951</v>
      </c>
      <c r="Y68" s="124" t="n">
        <f aca="false">Y67+Y$16</f>
        <v>0.000195492208003998</v>
      </c>
      <c r="Z68" s="115" t="n">
        <f aca="false">(K-(L0-Y68*Ldif-alph*Y68^0.5))/R0</f>
        <v>0.648701321578073</v>
      </c>
      <c r="AA68" s="113" t="n">
        <f aca="false">IF(Z68&lt;1,X$14*((1-r_1)-Y$14*(1-r_1^2)+Z$14*(1-r_1^3)),0)</f>
        <v>2159688.32556737</v>
      </c>
      <c r="AB68" s="97" t="n">
        <f aca="false">AB67+AB$15</f>
        <v>0.000195492208003998</v>
      </c>
      <c r="AC68" s="115" t="n">
        <f aca="false">(Kopt-(L0-AB68*Ldif-alph*AB68^0.5))/R0</f>
        <v>0.648701321578073</v>
      </c>
      <c r="AD68" s="113" t="n">
        <f aca="false">IF(AC68&lt;1,X$14*((1-ropt)-Y$14*(1-ropt^2)+Z$14*(1-ropt^3)),0)</f>
        <v>2159688.32556737</v>
      </c>
    </row>
    <row r="69" customFormat="false" ht="12.75" hidden="false" customHeight="false" outlineLevel="0" collapsed="false">
      <c r="I69" s="120" t="n">
        <v>0</v>
      </c>
      <c r="J69" s="67" t="n">
        <f aca="false">U45</f>
        <v>51899.936</v>
      </c>
      <c r="K69" s="64" t="n">
        <f aca="false">L0+R0g-KK</f>
        <v>1600.064</v>
      </c>
      <c r="L69" s="65" t="n">
        <f aca="false">Ldif^2</f>
        <v>1</v>
      </c>
      <c r="M69" s="65" t="n">
        <f aca="false">-(alph^2)-2*S_1*Ldif</f>
        <v>-625003200.128</v>
      </c>
      <c r="N69" s="65" t="n">
        <f aca="false">S_1^2</f>
        <v>2560204.804096</v>
      </c>
      <c r="O69" s="122" t="n">
        <f aca="false">(-b_1-SQRT(b_1^2-4*a_1*c_1))/(2*a_1)</f>
        <v>0.00409632921218872</v>
      </c>
      <c r="P69" s="123" t="n">
        <f aca="false">L0-KK+(P0-Pcap)/g</f>
        <v>-33399.586</v>
      </c>
      <c r="Q69" s="65" t="n">
        <f aca="false">-(alph^2)-2*S_2*Ldif</f>
        <v>-624933200.828</v>
      </c>
      <c r="R69" s="65" t="n">
        <f aca="false">S_2^2</f>
        <v>1115532344.9714</v>
      </c>
      <c r="S69" s="122" t="n">
        <f aca="false">IF(S_2&lt;0,0,(-b_2-SQRT(b_2^2-4*a_1*c_2))/(2*a_1))</f>
        <v>0</v>
      </c>
      <c r="T69" s="66" t="n">
        <f aca="false">Pcap*DDc+(P0+g*(L0-KK))*(DDg-DDc)-g*((DDg^2-DDc^2)*Ldif/2+alph*(DDg^1.5-DDc^1.5)/1.5)</f>
        <v>6.2422488510357</v>
      </c>
      <c r="U69" s="161" t="n">
        <f aca="false">IF(AND(T69&gt;F,T68&lt;F),J69,0)</f>
        <v>0</v>
      </c>
      <c r="V69" s="161"/>
      <c r="W69" s="159"/>
      <c r="X69" s="102" t="n">
        <v>950</v>
      </c>
      <c r="Y69" s="124" t="n">
        <f aca="false">Y68+Y$16</f>
        <v>0.000199481844902038</v>
      </c>
      <c r="Z69" s="115" t="n">
        <f aca="false">(K-(L0-Y69*Ldif-alph*Y69^0.5))/R0</f>
        <v>0.649715261172094</v>
      </c>
      <c r="AA69" s="113" t="n">
        <f aca="false">IF(Z69&lt;1,X$14*((1-r_1)-Y$14*(1-r_1^2)+Z$14*(1-r_1^3)),0)</f>
        <v>2147239.46947535</v>
      </c>
      <c r="AB69" s="97" t="n">
        <f aca="false">AB68+AB$15</f>
        <v>0.000199481844902038</v>
      </c>
      <c r="AC69" s="115" t="n">
        <f aca="false">(Kopt-(L0-AB69*Ldif-alph*AB69^0.5))/R0</f>
        <v>0.649715261172094</v>
      </c>
      <c r="AD69" s="113" t="n">
        <f aca="false">IF(AC69&lt;1,X$14*((1-ropt)-Y$14*(1-ropt^2)+Z$14*(1-ropt^3)),0)</f>
        <v>2147239.46947535</v>
      </c>
      <c r="AF69" s="55"/>
      <c r="AG69" s="141" t="s">
        <v>221</v>
      </c>
      <c r="AH69" s="142" t="s">
        <v>222</v>
      </c>
      <c r="AI69" s="142" t="s">
        <v>223</v>
      </c>
      <c r="AJ69" s="147" t="s">
        <v>224</v>
      </c>
      <c r="AK69" s="142" t="s">
        <v>225</v>
      </c>
      <c r="AL69" s="142" t="s">
        <v>226</v>
      </c>
      <c r="AM69" s="142" t="s">
        <v>227</v>
      </c>
      <c r="AN69" s="142" t="s">
        <v>228</v>
      </c>
      <c r="AO69" s="142" t="s">
        <v>229</v>
      </c>
      <c r="AP69" s="142" t="s">
        <v>230</v>
      </c>
      <c r="AQ69" s="142" t="s">
        <v>231</v>
      </c>
      <c r="AR69" s="142" t="s">
        <v>232</v>
      </c>
      <c r="AS69" s="55"/>
      <c r="AT69" s="148" t="n">
        <f aca="false">MAX(AT70:AT79)</f>
        <v>51922.4369</v>
      </c>
      <c r="AU69" s="148" t="n">
        <f aca="false">MAX(AU71:AU80)</f>
        <v>51919.9368</v>
      </c>
    </row>
    <row r="70" customFormat="false" ht="12.75" hidden="false" customHeight="false" outlineLevel="0" collapsed="false">
      <c r="W70" s="159"/>
      <c r="X70" s="102" t="n">
        <v>949</v>
      </c>
      <c r="Y70" s="124" t="n">
        <f aca="false">Y69+Y$16</f>
        <v>0.000203471481800079</v>
      </c>
      <c r="Z70" s="115" t="n">
        <f aca="false">(K-(L0-Y70*Ldif-alph*Y70^0.5))/R0</f>
        <v>0.650719111073228</v>
      </c>
      <c r="AA70" s="113" t="n">
        <f aca="false">IF(Z70&lt;1,X$14*((1-r_1)-Y$14*(1-r_1^2)+Z$14*(1-r_1^3)),0)</f>
        <v>2134949.93896583</v>
      </c>
      <c r="AB70" s="97" t="n">
        <f aca="false">AB69+AB$15</f>
        <v>0.000203471481800079</v>
      </c>
      <c r="AC70" s="115" t="n">
        <f aca="false">(Kopt-(L0-AB70*Ldif-alph*AB70^0.5))/R0</f>
        <v>0.650719111073228</v>
      </c>
      <c r="AD70" s="113" t="n">
        <f aca="false">IF(AC70&lt;1,X$14*((1-ropt)-Y$14*(1-ropt^2)+Z$14*(1-ropt^3)),0)</f>
        <v>2134949.93896583</v>
      </c>
      <c r="AF70" s="152" t="n">
        <v>10</v>
      </c>
      <c r="AG70" s="141" t="n">
        <f aca="false">AT56</f>
        <v>51924.937</v>
      </c>
      <c r="AH70" s="153" t="n">
        <f aca="false">L0+R0-KK_3</f>
        <v>1575.06299999999</v>
      </c>
      <c r="AI70" s="144" t="n">
        <f aca="false">-(alph^2)-2*S_3*Ldif</f>
        <v>-625003150.126</v>
      </c>
      <c r="AJ70" s="144" t="n">
        <f aca="false">S_3^2</f>
        <v>2480823.45396898</v>
      </c>
      <c r="AK70" s="154" t="n">
        <f aca="false">(-b_3-SQRT(b_3^2-4*a_3*c_3))/(2*a_3)</f>
        <v>0.00396931171417236</v>
      </c>
      <c r="AL70" s="145" t="n">
        <f aca="false">1-(KK_3-L0)/R0</f>
        <v>0.450017999999999</v>
      </c>
      <c r="AM70" s="145" t="n">
        <f aca="false">1-beta*(1-f_3)</f>
        <v>1</v>
      </c>
      <c r="AN70" s="155" t="n">
        <f aca="false">f_3*j_3</f>
        <v>0.450017999999999</v>
      </c>
      <c r="AO70" s="155" t="n">
        <f aca="false">f_3*k_3+j_3*g_3</f>
        <v>-7.14285714285714</v>
      </c>
      <c r="AP70" s="155" t="n">
        <f aca="false">g_3*k_3+j_3*h_3+f_3*l_3</f>
        <v>-0.000285714285714286</v>
      </c>
      <c r="AQ70" s="155" t="n">
        <f aca="false">g_3*l_3*h_3*k_3</f>
        <v>0</v>
      </c>
      <c r="AR70" s="155" t="n">
        <f aca="false">h_3*l_3</f>
        <v>0</v>
      </c>
      <c r="AS70" s="156" t="n">
        <f aca="false">M0*D0_3*(m_3+(n_3*D0_3^0.5)/1.5+p_3*D0_3/2+(q_3*D0_3^1.5)/2.5+(r_3*D0_3^2)/3)</f>
        <v>5.95419194080258</v>
      </c>
      <c r="AT70" s="157" t="n">
        <f aca="false">IF(AND(AS70&lt;F,F&lt;AS71),AG70,0)</f>
        <v>0</v>
      </c>
      <c r="AU70" s="157"/>
    </row>
    <row r="71" customFormat="false" ht="12.75" hidden="false" customHeight="false" outlineLevel="0" collapsed="false">
      <c r="I71" s="120" t="n">
        <v>10</v>
      </c>
      <c r="J71" s="160" t="n">
        <f aca="false">V58</f>
        <v>51922.4369</v>
      </c>
      <c r="K71" s="64" t="n">
        <f aca="false">L0+R0g-KK</f>
        <v>1577.56309999999</v>
      </c>
      <c r="L71" s="65" t="n">
        <f aca="false">Ldif^2</f>
        <v>1</v>
      </c>
      <c r="M71" s="65" t="n">
        <f aca="false">-(alph^2)-2*S_1*Ldif</f>
        <v>-625003155.1262</v>
      </c>
      <c r="N71" s="65" t="n">
        <f aca="false">S_1^2</f>
        <v>2488705.33448159</v>
      </c>
      <c r="O71" s="122" t="n">
        <f aca="false">(-b_1-SQRT(b_1^2-4*a_1*c_1))/(2*a_1)</f>
        <v>0.00398188829421997</v>
      </c>
      <c r="P71" s="123" t="n">
        <f aca="false">L0-KK+(P0-Pcap)/g</f>
        <v>-33422.0869</v>
      </c>
      <c r="Q71" s="65" t="n">
        <f aca="false">-(alph^2)-2*S_2*Ldif</f>
        <v>-624933155.8262</v>
      </c>
      <c r="R71" s="65" t="n">
        <f aca="false">S_2^2</f>
        <v>1117035892.75115</v>
      </c>
      <c r="S71" s="122" t="n">
        <f aca="false">IF(S_2&lt;0,0,(-b_2-SQRT(b_2^2-4*a_1*c_2))/(2*a_1))</f>
        <v>0</v>
      </c>
      <c r="T71" s="66" t="n">
        <f aca="false">Pcap*DDc+(P0+g*(L0-KK))*(DDg-DDc)-g*((DDg^2-DDc^2)*Ldif/2+alph*(DDg^1.5-DDc^1.5)/1.5)</f>
        <v>5.98259022884697</v>
      </c>
      <c r="W71" s="159"/>
      <c r="X71" s="102" t="n">
        <v>948</v>
      </c>
      <c r="Y71" s="124" t="n">
        <f aca="false">Y70+Y$16</f>
        <v>0.00020746111869812</v>
      </c>
      <c r="Z71" s="115" t="n">
        <f aca="false">(K-(L0-Y71*Ldif-alph*Y71^0.5))/R0</f>
        <v>0.651713166625229</v>
      </c>
      <c r="AA71" s="113" t="n">
        <f aca="false">IF(Z71&lt;1,X$14*((1-r_1)-Y$14*(1-r_1^2)+Z$14*(1-r_1^3)),0)</f>
        <v>2122815.07028895</v>
      </c>
      <c r="AB71" s="97" t="n">
        <f aca="false">AB70+AB$15</f>
        <v>0.00020746111869812</v>
      </c>
      <c r="AC71" s="115" t="n">
        <f aca="false">(Kopt-(L0-AB71*Ldif-alph*AB71^0.5))/R0</f>
        <v>0.651713166625229</v>
      </c>
      <c r="AD71" s="113" t="n">
        <f aca="false">IF(AC71&lt;1,X$14*((1-ropt)-Y$14*(1-ropt^2)+Z$14*(1-ropt^3)),0)</f>
        <v>2122815.07028895</v>
      </c>
      <c r="AF71" s="152" t="n">
        <v>9</v>
      </c>
      <c r="AG71" s="121" t="n">
        <f aca="false">AG$80+(AF71/10)*(AG$70-AG$80)</f>
        <v>51922.4369</v>
      </c>
      <c r="AH71" s="153" t="n">
        <f aca="false">L0+R0-KK_3</f>
        <v>1577.56309999999</v>
      </c>
      <c r="AI71" s="144" t="n">
        <f aca="false">-(alph^2)-2*S_3*Ldif</f>
        <v>-625003155.1262</v>
      </c>
      <c r="AJ71" s="144" t="n">
        <f aca="false">S_3^2</f>
        <v>2488705.33448159</v>
      </c>
      <c r="AK71" s="154" t="n">
        <f aca="false">(-b_3-SQRT(b_3^2-4*a_3*c_3))/(2*a_3)</f>
        <v>0.00398188829421997</v>
      </c>
      <c r="AL71" s="145" t="n">
        <f aca="false">1-(KK_3-L0)/R0</f>
        <v>0.450732314285712</v>
      </c>
      <c r="AM71" s="145" t="n">
        <f aca="false">1-beta*(1-f_3)</f>
        <v>1</v>
      </c>
      <c r="AN71" s="155" t="n">
        <f aca="false">f_3*j_3</f>
        <v>0.450732314285712</v>
      </c>
      <c r="AO71" s="155" t="n">
        <f aca="false">f_3*k_3+j_3*g_3</f>
        <v>-7.14285714285714</v>
      </c>
      <c r="AP71" s="155" t="n">
        <f aca="false">g_3*k_3+j_3*h_3+f_3*l_3</f>
        <v>-0.000285714285714286</v>
      </c>
      <c r="AQ71" s="155" t="n">
        <f aca="false">g_3*l_3*h_3*k_3</f>
        <v>0</v>
      </c>
      <c r="AR71" s="155" t="n">
        <f aca="false">h_3*l_3</f>
        <v>0</v>
      </c>
      <c r="AS71" s="156" t="n">
        <f aca="false">M0*D0_3*(m_3+(n_3*D0_3^0.5)/1.5+p_3*D0_3/2+(q_3*D0_3^1.5)/2.5+(r_3*D0_3^2)/3)</f>
        <v>5.98259022884697</v>
      </c>
      <c r="AT71" s="157" t="n">
        <f aca="false">IF(AND(AS71&lt;F,F&lt;AS72),AG71,0)</f>
        <v>51922.4369</v>
      </c>
      <c r="AU71" s="157" t="n">
        <f aca="false">IF(AND(AS70&lt;F,F&lt;AS71),AG71,0)</f>
        <v>0</v>
      </c>
    </row>
    <row r="72" customFormat="false" ht="12.75" hidden="false" customHeight="false" outlineLevel="0" collapsed="false">
      <c r="I72" s="120" t="n">
        <v>9</v>
      </c>
      <c r="J72" s="160" t="n">
        <f aca="false">J$81+(I72/10)*(J$71-J$81)</f>
        <v>51922.18689</v>
      </c>
      <c r="K72" s="64" t="n">
        <f aca="false">L0+R0g-KK</f>
        <v>1577.81311</v>
      </c>
      <c r="L72" s="65" t="n">
        <f aca="false">Ldif^2</f>
        <v>1</v>
      </c>
      <c r="M72" s="65" t="n">
        <f aca="false">-(alph^2)-2*S_1*Ldif</f>
        <v>-625003155.62622</v>
      </c>
      <c r="N72" s="65" t="n">
        <f aca="false">S_1^2</f>
        <v>2489494.21008786</v>
      </c>
      <c r="O72" s="122" t="n">
        <f aca="false">(-b_1-SQRT(b_1^2-4*a_1*c_1))/(2*a_1)</f>
        <v>0.00398313999176025</v>
      </c>
      <c r="P72" s="123" t="n">
        <f aca="false">L0-KK+(P0-Pcap)/g</f>
        <v>-33421.83689</v>
      </c>
      <c r="Q72" s="65" t="n">
        <f aca="false">-(alph^2)-2*S_2*Ldif</f>
        <v>-624933156.32622</v>
      </c>
      <c r="R72" s="65" t="n">
        <f aca="false">S_2^2</f>
        <v>1117019181.10177</v>
      </c>
      <c r="S72" s="122" t="n">
        <f aca="false">IF(S_2&lt;0,0,(-b_2-SQRT(b_2^2-4*a_1*c_2))/(2*a_1))</f>
        <v>0</v>
      </c>
      <c r="T72" s="66" t="n">
        <f aca="false">Pcap*DDc+(P0+g*(L0-KK))*(DDg-DDc)-g*((DDg^2-DDc^2)*Ldif/2+alph*(DDg^1.5-DDc^1.5)/1.5)</f>
        <v>5.98543501356365</v>
      </c>
      <c r="U72" s="161" t="n">
        <f aca="false">IF(AND(T72&gt;F,T71&lt;F),J72+(J71-J72)*(T72-F)/(T72-T71),0)</f>
        <v>0</v>
      </c>
      <c r="W72" s="159"/>
      <c r="X72" s="102" t="n">
        <v>947</v>
      </c>
      <c r="Y72" s="124" t="n">
        <f aca="false">Y71+Y$16</f>
        <v>0.000211450755596161</v>
      </c>
      <c r="Z72" s="115" t="n">
        <f aca="false">(K-(L0-Y72*Ldif-alph*Y72^0.5))/R0</f>
        <v>0.652697709038253</v>
      </c>
      <c r="AA72" s="113" t="n">
        <f aca="false">IF(Z72&lt;1,X$14*((1-r_1)-Y$14*(1-r_1^2)+Z$14*(1-r_1^3)),0)</f>
        <v>2110830.42287737</v>
      </c>
      <c r="AB72" s="97" t="n">
        <f aca="false">AB71+AB$15</f>
        <v>0.000211450755596161</v>
      </c>
      <c r="AC72" s="115" t="n">
        <f aca="false">(Kopt-(L0-AB72*Ldif-alph*AB72^0.5))/R0</f>
        <v>0.652697709038253</v>
      </c>
      <c r="AD72" s="113" t="n">
        <f aca="false">IF(AC72&lt;1,X$14*((1-ropt)-Y$14*(1-ropt^2)+Z$14*(1-ropt^3)),0)</f>
        <v>2110830.42287737</v>
      </c>
      <c r="AF72" s="152" t="n">
        <v>8</v>
      </c>
      <c r="AG72" s="121" t="n">
        <f aca="false">AG$80+(AF72/10)*(AG$70-AG$80)</f>
        <v>51919.9368</v>
      </c>
      <c r="AH72" s="153" t="n">
        <f aca="false">L0+R0-KK_3</f>
        <v>1580.0632</v>
      </c>
      <c r="AI72" s="144" t="n">
        <f aca="false">-(alph^2)-2*S_3*Ldif</f>
        <v>-625003160.1264</v>
      </c>
      <c r="AJ72" s="144" t="n">
        <f aca="false">S_3^2</f>
        <v>2496599.71599423</v>
      </c>
      <c r="AK72" s="154" t="n">
        <f aca="false">(-b_3-SQRT(b_3^2-4*a_3*c_3))/(2*a_3)</f>
        <v>0.00399452447891235</v>
      </c>
      <c r="AL72" s="145" t="n">
        <f aca="false">1-(KK_3-L0)/R0</f>
        <v>0.451446628571428</v>
      </c>
      <c r="AM72" s="145" t="n">
        <f aca="false">1-beta*(1-f_3)</f>
        <v>1</v>
      </c>
      <c r="AN72" s="155" t="n">
        <f aca="false">f_3*j_3</f>
        <v>0.451446628571428</v>
      </c>
      <c r="AO72" s="155" t="n">
        <f aca="false">f_3*k_3+j_3*g_3</f>
        <v>-7.14285714285714</v>
      </c>
      <c r="AP72" s="155" t="n">
        <f aca="false">g_3*k_3+j_3*h_3+f_3*l_3</f>
        <v>-0.000285714285714286</v>
      </c>
      <c r="AQ72" s="155" t="n">
        <f aca="false">g_3*l_3*h_3*k_3</f>
        <v>0</v>
      </c>
      <c r="AR72" s="155" t="n">
        <f aca="false">h_3*l_3</f>
        <v>0</v>
      </c>
      <c r="AS72" s="156" t="n">
        <f aca="false">M0*D0_3*(m_3+(n_3*D0_3^0.5)/1.5+p_3*D0_3/2+(q_3*D0_3^1.5)/2.5+(r_3*D0_3^2)/3)</f>
        <v>6.01107866999349</v>
      </c>
      <c r="AT72" s="157" t="n">
        <f aca="false">IF(AND(AS72&lt;F,F&lt;AS73),AG72,0)</f>
        <v>0</v>
      </c>
      <c r="AU72" s="157" t="n">
        <f aca="false">IF(AND(AS71&lt;F,F&lt;AS72),AG72,0)</f>
        <v>51919.9368</v>
      </c>
    </row>
    <row r="73" customFormat="false" ht="12.75" hidden="false" customHeight="false" outlineLevel="0" collapsed="false">
      <c r="I73" s="120" t="n">
        <v>8</v>
      </c>
      <c r="J73" s="160" t="n">
        <f aca="false">J$81+(I73/10)*(J$71-J$81)</f>
        <v>51921.93688</v>
      </c>
      <c r="K73" s="64" t="n">
        <f aca="false">L0+R0g-KK</f>
        <v>1578.06311999999</v>
      </c>
      <c r="L73" s="65" t="n">
        <f aca="false">Ldif^2</f>
        <v>1</v>
      </c>
      <c r="M73" s="65" t="n">
        <f aca="false">-(alph^2)-2*S_1*Ldif</f>
        <v>-625003156.12624</v>
      </c>
      <c r="N73" s="65" t="n">
        <f aca="false">S_1^2</f>
        <v>2490283.21070411</v>
      </c>
      <c r="O73" s="122" t="n">
        <f aca="false">(-b_1-SQRT(b_1^2-4*a_1*c_1))/(2*a_1)</f>
        <v>0.00398445129394531</v>
      </c>
      <c r="P73" s="123" t="n">
        <f aca="false">L0-KK+(P0-Pcap)/g</f>
        <v>-33421.58688</v>
      </c>
      <c r="Q73" s="65" t="n">
        <f aca="false">-(alph^2)-2*S_2*Ldif</f>
        <v>-624933156.82624</v>
      </c>
      <c r="R73" s="65" t="n">
        <f aca="false">S_2^2</f>
        <v>1117002469.57739</v>
      </c>
      <c r="S73" s="122" t="n">
        <f aca="false">IF(S_2&lt;0,0,(-b_2-SQRT(b_2^2-4*a_1*c_2))/(2*a_1))</f>
        <v>0</v>
      </c>
      <c r="T73" s="66" t="n">
        <f aca="false">Pcap*DDc+(P0+g*(L0-KK))*(DDg-DDc)-g*((DDg^2-DDc^2)*Ldif/2+alph*(DDg^1.5-DDc^1.5)/1.5)</f>
        <v>5.9882807002748</v>
      </c>
      <c r="U73" s="161" t="n">
        <f aca="false">IF(AND(T73&gt;F,T72&lt;F),J73+(J72-J73)*(T73-F)/(T73-T72),0)</f>
        <v>0</v>
      </c>
      <c r="W73" s="159"/>
      <c r="X73" s="102" t="n">
        <v>946</v>
      </c>
      <c r="Y73" s="124" t="n">
        <f aca="false">Y72+Y$16</f>
        <v>0.000215440392494202</v>
      </c>
      <c r="Z73" s="115" t="n">
        <f aca="false">(K-(L0-Y73*Ldif-alph*Y73^0.5))/R0</f>
        <v>0.653673006318004</v>
      </c>
      <c r="AA73" s="113" t="n">
        <f aca="false">IF(Z73&lt;1,X$14*((1-r_1)-Y$14*(1-r_1^2)+Z$14*(1-r_1^3)),0)</f>
        <v>2098991.76467416</v>
      </c>
      <c r="AB73" s="97" t="n">
        <f aca="false">AB72+AB$15</f>
        <v>0.000215440392494202</v>
      </c>
      <c r="AC73" s="115" t="n">
        <f aca="false">(Kopt-(L0-AB73*Ldif-alph*AB73^0.5))/R0</f>
        <v>0.653673006318004</v>
      </c>
      <c r="AD73" s="113" t="n">
        <f aca="false">IF(AC73&lt;1,X$14*((1-ropt)-Y$14*(1-ropt^2)+Z$14*(1-ropt^3)),0)</f>
        <v>2098991.76467416</v>
      </c>
      <c r="AF73" s="152" t="n">
        <v>7</v>
      </c>
      <c r="AG73" s="121" t="n">
        <f aca="false">AG$80+(AF73/10)*(AG$70-AG$80)</f>
        <v>51917.4367</v>
      </c>
      <c r="AH73" s="153" t="n">
        <f aca="false">L0+R0-KK_3</f>
        <v>1582.56329999999</v>
      </c>
      <c r="AI73" s="144" t="n">
        <f aca="false">-(alph^2)-2*S_3*Ldif</f>
        <v>-625003165.1266</v>
      </c>
      <c r="AJ73" s="144" t="n">
        <f aca="false">S_3^2</f>
        <v>2504506.59850687</v>
      </c>
      <c r="AK73" s="154" t="n">
        <f aca="false">(-b_3-SQRT(b_3^2-4*a_3*c_3))/(2*a_3)</f>
        <v>0.00400722026824951</v>
      </c>
      <c r="AL73" s="145" t="n">
        <f aca="false">1-(KK_3-L0)/R0</f>
        <v>0.452160942857141</v>
      </c>
      <c r="AM73" s="145" t="n">
        <f aca="false">1-beta*(1-f_3)</f>
        <v>1</v>
      </c>
      <c r="AN73" s="155" t="n">
        <f aca="false">f_3*j_3</f>
        <v>0.452160942857141</v>
      </c>
      <c r="AO73" s="155" t="n">
        <f aca="false">f_3*k_3+j_3*g_3</f>
        <v>-7.14285714285714</v>
      </c>
      <c r="AP73" s="155" t="n">
        <f aca="false">g_3*k_3+j_3*h_3+f_3*l_3</f>
        <v>-0.000285714285714286</v>
      </c>
      <c r="AQ73" s="155" t="n">
        <f aca="false">g_3*l_3*h_3*k_3</f>
        <v>0</v>
      </c>
      <c r="AR73" s="155" t="n">
        <f aca="false">h_3*l_3</f>
        <v>0</v>
      </c>
      <c r="AS73" s="156" t="n">
        <f aca="false">M0*D0_3*(m_3+(n_3*D0_3^0.5)/1.5+p_3*D0_3/2+(q_3*D0_3^1.5)/2.5+(r_3*D0_3^2)/3)</f>
        <v>6.03965740676031</v>
      </c>
      <c r="AT73" s="157" t="n">
        <f aca="false">IF(AND(AS73&lt;F,F&lt;AS74),AG73,0)</f>
        <v>0</v>
      </c>
      <c r="AU73" s="157" t="n">
        <f aca="false">IF(AND(AS72&lt;F,F&lt;AS73),AG73,0)</f>
        <v>0</v>
      </c>
    </row>
    <row r="74" customFormat="false" ht="12.75" hidden="false" customHeight="false" outlineLevel="0" collapsed="false">
      <c r="I74" s="120" t="n">
        <v>7</v>
      </c>
      <c r="J74" s="160" t="n">
        <f aca="false">J$81+(I74/10)*(J$71-J$81)</f>
        <v>51921.68687</v>
      </c>
      <c r="K74" s="64" t="n">
        <f aca="false">L0+R0g-KK</f>
        <v>1578.31313</v>
      </c>
      <c r="L74" s="65" t="n">
        <f aca="false">Ldif^2</f>
        <v>1</v>
      </c>
      <c r="M74" s="65" t="n">
        <f aca="false">-(alph^2)-2*S_1*Ldif</f>
        <v>-625003156.62626</v>
      </c>
      <c r="N74" s="65" t="n">
        <f aca="false">S_1^2</f>
        <v>2491072.33633038</v>
      </c>
      <c r="O74" s="122" t="n">
        <f aca="false">(-b_1-SQRT(b_1^2-4*a_1*c_1))/(2*a_1)</f>
        <v>0.0039857029914856</v>
      </c>
      <c r="P74" s="123" t="n">
        <f aca="false">L0-KK+(P0-Pcap)/g</f>
        <v>-33421.33687</v>
      </c>
      <c r="Q74" s="65" t="n">
        <f aca="false">-(alph^2)-2*S_2*Ldif</f>
        <v>-624933157.32626</v>
      </c>
      <c r="R74" s="65" t="n">
        <f aca="false">S_2^2</f>
        <v>1116985758.17802</v>
      </c>
      <c r="S74" s="122" t="n">
        <f aca="false">IF(S_2&lt;0,0,(-b_2-SQRT(b_2^2-4*a_1*c_2))/(2*a_1))</f>
        <v>0</v>
      </c>
      <c r="T74" s="66" t="n">
        <f aca="false">Pcap*DDc+(P0+g*(L0-KK))*(DDg-DDc)-g*((DDg^2-DDc^2)*Ldif/2+alph*(DDg^1.5-DDc^1.5)/1.5)</f>
        <v>5.99112728870977</v>
      </c>
      <c r="U74" s="161" t="n">
        <f aca="false">IF(AND(T74&gt;F,T73&lt;F),J74+(J73-J74)*(T74-F)/(T74-T73),0)</f>
        <v>0</v>
      </c>
      <c r="W74" s="159"/>
      <c r="X74" s="102" t="n">
        <v>945</v>
      </c>
      <c r="Y74" s="124" t="n">
        <f aca="false">Y73+Y$16</f>
        <v>0.000219430029392242</v>
      </c>
      <c r="Z74" s="115" t="n">
        <f aca="false">(K-(L0-Y74*Ldif-alph*Y74^0.5))/R0</f>
        <v>0.654639314117827</v>
      </c>
      <c r="AA74" s="113" t="n">
        <f aca="false">IF(Z74&lt;1,X$14*((1-r_1)-Y$14*(1-r_1^2)+Z$14*(1-r_1^3)),0)</f>
        <v>2087295.05867759</v>
      </c>
      <c r="AB74" s="97" t="n">
        <f aca="false">AB73+AB$15</f>
        <v>0.000219430029392242</v>
      </c>
      <c r="AC74" s="115" t="n">
        <f aca="false">(Kopt-(L0-AB74*Ldif-alph*AB74^0.5))/R0</f>
        <v>0.654639314117827</v>
      </c>
      <c r="AD74" s="113" t="n">
        <f aca="false">IF(AC74&lt;1,X$14*((1-ropt)-Y$14*(1-ropt^2)+Z$14*(1-ropt^3)),0)</f>
        <v>2087295.05867759</v>
      </c>
      <c r="AF74" s="152" t="n">
        <v>6</v>
      </c>
      <c r="AG74" s="121" t="n">
        <f aca="false">AG$80+(AF74/10)*(AG$70-AG$80)</f>
        <v>51914.9366</v>
      </c>
      <c r="AH74" s="153" t="n">
        <f aca="false">L0+R0-KK_3</f>
        <v>1585.0634</v>
      </c>
      <c r="AI74" s="144" t="n">
        <f aca="false">-(alph^2)-2*S_3*Ldif</f>
        <v>-625003170.1268</v>
      </c>
      <c r="AJ74" s="144" t="n">
        <f aca="false">S_3^2</f>
        <v>2512425.98201956</v>
      </c>
      <c r="AK74" s="154" t="n">
        <f aca="false">(-b_3-SQRT(b_3^2-4*a_3*c_3))/(2*a_3)</f>
        <v>0.00401985645294189</v>
      </c>
      <c r="AL74" s="145" t="n">
        <f aca="false">1-(KK_3-L0)/R0</f>
        <v>0.452875257142857</v>
      </c>
      <c r="AM74" s="145" t="n">
        <f aca="false">1-beta*(1-f_3)</f>
        <v>1</v>
      </c>
      <c r="AN74" s="155" t="n">
        <f aca="false">f_3*j_3</f>
        <v>0.452875257142857</v>
      </c>
      <c r="AO74" s="155" t="n">
        <f aca="false">f_3*k_3+j_3*g_3</f>
        <v>-7.14285714285714</v>
      </c>
      <c r="AP74" s="155" t="n">
        <f aca="false">g_3*k_3+j_3*h_3+f_3*l_3</f>
        <v>-0.000285714285714286</v>
      </c>
      <c r="AQ74" s="155" t="n">
        <f aca="false">g_3*l_3*h_3*k_3</f>
        <v>0</v>
      </c>
      <c r="AR74" s="155" t="n">
        <f aca="false">h_3*l_3</f>
        <v>0</v>
      </c>
      <c r="AS74" s="156" t="n">
        <f aca="false">M0*D0_3*(m_3+(n_3*D0_3^0.5)/1.5+p_3*D0_3/2+(q_3*D0_3^1.5)/2.5+(r_3*D0_3^2)/3)</f>
        <v>6.06832658270264</v>
      </c>
      <c r="AT74" s="157" t="n">
        <f aca="false">IF(AND(AS74&lt;F,F&lt;AS75),AG74,0)</f>
        <v>0</v>
      </c>
      <c r="AU74" s="157" t="n">
        <f aca="false">IF(AND(AS73&lt;F,F&lt;AS74),AG74,0)</f>
        <v>0</v>
      </c>
    </row>
    <row r="75" customFormat="false" ht="12.75" hidden="false" customHeight="false" outlineLevel="0" collapsed="false">
      <c r="I75" s="120" t="n">
        <v>6</v>
      </c>
      <c r="J75" s="160" t="n">
        <f aca="false">J$81+(I75/10)*(J$71-J$81)</f>
        <v>51921.43686</v>
      </c>
      <c r="K75" s="64" t="n">
        <f aca="false">L0+R0g-KK</f>
        <v>1578.56313999999</v>
      </c>
      <c r="L75" s="65" t="n">
        <f aca="false">Ldif^2</f>
        <v>1</v>
      </c>
      <c r="M75" s="65" t="n">
        <f aca="false">-(alph^2)-2*S_1*Ldif</f>
        <v>-625003157.12628</v>
      </c>
      <c r="N75" s="65" t="n">
        <f aca="false">S_1^2</f>
        <v>2491861.58696663</v>
      </c>
      <c r="O75" s="122" t="n">
        <f aca="false">(-b_1-SQRT(b_1^2-4*a_1*c_1))/(2*a_1)</f>
        <v>0.00398695468902588</v>
      </c>
      <c r="P75" s="123" t="n">
        <f aca="false">L0-KK+(P0-Pcap)/g</f>
        <v>-33421.08686</v>
      </c>
      <c r="Q75" s="65" t="n">
        <f aca="false">-(alph^2)-2*S_2*Ldif</f>
        <v>-624933157.82628</v>
      </c>
      <c r="R75" s="65" t="n">
        <f aca="false">S_2^2</f>
        <v>1116969046.90367</v>
      </c>
      <c r="S75" s="122" t="n">
        <f aca="false">IF(S_2&lt;0,0,(-b_2-SQRT(b_2^2-4*a_1*c_2))/(2*a_1))</f>
        <v>0</v>
      </c>
      <c r="T75" s="66" t="n">
        <f aca="false">Pcap*DDc+(P0+g*(L0-KK))*(DDg-DDc)-g*((DDg^2-DDc^2)*Ldif/2+alph*(DDg^1.5-DDc^1.5)/1.5)</f>
        <v>5.99397477903563</v>
      </c>
      <c r="U75" s="161" t="n">
        <f aca="false">IF(AND(T75&gt;F,T74&lt;F),J75+(J74-J75)*(T75-F)/(T75-T74),0)</f>
        <v>0</v>
      </c>
      <c r="W75" s="159"/>
      <c r="X75" s="102" t="n">
        <v>944</v>
      </c>
      <c r="Y75" s="124" t="n">
        <f aca="false">Y74+Y$16</f>
        <v>0.000223419666290283</v>
      </c>
      <c r="Z75" s="115" t="n">
        <f aca="false">(K-(L0-Y75*Ldif-alph*Y75^0.5))/R0</f>
        <v>0.655596876521333</v>
      </c>
      <c r="AA75" s="113" t="n">
        <f aca="false">IF(Z75&lt;1,X$14*((1-r_1)-Y$14*(1-r_1^2)+Z$14*(1-r_1^3)),0)</f>
        <v>2075736.45058259</v>
      </c>
      <c r="AB75" s="97" t="n">
        <f aca="false">AB74+AB$15</f>
        <v>0.000223419666290283</v>
      </c>
      <c r="AC75" s="115" t="n">
        <f aca="false">(Kopt-(L0-AB75*Ldif-alph*AB75^0.5))/R0</f>
        <v>0.655596876521333</v>
      </c>
      <c r="AD75" s="113" t="n">
        <f aca="false">IF(AC75&lt;1,X$14*((1-ropt)-Y$14*(1-ropt^2)+Z$14*(1-ropt^3)),0)</f>
        <v>2075736.45058259</v>
      </c>
      <c r="AF75" s="152" t="n">
        <v>5</v>
      </c>
      <c r="AG75" s="121" t="n">
        <f aca="false">AG$80+(AF75/10)*(AG$70-AG$80)</f>
        <v>51912.4365</v>
      </c>
      <c r="AH75" s="153" t="n">
        <f aca="false">L0+R0-KK_3</f>
        <v>1587.5635</v>
      </c>
      <c r="AI75" s="144" t="n">
        <f aca="false">-(alph^2)-2*S_3*Ldif</f>
        <v>-625003175.127</v>
      </c>
      <c r="AJ75" s="144" t="n">
        <f aca="false">S_3^2</f>
        <v>2520357.86653224</v>
      </c>
      <c r="AK75" s="154" t="n">
        <f aca="false">(-b_3-SQRT(b_3^2-4*a_3*c_3))/(2*a_3)</f>
        <v>0.00403255224227905</v>
      </c>
      <c r="AL75" s="145" t="n">
        <f aca="false">1-(KK_3-L0)/R0</f>
        <v>0.453589571428571</v>
      </c>
      <c r="AM75" s="145" t="n">
        <f aca="false">1-beta*(1-f_3)</f>
        <v>1</v>
      </c>
      <c r="AN75" s="155" t="n">
        <f aca="false">f_3*j_3</f>
        <v>0.453589571428571</v>
      </c>
      <c r="AO75" s="155" t="n">
        <f aca="false">f_3*k_3+j_3*g_3</f>
        <v>-7.14285714285714</v>
      </c>
      <c r="AP75" s="155" t="n">
        <f aca="false">g_3*k_3+j_3*h_3+f_3*l_3</f>
        <v>-0.000285714285714286</v>
      </c>
      <c r="AQ75" s="155" t="n">
        <f aca="false">g_3*l_3*h_3*k_3</f>
        <v>0</v>
      </c>
      <c r="AR75" s="155" t="n">
        <f aca="false">h_3*l_3</f>
        <v>0</v>
      </c>
      <c r="AS75" s="156" t="n">
        <f aca="false">M0*D0_3*(m_3+(n_3*D0_3^0.5)/1.5+p_3*D0_3/2+(q_3*D0_3^1.5)/2.5+(r_3*D0_3^2)/3)</f>
        <v>6.09708634001193</v>
      </c>
      <c r="AT75" s="157" t="n">
        <f aca="false">IF(AND(AS75&lt;F,F&lt;AS76),AG75,0)</f>
        <v>0</v>
      </c>
      <c r="AU75" s="157" t="n">
        <f aca="false">IF(AND(AS74&lt;F,F&lt;AS75),AG75,0)</f>
        <v>0</v>
      </c>
    </row>
    <row r="76" customFormat="false" ht="12.75" hidden="false" customHeight="false" outlineLevel="0" collapsed="false">
      <c r="I76" s="120" t="n">
        <v>5</v>
      </c>
      <c r="J76" s="160" t="n">
        <f aca="false">J$81+(I76/10)*(J$71-J$81)</f>
        <v>51921.18685</v>
      </c>
      <c r="K76" s="64" t="n">
        <f aca="false">L0+R0g-KK</f>
        <v>1578.81314999999</v>
      </c>
      <c r="L76" s="65" t="n">
        <f aca="false">Ldif^2</f>
        <v>1</v>
      </c>
      <c r="M76" s="65" t="n">
        <f aca="false">-(alph^2)-2*S_1*Ldif</f>
        <v>-625003157.6263</v>
      </c>
      <c r="N76" s="65" t="n">
        <f aca="false">S_1^2</f>
        <v>2492650.96261291</v>
      </c>
      <c r="O76" s="122" t="n">
        <f aca="false">(-b_1-SQRT(b_1^2-4*a_1*c_1))/(2*a_1)</f>
        <v>0.00398820638656616</v>
      </c>
      <c r="P76" s="123" t="n">
        <f aca="false">L0-KK+(P0-Pcap)/g</f>
        <v>-33420.83685</v>
      </c>
      <c r="Q76" s="65" t="n">
        <f aca="false">-(alph^2)-2*S_2*Ldif</f>
        <v>-624933158.3263</v>
      </c>
      <c r="R76" s="65" t="n">
        <f aca="false">S_2^2</f>
        <v>1116952335.75432</v>
      </c>
      <c r="S76" s="122" t="n">
        <f aca="false">IF(S_2&lt;0,0,(-b_2-SQRT(b_2^2-4*a_1*c_2))/(2*a_1))</f>
        <v>0</v>
      </c>
      <c r="T76" s="66" t="n">
        <f aca="false">Pcap*DDc+(P0+g*(L0-KK))*(DDg-DDc)-g*((DDg^2-DDc^2)*Ldif/2+alph*(DDg^1.5-DDc^1.5)/1.5)</f>
        <v>5.99682317139169</v>
      </c>
      <c r="U76" s="161" t="n">
        <f aca="false">IF(AND(T76&gt;F,T75&lt;F),J76+(J75-J76)*(T76-F)/(T76-T75),0)</f>
        <v>0</v>
      </c>
      <c r="W76" s="159"/>
      <c r="X76" s="102" t="n">
        <v>943</v>
      </c>
      <c r="Y76" s="124" t="n">
        <f aca="false">Y75+Y$16</f>
        <v>0.000227409303188324</v>
      </c>
      <c r="Z76" s="115" t="n">
        <f aca="false">(K-(L0-Y76*Ldif-alph*Y76^0.5))/R0</f>
        <v>0.656545926762441</v>
      </c>
      <c r="AA76" s="113" t="n">
        <f aca="false">IF(Z76&lt;1,X$14*((1-r_1)-Y$14*(1-r_1^2)+Z$14*(1-r_1^3)),0)</f>
        <v>2064312.25741073</v>
      </c>
      <c r="AB76" s="97" t="n">
        <f aca="false">AB75+AB$15</f>
        <v>0.000227409303188324</v>
      </c>
      <c r="AC76" s="115" t="n">
        <f aca="false">(Kopt-(L0-AB76*Ldif-alph*AB76^0.5))/R0</f>
        <v>0.656545926762441</v>
      </c>
      <c r="AD76" s="113" t="n">
        <f aca="false">IF(AC76&lt;1,X$14*((1-ropt)-Y$14*(1-ropt^2)+Z$14*(1-ropt^3)),0)</f>
        <v>2064312.25741073</v>
      </c>
      <c r="AF76" s="152" t="n">
        <v>4</v>
      </c>
      <c r="AG76" s="121" t="n">
        <f aca="false">AG$80+(AF76/10)*(AG$70-AG$80)</f>
        <v>51909.9364</v>
      </c>
      <c r="AH76" s="153" t="n">
        <f aca="false">L0+R0-KK_3</f>
        <v>1590.06359999999</v>
      </c>
      <c r="AI76" s="144" t="n">
        <f aca="false">-(alph^2)-2*S_3*Ldif</f>
        <v>-625003180.1272</v>
      </c>
      <c r="AJ76" s="144" t="n">
        <f aca="false">S_3^2</f>
        <v>2528302.25204494</v>
      </c>
      <c r="AK76" s="154" t="n">
        <f aca="false">(-b_3-SQRT(b_3^2-4*a_3*c_3))/(2*a_3)</f>
        <v>0.00404524803161621</v>
      </c>
      <c r="AL76" s="145" t="n">
        <f aca="false">1-(KK_3-L0)/R0</f>
        <v>0.454303885714284</v>
      </c>
      <c r="AM76" s="145" t="n">
        <f aca="false">1-beta*(1-f_3)</f>
        <v>1</v>
      </c>
      <c r="AN76" s="155" t="n">
        <f aca="false">f_3*j_3</f>
        <v>0.454303885714284</v>
      </c>
      <c r="AO76" s="155" t="n">
        <f aca="false">f_3*k_3+j_3*g_3</f>
        <v>-7.14285714285714</v>
      </c>
      <c r="AP76" s="155" t="n">
        <f aca="false">g_3*k_3+j_3*h_3+f_3*l_3</f>
        <v>-0.000285714285714286</v>
      </c>
      <c r="AQ76" s="155" t="n">
        <f aca="false">g_3*l_3*h_3*k_3</f>
        <v>0</v>
      </c>
      <c r="AR76" s="155" t="n">
        <f aca="false">h_3*l_3</f>
        <v>0</v>
      </c>
      <c r="AS76" s="156" t="n">
        <f aca="false">M0*D0_3*(m_3+(n_3*D0_3^0.5)/1.5+p_3*D0_3/2+(q_3*D0_3^1.5)/2.5+(r_3*D0_3^2)/3)</f>
        <v>6.12593682173238</v>
      </c>
      <c r="AT76" s="157" t="n">
        <f aca="false">IF(AND(AS76&lt;F,F&lt;AS77),AG76,0)</f>
        <v>0</v>
      </c>
      <c r="AU76" s="157" t="n">
        <f aca="false">IF(AND(AS75&lt;F,F&lt;AS76),AG76,0)</f>
        <v>0</v>
      </c>
    </row>
    <row r="77" customFormat="false" ht="12.75" hidden="false" customHeight="false" outlineLevel="0" collapsed="false">
      <c r="I77" s="120" t="n">
        <v>4</v>
      </c>
      <c r="J77" s="160" t="n">
        <f aca="false">J$81+(I77/10)*(J$71-J$81)</f>
        <v>51920.93684</v>
      </c>
      <c r="K77" s="64" t="n">
        <f aca="false">L0+R0g-KK</f>
        <v>1579.06316</v>
      </c>
      <c r="L77" s="65" t="n">
        <f aca="false">Ldif^2</f>
        <v>1</v>
      </c>
      <c r="M77" s="65" t="n">
        <f aca="false">-(alph^2)-2*S_1*Ldif</f>
        <v>-625003158.12632</v>
      </c>
      <c r="N77" s="65" t="n">
        <f aca="false">S_1^2</f>
        <v>2493440.46326918</v>
      </c>
      <c r="O77" s="122" t="n">
        <f aca="false">(-b_1-SQRT(b_1^2-4*a_1*c_1))/(2*a_1)</f>
        <v>0.00398945808410645</v>
      </c>
      <c r="P77" s="123" t="n">
        <f aca="false">L0-KK+(P0-Pcap)/g</f>
        <v>-33420.58684</v>
      </c>
      <c r="Q77" s="65" t="n">
        <f aca="false">-(alph^2)-2*S_2*Ldif</f>
        <v>-624933158.82632</v>
      </c>
      <c r="R77" s="65" t="n">
        <f aca="false">S_2^2</f>
        <v>1116935624.72998</v>
      </c>
      <c r="S77" s="122" t="n">
        <f aca="false">IF(S_2&lt;0,0,(-b_2-SQRT(b_2^2-4*a_1*c_2))/(2*a_1))</f>
        <v>0</v>
      </c>
      <c r="T77" s="66" t="n">
        <f aca="false">Pcap*DDc+(P0+g*(L0-KK))*(DDg-DDc)-g*((DDg^2-DDc^2)*Ldif/2+alph*(DDg^1.5-DDc^1.5)/1.5)</f>
        <v>5.99967246591694</v>
      </c>
      <c r="U77" s="161" t="n">
        <f aca="false">IF(AND(T77&gt;F,T76&lt;F),J77+(J76-J77)*(T77-F)/(T77-T76),0)</f>
        <v>0</v>
      </c>
      <c r="W77" s="159"/>
      <c r="X77" s="102" t="n">
        <v>942</v>
      </c>
      <c r="Y77" s="124" t="n">
        <f aca="false">Y76+Y$16</f>
        <v>0.000231398940086365</v>
      </c>
      <c r="Z77" s="115" t="n">
        <f aca="false">(K-(L0-Y77*Ldif-alph*Y77^0.5))/R0</f>
        <v>0.657486687888795</v>
      </c>
      <c r="AA77" s="113" t="n">
        <f aca="false">IF(Z77&lt;1,X$14*((1-r_1)-Y$14*(1-r_1^2)+Z$14*(1-r_1^3)),0)</f>
        <v>2053018.95703429</v>
      </c>
      <c r="AB77" s="97" t="n">
        <f aca="false">AB76+AB$15</f>
        <v>0.000231398940086365</v>
      </c>
      <c r="AC77" s="115" t="n">
        <f aca="false">(Kopt-(L0-AB77*Ldif-alph*AB77^0.5))/R0</f>
        <v>0.657486687888795</v>
      </c>
      <c r="AD77" s="113" t="n">
        <f aca="false">IF(AC77&lt;1,X$14*((1-ropt)-Y$14*(1-ropt^2)+Z$14*(1-ropt^3)),0)</f>
        <v>2053018.95703429</v>
      </c>
      <c r="AF77" s="152" t="n">
        <v>3</v>
      </c>
      <c r="AG77" s="121" t="n">
        <f aca="false">AG$80+(AF77/10)*(AG$70-AG$80)</f>
        <v>51907.4363</v>
      </c>
      <c r="AH77" s="153" t="n">
        <f aca="false">L0+R0-KK_3</f>
        <v>1592.5637</v>
      </c>
      <c r="AI77" s="144" t="n">
        <f aca="false">-(alph^2)-2*S_3*Ldif</f>
        <v>-625003185.1274</v>
      </c>
      <c r="AJ77" s="144" t="n">
        <f aca="false">S_3^2</f>
        <v>2536259.13855769</v>
      </c>
      <c r="AK77" s="154" t="n">
        <f aca="false">(-b_3-SQRT(b_3^2-4*a_3*c_3))/(2*a_3)</f>
        <v>0.00405800342559814</v>
      </c>
      <c r="AL77" s="145" t="n">
        <f aca="false">1-(KK_3-L0)/R0</f>
        <v>0.4550182</v>
      </c>
      <c r="AM77" s="145" t="n">
        <f aca="false">1-beta*(1-f_3)</f>
        <v>1</v>
      </c>
      <c r="AN77" s="155" t="n">
        <f aca="false">f_3*j_3</f>
        <v>0.4550182</v>
      </c>
      <c r="AO77" s="155" t="n">
        <f aca="false">f_3*k_3+j_3*g_3</f>
        <v>-7.14285714285714</v>
      </c>
      <c r="AP77" s="155" t="n">
        <f aca="false">g_3*k_3+j_3*h_3+f_3*l_3</f>
        <v>-0.000285714285714286</v>
      </c>
      <c r="AQ77" s="155" t="n">
        <f aca="false">g_3*l_3*h_3*k_3</f>
        <v>0</v>
      </c>
      <c r="AR77" s="155" t="n">
        <f aca="false">h_3*l_3</f>
        <v>0</v>
      </c>
      <c r="AS77" s="156" t="n">
        <f aca="false">M0*D0_3*(m_3+(n_3*D0_3^0.5)/1.5+p_3*D0_3/2+(q_3*D0_3^1.5)/2.5+(r_3*D0_3^2)/3)</f>
        <v>6.15487817090646</v>
      </c>
      <c r="AT77" s="157" t="n">
        <f aca="false">IF(AND(AS77&lt;F,F&lt;AS78),AG77,0)</f>
        <v>0</v>
      </c>
      <c r="AU77" s="157" t="n">
        <f aca="false">IF(AND(AS76&lt;F,F&lt;AS77),AG77,0)</f>
        <v>0</v>
      </c>
    </row>
    <row r="78" customFormat="false" ht="12.75" hidden="false" customHeight="false" outlineLevel="0" collapsed="false">
      <c r="I78" s="120" t="n">
        <v>3</v>
      </c>
      <c r="J78" s="160" t="n">
        <f aca="false">J$81+(I78/10)*(J$71-J$81)</f>
        <v>51920.68683</v>
      </c>
      <c r="K78" s="64" t="n">
        <f aca="false">L0+R0g-KK</f>
        <v>1579.31316999999</v>
      </c>
      <c r="L78" s="65" t="n">
        <f aca="false">Ldif^2</f>
        <v>1</v>
      </c>
      <c r="M78" s="65" t="n">
        <f aca="false">-(alph^2)-2*S_1*Ldif</f>
        <v>-625003158.62634</v>
      </c>
      <c r="N78" s="65" t="n">
        <f aca="false">S_1^2</f>
        <v>2494230.08893543</v>
      </c>
      <c r="O78" s="122" t="n">
        <f aca="false">(-b_1-SQRT(b_1^2-4*a_1*c_1))/(2*a_1)</f>
        <v>0.0039907693862915</v>
      </c>
      <c r="P78" s="123" t="n">
        <f aca="false">L0-KK+(P0-Pcap)/g</f>
        <v>-33420.33683</v>
      </c>
      <c r="Q78" s="65" t="n">
        <f aca="false">-(alph^2)-2*S_2*Ldif</f>
        <v>-624933159.32634</v>
      </c>
      <c r="R78" s="65" t="n">
        <f aca="false">S_2^2</f>
        <v>1116918913.83066</v>
      </c>
      <c r="S78" s="122" t="n">
        <f aca="false">IF(S_2&lt;0,0,(-b_2-SQRT(b_2^2-4*a_1*c_2))/(2*a_1))</f>
        <v>0</v>
      </c>
      <c r="T78" s="66" t="n">
        <f aca="false">Pcap*DDc+(P0+g*(L0-KK))*(DDg-DDc)-g*((DDg^2-DDc^2)*Ldif/2+alph*(DDg^1.5-DDc^1.5)/1.5)</f>
        <v>6.00252266303302</v>
      </c>
      <c r="U78" s="161" t="n">
        <f aca="false">IF(AND(T78&gt;F,T77&lt;F),J78+(J77-J78)*(T78-F)/(T78-T77),0)</f>
        <v>51920.9081097779</v>
      </c>
      <c r="W78" s="159"/>
      <c r="X78" s="102" t="n">
        <v>941</v>
      </c>
      <c r="Y78" s="124" t="n">
        <f aca="false">Y77+Y$16</f>
        <v>0.000235388576984405</v>
      </c>
      <c r="Z78" s="115" t="n">
        <f aca="false">(K-(L0-Y78*Ldif-alph*Y78^0.5))/R0</f>
        <v>0.658419373373917</v>
      </c>
      <c r="AA78" s="113" t="n">
        <f aca="false">IF(Z78&lt;1,X$14*((1-r_1)-Y$14*(1-r_1^2)+Z$14*(1-r_1^3)),0)</f>
        <v>2041853.17850969</v>
      </c>
      <c r="AB78" s="97" t="n">
        <f aca="false">AB77+AB$15</f>
        <v>0.000235388576984405</v>
      </c>
      <c r="AC78" s="115" t="n">
        <f aca="false">(Kopt-(L0-AB78*Ldif-alph*AB78^0.5))/R0</f>
        <v>0.658419373373917</v>
      </c>
      <c r="AD78" s="113" t="n">
        <f aca="false">IF(AC78&lt;1,X$14*((1-ropt)-Y$14*(1-ropt^2)+Z$14*(1-ropt^3)),0)</f>
        <v>2041853.17850969</v>
      </c>
      <c r="AF78" s="152" t="n">
        <v>2</v>
      </c>
      <c r="AG78" s="121" t="n">
        <f aca="false">AG$80+(AF78/10)*(AG$70-AG$80)</f>
        <v>51904.9362</v>
      </c>
      <c r="AH78" s="153" t="n">
        <f aca="false">L0+R0-KK_3</f>
        <v>1595.0638</v>
      </c>
      <c r="AI78" s="144" t="n">
        <f aca="false">-(alph^2)-2*S_3*Ldif</f>
        <v>-625003190.1276</v>
      </c>
      <c r="AJ78" s="144" t="n">
        <f aca="false">S_3^2</f>
        <v>2544228.52607043</v>
      </c>
      <c r="AK78" s="154" t="n">
        <f aca="false">(-b_3-SQRT(b_3^2-4*a_3*c_3))/(2*a_3)</f>
        <v>0.00407075881958008</v>
      </c>
      <c r="AL78" s="145" t="n">
        <f aca="false">1-(KK_3-L0)/R0</f>
        <v>0.455732514285713</v>
      </c>
      <c r="AM78" s="145" t="n">
        <f aca="false">1-beta*(1-f_3)</f>
        <v>1</v>
      </c>
      <c r="AN78" s="155" t="n">
        <f aca="false">f_3*j_3</f>
        <v>0.455732514285713</v>
      </c>
      <c r="AO78" s="155" t="n">
        <f aca="false">f_3*k_3+j_3*g_3</f>
        <v>-7.14285714285714</v>
      </c>
      <c r="AP78" s="155" t="n">
        <f aca="false">g_3*k_3+j_3*h_3+f_3*l_3</f>
        <v>-0.000285714285714286</v>
      </c>
      <c r="AQ78" s="155" t="n">
        <f aca="false">g_3*l_3*h_3*k_3</f>
        <v>0</v>
      </c>
      <c r="AR78" s="155" t="n">
        <f aca="false">h_3*l_3</f>
        <v>0</v>
      </c>
      <c r="AS78" s="156" t="n">
        <f aca="false">M0*D0_3*(m_3+(n_3*D0_3^0.5)/1.5+p_3*D0_3/2+(q_3*D0_3^1.5)/2.5+(r_3*D0_3^2)/3)</f>
        <v>6.18391053023803</v>
      </c>
      <c r="AT78" s="157" t="n">
        <f aca="false">IF(AND(AS78&lt;F,F&lt;AS79),AG78,0)</f>
        <v>0</v>
      </c>
      <c r="AU78" s="157" t="n">
        <f aca="false">IF(AND(AS77&lt;F,F&lt;AS78),AG78,0)</f>
        <v>0</v>
      </c>
    </row>
    <row r="79" customFormat="false" ht="12.75" hidden="false" customHeight="false" outlineLevel="0" collapsed="false">
      <c r="I79" s="120" t="n">
        <v>2</v>
      </c>
      <c r="J79" s="160" t="n">
        <f aca="false">J$81+(I79/10)*(J$71-J$81)</f>
        <v>51920.43682</v>
      </c>
      <c r="K79" s="64" t="n">
        <f aca="false">L0+R0g-KK</f>
        <v>1579.56318</v>
      </c>
      <c r="L79" s="65" t="n">
        <f aca="false">Ldif^2</f>
        <v>1</v>
      </c>
      <c r="M79" s="65" t="n">
        <f aca="false">-(alph^2)-2*S_1*Ldif</f>
        <v>-625003159.12636</v>
      </c>
      <c r="N79" s="65" t="n">
        <f aca="false">S_1^2</f>
        <v>2495019.8396117</v>
      </c>
      <c r="O79" s="122" t="n">
        <f aca="false">(-b_1-SQRT(b_1^2-4*a_1*c_1))/(2*a_1)</f>
        <v>0.00399202108383179</v>
      </c>
      <c r="P79" s="123" t="n">
        <f aca="false">L0-KK+(P0-Pcap)/g</f>
        <v>-33420.08682</v>
      </c>
      <c r="Q79" s="65" t="n">
        <f aca="false">-(alph^2)-2*S_2*Ldif</f>
        <v>-624933159.82636</v>
      </c>
      <c r="R79" s="65" t="n">
        <f aca="false">S_2^2</f>
        <v>1116902203.05634</v>
      </c>
      <c r="S79" s="122" t="n">
        <f aca="false">IF(S_2&lt;0,0,(-b_2-SQRT(b_2^2-4*a_1*c_2))/(2*a_1))</f>
        <v>0</v>
      </c>
      <c r="T79" s="66" t="n">
        <f aca="false">Pcap*DDc+(P0+g*(L0-KK))*(DDg-DDc)-g*((DDg^2-DDc^2)*Ldif/2+alph*(DDg^1.5-DDc^1.5)/1.5)</f>
        <v>6.0053737627143</v>
      </c>
      <c r="U79" s="161" t="n">
        <f aca="false">IF(AND(T79&gt;F,T78&lt;F),J79+(J78-J79)*(T79-F)/(T79-T78),0)</f>
        <v>0</v>
      </c>
      <c r="W79" s="159"/>
      <c r="X79" s="102" t="n">
        <v>940</v>
      </c>
      <c r="Y79" s="124" t="n">
        <f aca="false">Y78+Y$16</f>
        <v>0.000239378213882446</v>
      </c>
      <c r="Z79" s="115" t="n">
        <f aca="false">(K-(L0-Y79*Ldif-alph*Y79^0.5))/R0</f>
        <v>0.65934418768285</v>
      </c>
      <c r="AA79" s="113" t="n">
        <f aca="false">IF(Z79&lt;1,X$14*((1-r_1)-Y$14*(1-r_1^2)+Z$14*(1-r_1^3)),0)</f>
        <v>2030811.69314551</v>
      </c>
      <c r="AB79" s="97" t="n">
        <f aca="false">AB78+AB$15</f>
        <v>0.000239378213882446</v>
      </c>
      <c r="AC79" s="115" t="n">
        <f aca="false">(Kopt-(L0-AB79*Ldif-alph*AB79^0.5))/R0</f>
        <v>0.65934418768285</v>
      </c>
      <c r="AD79" s="113" t="n">
        <f aca="false">IF(AC79&lt;1,X$14*((1-ropt)-Y$14*(1-ropt^2)+Z$14*(1-ropt^3)),0)</f>
        <v>2030811.69314551</v>
      </c>
      <c r="AF79" s="152" t="n">
        <v>1</v>
      </c>
      <c r="AG79" s="121" t="n">
        <f aca="false">AG$80+(AF79/10)*(AG$70-AG$80)</f>
        <v>51902.4361</v>
      </c>
      <c r="AH79" s="153" t="n">
        <f aca="false">L0+R0-KK_3</f>
        <v>1597.5639</v>
      </c>
      <c r="AI79" s="144" t="n">
        <f aca="false">-(alph^2)-2*S_3*Ldif</f>
        <v>-625003195.1278</v>
      </c>
      <c r="AJ79" s="144" t="n">
        <f aca="false">S_3^2</f>
        <v>2552210.41458321</v>
      </c>
      <c r="AK79" s="154" t="n">
        <f aca="false">(-b_3-SQRT(b_3^2-4*a_3*c_3))/(2*a_3)</f>
        <v>0.00408351421356201</v>
      </c>
      <c r="AL79" s="145" t="n">
        <f aca="false">1-(KK_3-L0)/R0</f>
        <v>0.456446828571429</v>
      </c>
      <c r="AM79" s="145" t="n">
        <f aca="false">1-beta*(1-f_3)</f>
        <v>1</v>
      </c>
      <c r="AN79" s="155" t="n">
        <f aca="false">f_3*j_3</f>
        <v>0.456446828571429</v>
      </c>
      <c r="AO79" s="155" t="n">
        <f aca="false">f_3*k_3+j_3*g_3</f>
        <v>-7.14285714285714</v>
      </c>
      <c r="AP79" s="155" t="n">
        <f aca="false">g_3*k_3+j_3*h_3+f_3*l_3</f>
        <v>-0.000285714285714286</v>
      </c>
      <c r="AQ79" s="155" t="n">
        <f aca="false">g_3*l_3*h_3*k_3</f>
        <v>0</v>
      </c>
      <c r="AR79" s="155" t="n">
        <f aca="false">h_3*l_3</f>
        <v>0</v>
      </c>
      <c r="AS79" s="156" t="n">
        <f aca="false">M0*D0_3*(m_3+(n_3*D0_3^0.5)/1.5+p_3*D0_3/2+(q_3*D0_3^1.5)/2.5+(r_3*D0_3^2)/3)</f>
        <v>6.21303404274963</v>
      </c>
      <c r="AT79" s="157" t="n">
        <f aca="false">IF(AND(AS79&lt;F,F&lt;AS80),AG79,0)</f>
        <v>0</v>
      </c>
      <c r="AU79" s="157" t="n">
        <f aca="false">IF(AND(AS78&lt;F,F&lt;AS79),AG79,0)</f>
        <v>0</v>
      </c>
    </row>
    <row r="80" customFormat="false" ht="12.75" hidden="false" customHeight="false" outlineLevel="0" collapsed="false">
      <c r="I80" s="120" t="n">
        <v>1</v>
      </c>
      <c r="J80" s="160" t="n">
        <f aca="false">J$81+(I80/10)*(J$71-J$81)</f>
        <v>51920.18681</v>
      </c>
      <c r="K80" s="64" t="n">
        <f aca="false">L0+R0g-KK</f>
        <v>1579.81318999999</v>
      </c>
      <c r="L80" s="65" t="n">
        <f aca="false">Ldif^2</f>
        <v>1</v>
      </c>
      <c r="M80" s="65" t="n">
        <f aca="false">-(alph^2)-2*S_1*Ldif</f>
        <v>-625003159.62638</v>
      </c>
      <c r="N80" s="65" t="n">
        <f aca="false">S_1^2</f>
        <v>2495809.71529796</v>
      </c>
      <c r="O80" s="122" t="n">
        <f aca="false">(-b_1-SQRT(b_1^2-4*a_1*c_1))/(2*a_1)</f>
        <v>0.00399327278137207</v>
      </c>
      <c r="P80" s="123" t="n">
        <f aca="false">L0-KK+(P0-Pcap)/g</f>
        <v>-33419.83681</v>
      </c>
      <c r="Q80" s="65" t="n">
        <f aca="false">-(alph^2)-2*S_2*Ldif</f>
        <v>-624933160.32638</v>
      </c>
      <c r="R80" s="65" t="n">
        <f aca="false">S_2^2</f>
        <v>1116885492.40703</v>
      </c>
      <c r="S80" s="122" t="n">
        <f aca="false">IF(S_2&lt;0,0,(-b_2-SQRT(b_2^2-4*a_1*c_2))/(2*a_1))</f>
        <v>0</v>
      </c>
      <c r="T80" s="66" t="n">
        <f aca="false">Pcap*DDc+(P0+g*(L0-KK))*(DDg-DDc)-g*((DDg^2-DDc^2)*Ldif/2+alph*(DDg^1.5-DDc^1.5)/1.5)</f>
        <v>6.00822576498813</v>
      </c>
      <c r="U80" s="161" t="n">
        <f aca="false">IF(AND(T80&gt;F,T79&lt;F),J80+(J79-J80)*(T80-F)/(T80-T79),0)</f>
        <v>0</v>
      </c>
      <c r="W80" s="159"/>
      <c r="X80" s="102" t="n">
        <v>939</v>
      </c>
      <c r="Y80" s="124" t="n">
        <f aca="false">Y79+Y$16</f>
        <v>0.000243367850780487</v>
      </c>
      <c r="Z80" s="115" t="n">
        <f aca="false">(K-(L0-Y80*Ldif-alph*Y80^0.5))/R0</f>
        <v>0.660261326795583</v>
      </c>
      <c r="AA80" s="113" t="n">
        <f aca="false">IF(Z80&lt;1,X$14*((1-r_1)-Y$14*(1-r_1^2)+Z$14*(1-r_1^3)),0)</f>
        <v>2019891.40623721</v>
      </c>
      <c r="AB80" s="97" t="n">
        <f aca="false">AB79+AB$15</f>
        <v>0.000243367850780487</v>
      </c>
      <c r="AC80" s="115" t="n">
        <f aca="false">(Kopt-(L0-AB80*Ldif-alph*AB80^0.5))/R0</f>
        <v>0.660261326795583</v>
      </c>
      <c r="AD80" s="113" t="n">
        <f aca="false">IF(AC80&lt;1,X$14*((1-ropt)-Y$14*(1-ropt^2)+Z$14*(1-ropt^3)),0)</f>
        <v>2019891.40623721</v>
      </c>
      <c r="AF80" s="152" t="n">
        <v>0</v>
      </c>
      <c r="AG80" s="121" t="n">
        <f aca="false">AU56</f>
        <v>51899.936</v>
      </c>
      <c r="AH80" s="153" t="n">
        <f aca="false">L0+R0-KK_3</f>
        <v>1600.064</v>
      </c>
      <c r="AI80" s="144" t="n">
        <f aca="false">-(alph^2)-2*S_3*Ldif</f>
        <v>-625003200.128</v>
      </c>
      <c r="AJ80" s="144" t="n">
        <f aca="false">S_3^2</f>
        <v>2560204.804096</v>
      </c>
      <c r="AK80" s="154" t="n">
        <f aca="false">(-b_3-SQRT(b_3^2-4*a_3*c_3))/(2*a_3)</f>
        <v>0.00409632921218872</v>
      </c>
      <c r="AL80" s="145" t="n">
        <f aca="false">1-(KK_3-L0)/R0</f>
        <v>0.457161142857143</v>
      </c>
      <c r="AM80" s="145" t="n">
        <f aca="false">1-beta*(1-f_3)</f>
        <v>1</v>
      </c>
      <c r="AN80" s="155" t="n">
        <f aca="false">f_3*j_3</f>
        <v>0.457161142857143</v>
      </c>
      <c r="AO80" s="155" t="n">
        <f aca="false">f_3*k_3+j_3*g_3</f>
        <v>-7.14285714285714</v>
      </c>
      <c r="AP80" s="155" t="n">
        <f aca="false">g_3*k_3+j_3*h_3+f_3*l_3</f>
        <v>-0.000285714285714286</v>
      </c>
      <c r="AQ80" s="155" t="n">
        <f aca="false">g_3*l_3*h_3*k_3</f>
        <v>0</v>
      </c>
      <c r="AR80" s="155" t="n">
        <f aca="false">h_3*l_3</f>
        <v>0</v>
      </c>
      <c r="AS80" s="156" t="n">
        <f aca="false">M0*D0_3*(m_3+(n_3*D0_3^0.5)/1.5+p_3*D0_3/2+(q_3*D0_3^1.5)/2.5+(r_3*D0_3^2)/3)</f>
        <v>6.2422488510357</v>
      </c>
      <c r="AT80" s="157"/>
      <c r="AU80" s="157" t="n">
        <f aca="false">IF(AND(AS79&lt;F,F&lt;AS80),AG80,0)</f>
        <v>0</v>
      </c>
    </row>
    <row r="81" customFormat="false" ht="12.75" hidden="false" customHeight="false" outlineLevel="0" collapsed="false">
      <c r="I81" s="120" t="n">
        <v>0</v>
      </c>
      <c r="J81" s="160" t="n">
        <f aca="false">U58</f>
        <v>51919.9368</v>
      </c>
      <c r="K81" s="64" t="n">
        <f aca="false">L0+R0g-KK</f>
        <v>1580.0632</v>
      </c>
      <c r="L81" s="65" t="n">
        <f aca="false">Ldif^2</f>
        <v>1</v>
      </c>
      <c r="M81" s="65" t="n">
        <f aca="false">-(alph^2)-2*S_1*Ldif</f>
        <v>-625003160.1264</v>
      </c>
      <c r="N81" s="65" t="n">
        <f aca="false">S_1^2</f>
        <v>2496599.71599423</v>
      </c>
      <c r="O81" s="122" t="n">
        <f aca="false">(-b_1-SQRT(b_1^2-4*a_1*c_1))/(2*a_1)</f>
        <v>0.00399452447891235</v>
      </c>
      <c r="P81" s="123" t="n">
        <f aca="false">L0-KK+(P0-Pcap)/g</f>
        <v>-33419.5868</v>
      </c>
      <c r="Q81" s="65" t="n">
        <f aca="false">-(alph^2)-2*S_2*Ldif</f>
        <v>-624933160.8264</v>
      </c>
      <c r="R81" s="65" t="n">
        <f aca="false">S_2^2</f>
        <v>1116868781.88273</v>
      </c>
      <c r="S81" s="122" t="n">
        <f aca="false">IF(S_2&lt;0,0,(-b_2-SQRT(b_2^2-4*a_1*c_2))/(2*a_1))</f>
        <v>0</v>
      </c>
      <c r="T81" s="66" t="n">
        <f aca="false">Pcap*DDc+(P0+g*(L0-KK))*(DDg-DDc)-g*((DDg^2-DDc^2)*Ldif/2+alph*(DDg^1.5-DDc^1.5)/1.5)</f>
        <v>6.01107866999349</v>
      </c>
      <c r="U81" s="161" t="n">
        <f aca="false">IF(AND(T81&gt;F,T80&lt;F),J81+(J80-J81)*(T81-F)/(T81-T80),0)</f>
        <v>0</v>
      </c>
      <c r="W81" s="159"/>
      <c r="X81" s="102" t="n">
        <v>938</v>
      </c>
      <c r="Y81" s="124" t="n">
        <f aca="false">Y80+Y$16</f>
        <v>0.000247357487678528</v>
      </c>
      <c r="Z81" s="115" t="n">
        <f aca="false">(K-(L0-Y81*Ldif-alph*Y81^0.5))/R0</f>
        <v>0.661170978691953</v>
      </c>
      <c r="AA81" s="113" t="n">
        <f aca="false">IF(Z81&lt;1,X$14*((1-r_1)-Y$14*(1-r_1^2)+Z$14*(1-r_1^3)),0)</f>
        <v>2009089.34940996</v>
      </c>
      <c r="AB81" s="97" t="n">
        <f aca="false">AB80+AB$15</f>
        <v>0.000247357487678528</v>
      </c>
      <c r="AC81" s="115" t="n">
        <f aca="false">(Kopt-(L0-AB81*Ldif-alph*AB81^0.5))/R0</f>
        <v>0.661170978691953</v>
      </c>
      <c r="AD81" s="113" t="n">
        <f aca="false">IF(AC81&lt;1,X$14*((1-ropt)-Y$14*(1-ropt^2)+Z$14*(1-ropt^3)),0)</f>
        <v>2009089.34940996</v>
      </c>
    </row>
    <row r="82" customFormat="false" ht="12.75" hidden="false" customHeight="false" outlineLevel="0" collapsed="false">
      <c r="J82" s="67" t="s">
        <v>243</v>
      </c>
      <c r="K82" s="67"/>
      <c r="L82" s="151"/>
      <c r="M82" s="151"/>
      <c r="N82" s="151"/>
      <c r="O82" s="69"/>
      <c r="P82" s="69"/>
      <c r="Q82" s="69"/>
      <c r="R82" s="69"/>
      <c r="S82" s="69"/>
      <c r="T82" s="69"/>
      <c r="U82" s="69"/>
      <c r="V82" s="69"/>
      <c r="W82" s="159"/>
      <c r="X82" s="102" t="n">
        <v>937</v>
      </c>
      <c r="Y82" s="124" t="n">
        <f aca="false">Y81+Y$16</f>
        <v>0.000251347124576569</v>
      </c>
      <c r="Z82" s="115" t="n">
        <f aca="false">(K-(L0-Y82*Ldif-alph*Y82^0.5))/R0</f>
        <v>0.662073323801547</v>
      </c>
      <c r="AA82" s="113" t="n">
        <f aca="false">IF(Z82&lt;1,X$14*((1-r_1)-Y$14*(1-r_1^2)+Z$14*(1-r_1^3)),0)</f>
        <v>1998402.67351435</v>
      </c>
      <c r="AB82" s="97" t="n">
        <f aca="false">AB81+AB$15</f>
        <v>0.000251347124576569</v>
      </c>
      <c r="AC82" s="115" t="n">
        <f aca="false">(Kopt-(L0-AB82*Ldif-alph*AB82^0.5))/R0</f>
        <v>0.662073323801547</v>
      </c>
      <c r="AD82" s="113" t="n">
        <f aca="false">IF(AC82&lt;1,X$14*((1-ropt)-Y$14*(1-ropt^2)+Z$14*(1-ropt^3)),0)</f>
        <v>1998402.67351435</v>
      </c>
      <c r="AF82" s="55"/>
      <c r="AG82" s="141" t="s">
        <v>221</v>
      </c>
      <c r="AH82" s="142" t="s">
        <v>222</v>
      </c>
      <c r="AI82" s="142" t="s">
        <v>223</v>
      </c>
      <c r="AJ82" s="147" t="s">
        <v>224</v>
      </c>
      <c r="AK82" s="142" t="s">
        <v>225</v>
      </c>
      <c r="AL82" s="142" t="s">
        <v>226</v>
      </c>
      <c r="AM82" s="142" t="s">
        <v>227</v>
      </c>
      <c r="AN82" s="142" t="s">
        <v>228</v>
      </c>
      <c r="AO82" s="142" t="s">
        <v>229</v>
      </c>
      <c r="AP82" s="142" t="s">
        <v>230</v>
      </c>
      <c r="AQ82" s="142" t="s">
        <v>231</v>
      </c>
      <c r="AR82" s="142" t="s">
        <v>232</v>
      </c>
      <c r="AS82" s="55"/>
      <c r="AT82" s="148" t="n">
        <f aca="false">MAX(AT84:AT93)</f>
        <v>51920.9081097779</v>
      </c>
      <c r="AU82" s="148"/>
    </row>
    <row r="83" customFormat="false" ht="12.75" hidden="false" customHeight="false" outlineLevel="0" collapsed="false">
      <c r="J83" s="64" t="s">
        <v>178</v>
      </c>
      <c r="K83" s="64" t="s">
        <v>179</v>
      </c>
      <c r="L83" s="65" t="s">
        <v>180</v>
      </c>
      <c r="M83" s="65" t="s">
        <v>181</v>
      </c>
      <c r="N83" s="65" t="s">
        <v>182</v>
      </c>
      <c r="O83" s="64" t="s">
        <v>183</v>
      </c>
      <c r="P83" s="64" t="s">
        <v>184</v>
      </c>
      <c r="Q83" s="64" t="s">
        <v>185</v>
      </c>
      <c r="R83" s="64" t="s">
        <v>186</v>
      </c>
      <c r="S83" s="64" t="s">
        <v>187</v>
      </c>
      <c r="T83" s="112" t="s">
        <v>188</v>
      </c>
      <c r="V83" s="69"/>
      <c r="W83" s="159"/>
      <c r="X83" s="102" t="n">
        <v>936</v>
      </c>
      <c r="Y83" s="124" t="n">
        <f aca="false">Y82+Y$16</f>
        <v>0.000255336761474609</v>
      </c>
      <c r="Z83" s="115" t="n">
        <f aca="false">(K-(L0-Y83*Ldif-alph*Y83^0.5))/R0</f>
        <v>0.662968535421543</v>
      </c>
      <c r="AA83" s="113" t="n">
        <f aca="false">IF(Z83&lt;1,X$14*((1-r_1)-Y$14*(1-r_1^2)+Z$14*(1-r_1^3)),0)</f>
        <v>1987828.64202825</v>
      </c>
      <c r="AB83" s="97" t="n">
        <f aca="false">AB82+AB$15</f>
        <v>0.000255336761474609</v>
      </c>
      <c r="AC83" s="115" t="n">
        <f aca="false">(Kopt-(L0-AB83*Ldif-alph*AB83^0.5))/R0</f>
        <v>0.662968535421543</v>
      </c>
      <c r="AD83" s="113" t="n">
        <f aca="false">IF(AC83&lt;1,X$14*((1-ropt)-Y$14*(1-ropt^2)+Z$14*(1-ropt^3)),0)</f>
        <v>1987828.64202825</v>
      </c>
      <c r="AF83" s="152" t="n">
        <v>10</v>
      </c>
      <c r="AG83" s="162" t="n">
        <f aca="false">AT69</f>
        <v>51922.4369</v>
      </c>
      <c r="AH83" s="153" t="n">
        <f aca="false">L0+R0-KK_3</f>
        <v>1577.56309999999</v>
      </c>
      <c r="AI83" s="144" t="n">
        <f aca="false">-(alph^2)-2*S_3*Ldif</f>
        <v>-625003155.1262</v>
      </c>
      <c r="AJ83" s="144" t="n">
        <f aca="false">S_3^2</f>
        <v>2488705.33448159</v>
      </c>
      <c r="AK83" s="154" t="n">
        <f aca="false">(-b_3-SQRT(b_3^2-4*a_3*c_3))/(2*a_3)</f>
        <v>0.00398188829421997</v>
      </c>
      <c r="AL83" s="145" t="n">
        <f aca="false">1-(KK_3-L0)/R0</f>
        <v>0.450732314285712</v>
      </c>
      <c r="AM83" s="145" t="n">
        <f aca="false">1-beta*(1-f_3)</f>
        <v>1</v>
      </c>
      <c r="AN83" s="155" t="n">
        <f aca="false">f_3*j_3</f>
        <v>0.450732314285712</v>
      </c>
      <c r="AO83" s="155" t="n">
        <f aca="false">f_3*k_3+j_3*g_3</f>
        <v>-7.14285714285714</v>
      </c>
      <c r="AP83" s="155" t="n">
        <f aca="false">g_3*k_3+j_3*h_3+f_3*l_3</f>
        <v>-0.000285714285714286</v>
      </c>
      <c r="AQ83" s="155" t="n">
        <f aca="false">g_3*l_3*h_3*k_3</f>
        <v>0</v>
      </c>
      <c r="AR83" s="155" t="n">
        <f aca="false">h_3*l_3</f>
        <v>0</v>
      </c>
      <c r="AS83" s="163" t="n">
        <f aca="false">M0*D0_3*(m_3+(n_3*D0_3^0.5)/1.5+p_3*D0_3/2+(q_3*D0_3^1.5)/2.5+(r_3*D0_3^2)/3)</f>
        <v>5.98259022884697</v>
      </c>
      <c r="AT83" s="157"/>
      <c r="AU83" s="157"/>
    </row>
    <row r="84" customFormat="false" ht="12.75" hidden="false" customHeight="false" outlineLevel="0" collapsed="false">
      <c r="J84" s="164" t="n">
        <f aca="false">MAX(U72:U81)</f>
        <v>51920.9081097779</v>
      </c>
      <c r="K84" s="64" t="n">
        <f aca="false">L0+R0g-KK</f>
        <v>1579.09189022207</v>
      </c>
      <c r="L84" s="65" t="n">
        <f aca="false">Ldif^2</f>
        <v>1</v>
      </c>
      <c r="M84" s="65" t="n">
        <f aca="false">-(alph^2)-2*S_1*Ldif</f>
        <v>-625003158.18378</v>
      </c>
      <c r="N84" s="65" t="n">
        <f aca="false">S_1^2</f>
        <v>2493531.19776512</v>
      </c>
      <c r="O84" s="122" t="n">
        <f aca="false">(-b_1-SQRT(b_1^2-4*a_1*c_1))/(2*a_1)</f>
        <v>0.00398963689804077</v>
      </c>
      <c r="P84" s="123" t="n">
        <f aca="false">L0-KK+(P0-Pcap)/g</f>
        <v>-33420.5581097779</v>
      </c>
      <c r="Q84" s="65" t="n">
        <f aca="false">-(alph^2)-2*S_2*Ldif</f>
        <v>-624933158.883781</v>
      </c>
      <c r="R84" s="65" t="n">
        <f aca="false">S_2^2</f>
        <v>1116933704.36904</v>
      </c>
      <c r="S84" s="122" t="n">
        <f aca="false">IF(S_2&lt;0,0,(-b_2-SQRT(b_2^2-4*a_1*c_2))/(2*a_1))</f>
        <v>0</v>
      </c>
      <c r="T84" s="165" t="n">
        <f aca="false">Pcap*DDc+(P0+g*(L0-KK))*(DDg-DDc)-g*((DDg^2-DDc^2)*Ldif/2+alph*(DDg^1.5-DDc^1.5)/1.5)</f>
        <v>5.99999995428232</v>
      </c>
      <c r="V84" s="69"/>
      <c r="W84" s="159"/>
      <c r="X84" s="102" t="n">
        <v>935</v>
      </c>
      <c r="Y84" s="124" t="n">
        <f aca="false">Y83+Y$16</f>
        <v>0.00025932639837265</v>
      </c>
      <c r="Z84" s="115" t="n">
        <f aca="false">(K-(L0-Y84*Ldif-alph*Y84^0.5))/R0</f>
        <v>0.663856780105318</v>
      </c>
      <c r="AA84" s="113" t="n">
        <f aca="false">IF(Z84&lt;1,X$14*((1-r_1)-Y$14*(1-r_1^2)+Z$14*(1-r_1^3)),0)</f>
        <v>1977364.62492038</v>
      </c>
      <c r="AB84" s="97" t="n">
        <f aca="false">AB83+AB$15</f>
        <v>0.00025932639837265</v>
      </c>
      <c r="AC84" s="115" t="n">
        <f aca="false">(Kopt-(L0-AB84*Ldif-alph*AB84^0.5))/R0</f>
        <v>0.663856780105318</v>
      </c>
      <c r="AD84" s="113" t="n">
        <f aca="false">IF(AC84&lt;1,X$14*((1-ropt)-Y$14*(1-ropt^2)+Z$14*(1-ropt^3)),0)</f>
        <v>1977364.62492038</v>
      </c>
      <c r="AF84" s="152" t="n">
        <v>9</v>
      </c>
      <c r="AG84" s="166" t="n">
        <f aca="false">AG$93+(AF84/10)*(AG$83-AG$93)</f>
        <v>51922.18689</v>
      </c>
      <c r="AH84" s="153" t="n">
        <f aca="false">L0+R0-KK_3</f>
        <v>1577.81311</v>
      </c>
      <c r="AI84" s="144" t="n">
        <f aca="false">-(alph^2)-2*S_3*Ldif</f>
        <v>-625003155.62622</v>
      </c>
      <c r="AJ84" s="144" t="n">
        <f aca="false">S_3^2</f>
        <v>2489494.21008786</v>
      </c>
      <c r="AK84" s="154" t="n">
        <f aca="false">(-b_3-SQRT(b_3^2-4*a_3*c_3))/(2*a_3)</f>
        <v>0.00398313999176025</v>
      </c>
      <c r="AL84" s="145" t="n">
        <f aca="false">1-(KK_3-L0)/R0</f>
        <v>0.450803745714285</v>
      </c>
      <c r="AM84" s="145" t="n">
        <f aca="false">1-beta*(1-f_3)</f>
        <v>1</v>
      </c>
      <c r="AN84" s="155" t="n">
        <f aca="false">f_3*j_3</f>
        <v>0.450803745714285</v>
      </c>
      <c r="AO84" s="155" t="n">
        <f aca="false">f_3*k_3+j_3*g_3</f>
        <v>-7.14285714285714</v>
      </c>
      <c r="AP84" s="155" t="n">
        <f aca="false">g_3*k_3+j_3*h_3+f_3*l_3</f>
        <v>-0.000285714285714286</v>
      </c>
      <c r="AQ84" s="155" t="n">
        <f aca="false">g_3*l_3*h_3*k_3</f>
        <v>0</v>
      </c>
      <c r="AR84" s="155" t="n">
        <f aca="false">h_3*l_3</f>
        <v>0</v>
      </c>
      <c r="AS84" s="163" t="n">
        <f aca="false">M0*D0_3*(m_3+(n_3*D0_3^0.5)/1.5+p_3*D0_3/2+(q_3*D0_3^1.5)/2.5+(r_3*D0_3^2)/3)</f>
        <v>5.98543501356366</v>
      </c>
      <c r="AT84" s="161" t="n">
        <f aca="false">IF(AND(AS84&gt;F,AS83&lt;F),AG84+(AG83-AG84)*(AS84-F)/(AS84-AS83),0)</f>
        <v>0</v>
      </c>
      <c r="AU84" s="157"/>
      <c r="AV84" s="67"/>
    </row>
    <row r="85" customFormat="false" ht="12.75" hidden="false" customHeight="false" outlineLevel="0" collapsed="false">
      <c r="J85" s="167" t="s">
        <v>244</v>
      </c>
      <c r="K85" s="67"/>
      <c r="L85" s="151"/>
      <c r="M85" s="151"/>
      <c r="O85" s="69"/>
      <c r="P85" s="69"/>
      <c r="Q85" s="69"/>
      <c r="R85" s="69"/>
      <c r="S85" s="99" t="s">
        <v>245</v>
      </c>
      <c r="T85" s="168" t="n">
        <f aca="false">ABS(F/(T84-F))</f>
        <v>131240259.625787</v>
      </c>
      <c r="U85" s="78"/>
      <c r="V85" s="69"/>
      <c r="W85" s="159"/>
      <c r="X85" s="102" t="n">
        <v>934</v>
      </c>
      <c r="Y85" s="124" t="n">
        <f aca="false">Y84+Y$16</f>
        <v>0.000263316035270691</v>
      </c>
      <c r="Z85" s="115" t="n">
        <f aca="false">(K-(L0-Y85*Ldif-alph*Y85^0.5))/R0</f>
        <v>0.664738218024215</v>
      </c>
      <c r="AA85" s="113" t="n">
        <f aca="false">IF(Z85&lt;1,X$14*((1-r_1)-Y$14*(1-r_1^2)+Z$14*(1-r_1^3)),0)</f>
        <v>1967008.09293763</v>
      </c>
      <c r="AB85" s="97" t="n">
        <f aca="false">AB84+AB$15</f>
        <v>0.000263316035270691</v>
      </c>
      <c r="AC85" s="115" t="n">
        <f aca="false">(Kopt-(L0-AB85*Ldif-alph*AB85^0.5))/R0</f>
        <v>0.664738218024215</v>
      </c>
      <c r="AD85" s="113" t="n">
        <f aca="false">IF(AC85&lt;1,X$14*((1-ropt)-Y$14*(1-ropt^2)+Z$14*(1-ropt^3)),0)</f>
        <v>1967008.09293763</v>
      </c>
      <c r="AF85" s="152" t="n">
        <v>8</v>
      </c>
      <c r="AG85" s="166" t="n">
        <f aca="false">AG$93+(AF85/10)*(AG$83-AG$93)</f>
        <v>51921.93688</v>
      </c>
      <c r="AH85" s="153" t="n">
        <f aca="false">L0+R0-KK_3</f>
        <v>1578.06311999999</v>
      </c>
      <c r="AI85" s="144" t="n">
        <f aca="false">-(alph^2)-2*S_3*Ldif</f>
        <v>-625003156.12624</v>
      </c>
      <c r="AJ85" s="144" t="n">
        <f aca="false">S_3^2</f>
        <v>2490283.21070411</v>
      </c>
      <c r="AK85" s="154" t="n">
        <f aca="false">(-b_3-SQRT(b_3^2-4*a_3*c_3))/(2*a_3)</f>
        <v>0.00398445129394531</v>
      </c>
      <c r="AL85" s="145" t="n">
        <f aca="false">1-(KK_3-L0)/R0</f>
        <v>0.450875177142855</v>
      </c>
      <c r="AM85" s="145" t="n">
        <f aca="false">1-beta*(1-f_3)</f>
        <v>1</v>
      </c>
      <c r="AN85" s="155" t="n">
        <f aca="false">f_3*j_3</f>
        <v>0.450875177142855</v>
      </c>
      <c r="AO85" s="155" t="n">
        <f aca="false">f_3*k_3+j_3*g_3</f>
        <v>-7.14285714285714</v>
      </c>
      <c r="AP85" s="155" t="n">
        <f aca="false">g_3*k_3+j_3*h_3+f_3*l_3</f>
        <v>-0.000285714285714286</v>
      </c>
      <c r="AQ85" s="155" t="n">
        <f aca="false">g_3*l_3*h_3*k_3</f>
        <v>0</v>
      </c>
      <c r="AR85" s="155" t="n">
        <f aca="false">h_3*l_3</f>
        <v>0</v>
      </c>
      <c r="AS85" s="163" t="n">
        <f aca="false">M0*D0_3*(m_3+(n_3*D0_3^0.5)/1.5+p_3*D0_3/2+(q_3*D0_3^1.5)/2.5+(r_3*D0_3^2)/3)</f>
        <v>5.9882807002748</v>
      </c>
      <c r="AT85" s="161" t="n">
        <f aca="false">IF(AND(AS85&gt;F,AS84&lt;F),AG85+(AG84-AG85)*(AS85-F)/(AS85-AS84),0)</f>
        <v>0</v>
      </c>
      <c r="AU85" s="157"/>
    </row>
    <row r="86" customFormat="false" ht="12.75" hidden="false" customHeight="false" outlineLevel="0" collapsed="false">
      <c r="J86" s="67" t="s">
        <v>246</v>
      </c>
      <c r="K86" s="67"/>
      <c r="L86" s="151"/>
      <c r="M86" s="151"/>
      <c r="N86" s="151"/>
      <c r="O86" s="69"/>
      <c r="P86" s="69"/>
      <c r="Q86" s="69"/>
      <c r="R86" s="69"/>
      <c r="S86" s="69"/>
      <c r="T86" s="69"/>
      <c r="U86" s="69"/>
      <c r="V86" s="69"/>
      <c r="W86" s="159"/>
      <c r="X86" s="102" t="n">
        <v>933</v>
      </c>
      <c r="Y86" s="124" t="n">
        <f aca="false">Y85+Y$16</f>
        <v>0.000267305672168732</v>
      </c>
      <c r="Z86" s="115" t="n">
        <f aca="false">(K-(L0-Y86*Ldif-alph*Y86^0.5))/R0</f>
        <v>0.665613003304773</v>
      </c>
      <c r="AA86" s="113" t="n">
        <f aca="false">IF(Z86&lt;1,X$14*((1-r_1)-Y$14*(1-r_1^2)+Z$14*(1-r_1^3)),0)</f>
        <v>1956756.61227994</v>
      </c>
      <c r="AB86" s="97" t="n">
        <f aca="false">AB85+AB$15</f>
        <v>0.000267305672168732</v>
      </c>
      <c r="AC86" s="115" t="n">
        <f aca="false">(Kopt-(L0-AB86*Ldif-alph*AB86^0.5))/R0</f>
        <v>0.665613003304773</v>
      </c>
      <c r="AD86" s="113" t="n">
        <f aca="false">IF(AC86&lt;1,X$14*((1-ropt)-Y$14*(1-ropt^2)+Z$14*(1-ropt^3)),0)</f>
        <v>1956756.61227994</v>
      </c>
      <c r="AF86" s="152" t="n">
        <v>7</v>
      </c>
      <c r="AG86" s="166" t="n">
        <f aca="false">AG$93+(AF86/10)*(AG$83-AG$93)</f>
        <v>51921.68687</v>
      </c>
      <c r="AH86" s="153" t="n">
        <f aca="false">L0+R0-KK_3</f>
        <v>1578.31313</v>
      </c>
      <c r="AI86" s="144" t="n">
        <f aca="false">-(alph^2)-2*S_3*Ldif</f>
        <v>-625003156.62626</v>
      </c>
      <c r="AJ86" s="144" t="n">
        <f aca="false">S_3^2</f>
        <v>2491072.33633038</v>
      </c>
      <c r="AK86" s="154" t="n">
        <f aca="false">(-b_3-SQRT(b_3^2-4*a_3*c_3))/(2*a_3)</f>
        <v>0.0039857029914856</v>
      </c>
      <c r="AL86" s="145" t="n">
        <f aca="false">1-(KK_3-L0)/R0</f>
        <v>0.450946608571427</v>
      </c>
      <c r="AM86" s="145" t="n">
        <f aca="false">1-beta*(1-f_3)</f>
        <v>1</v>
      </c>
      <c r="AN86" s="155" t="n">
        <f aca="false">f_3*j_3</f>
        <v>0.450946608571427</v>
      </c>
      <c r="AO86" s="155" t="n">
        <f aca="false">f_3*k_3+j_3*g_3</f>
        <v>-7.14285714285714</v>
      </c>
      <c r="AP86" s="155" t="n">
        <f aca="false">g_3*k_3+j_3*h_3+f_3*l_3</f>
        <v>-0.000285714285714286</v>
      </c>
      <c r="AQ86" s="155" t="n">
        <f aca="false">g_3*l_3*h_3*k_3</f>
        <v>0</v>
      </c>
      <c r="AR86" s="155" t="n">
        <f aca="false">h_3*l_3</f>
        <v>0</v>
      </c>
      <c r="AS86" s="163" t="n">
        <f aca="false">M0*D0_3*(m_3+(n_3*D0_3^0.5)/1.5+p_3*D0_3/2+(q_3*D0_3^1.5)/2.5+(r_3*D0_3^2)/3)</f>
        <v>5.99112728870976</v>
      </c>
      <c r="AT86" s="161" t="n">
        <f aca="false">IF(AND(AS86&gt;F,AS85&lt;F),AG86+(AG85-AG86)*(AS86-F)/(AS86-AS85),0)</f>
        <v>0</v>
      </c>
      <c r="AU86" s="157"/>
    </row>
    <row r="87" customFormat="false" ht="15.75" hidden="false" customHeight="false" outlineLevel="0" collapsed="false">
      <c r="J87" s="64" t="s">
        <v>178</v>
      </c>
      <c r="K87" s="64" t="s">
        <v>247</v>
      </c>
      <c r="L87" s="65" t="s">
        <v>180</v>
      </c>
      <c r="M87" s="65" t="s">
        <v>181</v>
      </c>
      <c r="N87" s="65" t="s">
        <v>182</v>
      </c>
      <c r="O87" s="169" t="s">
        <v>200</v>
      </c>
      <c r="P87" s="64" t="s">
        <v>184</v>
      </c>
      <c r="Q87" s="64" t="s">
        <v>185</v>
      </c>
      <c r="R87" s="64" t="s">
        <v>186</v>
      </c>
      <c r="S87" s="64" t="s">
        <v>187</v>
      </c>
      <c r="T87" s="112" t="s">
        <v>188</v>
      </c>
      <c r="U87" s="69"/>
      <c r="V87" s="69"/>
      <c r="W87" s="159"/>
      <c r="X87" s="102" t="n">
        <v>932</v>
      </c>
      <c r="Y87" s="124" t="n">
        <f aca="false">Y86+Y$16</f>
        <v>0.000271295309066772</v>
      </c>
      <c r="Z87" s="115" t="n">
        <f aca="false">(K-(L0-Y87*Ldif-alph*Y87^0.5))/R0</f>
        <v>0.66648128434334</v>
      </c>
      <c r="AA87" s="113" t="n">
        <f aca="false">IF(Z87&lt;1,X$14*((1-r_1)-Y$14*(1-r_1^2)+Z$14*(1-r_1^3)),0)</f>
        <v>1946607.83963219</v>
      </c>
      <c r="AB87" s="97" t="n">
        <f aca="false">AB86+AB$15</f>
        <v>0.000271295309066772</v>
      </c>
      <c r="AC87" s="115" t="n">
        <f aca="false">(Kopt-(L0-AB87*Ldif-alph*AB87^0.5))/R0</f>
        <v>0.66648128434334</v>
      </c>
      <c r="AD87" s="113" t="n">
        <f aca="false">IF(AC87&lt;1,X$14*((1-ropt)-Y$14*(1-ropt^2)+Z$14*(1-ropt^3)),0)</f>
        <v>1946607.83963219</v>
      </c>
      <c r="AF87" s="152" t="n">
        <v>6</v>
      </c>
      <c r="AG87" s="166" t="n">
        <f aca="false">AG$93+(AF87/10)*(AG$83-AG$93)</f>
        <v>51921.43686</v>
      </c>
      <c r="AH87" s="153" t="n">
        <f aca="false">L0+R0-KK_3</f>
        <v>1578.56313999999</v>
      </c>
      <c r="AI87" s="144" t="n">
        <f aca="false">-(alph^2)-2*S_3*Ldif</f>
        <v>-625003157.12628</v>
      </c>
      <c r="AJ87" s="144" t="n">
        <f aca="false">S_3^2</f>
        <v>2491861.58696663</v>
      </c>
      <c r="AK87" s="154" t="n">
        <f aca="false">(-b_3-SQRT(b_3^2-4*a_3*c_3))/(2*a_3)</f>
        <v>0.00398695468902588</v>
      </c>
      <c r="AL87" s="145" t="n">
        <f aca="false">1-(KK_3-L0)/R0</f>
        <v>0.451018039999998</v>
      </c>
      <c r="AM87" s="145" t="n">
        <f aca="false">1-beta*(1-f_3)</f>
        <v>1</v>
      </c>
      <c r="AN87" s="155" t="n">
        <f aca="false">f_3*j_3</f>
        <v>0.451018039999998</v>
      </c>
      <c r="AO87" s="155" t="n">
        <f aca="false">f_3*k_3+j_3*g_3</f>
        <v>-7.14285714285714</v>
      </c>
      <c r="AP87" s="155" t="n">
        <f aca="false">g_3*k_3+j_3*h_3+f_3*l_3</f>
        <v>-0.000285714285714286</v>
      </c>
      <c r="AQ87" s="155" t="n">
        <f aca="false">g_3*l_3*h_3*k_3</f>
        <v>0</v>
      </c>
      <c r="AR87" s="155" t="n">
        <f aca="false">h_3*l_3</f>
        <v>0</v>
      </c>
      <c r="AS87" s="163" t="n">
        <f aca="false">M0*D0_3*(m_3+(n_3*D0_3^0.5)/1.5+p_3*D0_3/2+(q_3*D0_3^1.5)/2.5+(r_3*D0_3^2)/3)</f>
        <v>5.99397477903562</v>
      </c>
      <c r="AT87" s="161" t="n">
        <f aca="false">IF(AND(AS87&gt;F,AS86&lt;F),AG87+(AG86-AG87)*(AS87-F)/(AS87-AS86),0)</f>
        <v>0</v>
      </c>
      <c r="AU87" s="157"/>
    </row>
    <row r="88" customFormat="false" ht="15.75" hidden="false" customHeight="false" outlineLevel="0" collapsed="false">
      <c r="J88" s="67" t="n">
        <f aca="false">J84</f>
        <v>51920.9081097779</v>
      </c>
      <c r="K88" s="64" t="n">
        <f aca="false">L0+R0-KK</f>
        <v>1579.09189022207</v>
      </c>
      <c r="L88" s="65" t="n">
        <f aca="false">Ldif^2</f>
        <v>1</v>
      </c>
      <c r="M88" s="65" t="n">
        <f aca="false">-(alph^2)-2*S_1*Ldif</f>
        <v>-625003158.18378</v>
      </c>
      <c r="N88" s="65" t="n">
        <f aca="false">S_1^2</f>
        <v>2493531.19776512</v>
      </c>
      <c r="O88" s="170" t="n">
        <f aca="false">IF(K88&lt;0.1,0,(-b_1-SQRT(b_1^2-4*a_1*c_1))/(2*a_1))</f>
        <v>0.00398963689804077</v>
      </c>
      <c r="P88" s="123" t="n">
        <f aca="false">L0-KK+(P0-Pcap)/g</f>
        <v>-33420.5581097779</v>
      </c>
      <c r="Q88" s="65" t="n">
        <f aca="false">-(alph^2)-2*S_2*Ldif</f>
        <v>-624933158.883781</v>
      </c>
      <c r="R88" s="65" t="n">
        <f aca="false">S_2^2</f>
        <v>1116933704.36904</v>
      </c>
      <c r="S88" s="122" t="n">
        <f aca="false">IF(S_2&lt;0,0,(-b_2-SQRT(b_2^2-4*a_1*c_2))/(2*a_1))</f>
        <v>0</v>
      </c>
      <c r="T88" s="66" t="n">
        <f aca="false">Pcap*DDc+(P0+g*(L0-KK))*(DDg-DDc)-g*((DDg^2-DDc^2)*Ldif/2+alph*(DDg^1.5-DDc^1.5)/1.5)</f>
        <v>5.99999995428232</v>
      </c>
      <c r="U88" s="69"/>
      <c r="W88" s="159"/>
      <c r="X88" s="102" t="n">
        <v>931</v>
      </c>
      <c r="Y88" s="124" t="n">
        <f aca="false">Y87+Y$16</f>
        <v>0.000275284945964813</v>
      </c>
      <c r="Z88" s="115" t="n">
        <f aca="false">(K-(L0-Y88*Ldif-alph*Y88^0.5))/R0</f>
        <v>0.667343204099997</v>
      </c>
      <c r="AA88" s="113" t="n">
        <f aca="false">IF(Z88&lt;1,X$14*((1-r_1)-Y$14*(1-r_1^2)+Z$14*(1-r_1^3)),0)</f>
        <v>1936559.51752299</v>
      </c>
      <c r="AB88" s="97" t="n">
        <f aca="false">AB87+AB$15</f>
        <v>0.000275284945964813</v>
      </c>
      <c r="AC88" s="115" t="n">
        <f aca="false">(Kopt-(L0-AB88*Ldif-alph*AB88^0.5))/R0</f>
        <v>0.667343204099997</v>
      </c>
      <c r="AD88" s="113" t="n">
        <f aca="false">IF(AC88&lt;1,X$14*((1-ropt)-Y$14*(1-ropt^2)+Z$14*(1-ropt^3)),0)</f>
        <v>1936559.51752299</v>
      </c>
      <c r="AF88" s="152" t="n">
        <v>5</v>
      </c>
      <c r="AG88" s="166" t="n">
        <f aca="false">AG$93+(AF88/10)*(AG$83-AG$93)</f>
        <v>51921.18685</v>
      </c>
      <c r="AH88" s="153" t="n">
        <f aca="false">L0+R0-KK_3</f>
        <v>1578.81314999999</v>
      </c>
      <c r="AI88" s="144" t="n">
        <f aca="false">-(alph^2)-2*S_3*Ldif</f>
        <v>-625003157.6263</v>
      </c>
      <c r="AJ88" s="144" t="n">
        <f aca="false">S_3^2</f>
        <v>2492650.96261291</v>
      </c>
      <c r="AK88" s="154" t="n">
        <f aca="false">(-b_3-SQRT(b_3^2-4*a_3*c_3))/(2*a_3)</f>
        <v>0.00398820638656616</v>
      </c>
      <c r="AL88" s="145" t="n">
        <f aca="false">1-(KK_3-L0)/R0</f>
        <v>0.45108947142857</v>
      </c>
      <c r="AM88" s="145" t="n">
        <f aca="false">1-beta*(1-f_3)</f>
        <v>1</v>
      </c>
      <c r="AN88" s="155" t="n">
        <f aca="false">f_3*j_3</f>
        <v>0.45108947142857</v>
      </c>
      <c r="AO88" s="155" t="n">
        <f aca="false">f_3*k_3+j_3*g_3</f>
        <v>-7.14285714285714</v>
      </c>
      <c r="AP88" s="155" t="n">
        <f aca="false">g_3*k_3+j_3*h_3+f_3*l_3</f>
        <v>-0.000285714285714286</v>
      </c>
      <c r="AQ88" s="155" t="n">
        <f aca="false">g_3*l_3*h_3*k_3</f>
        <v>0</v>
      </c>
      <c r="AR88" s="155" t="n">
        <f aca="false">h_3*l_3</f>
        <v>0</v>
      </c>
      <c r="AS88" s="163" t="n">
        <f aca="false">M0*D0_3*(m_3+(n_3*D0_3^0.5)/1.5+p_3*D0_3/2+(q_3*D0_3^1.5)/2.5+(r_3*D0_3^2)/3)</f>
        <v>5.99682317139169</v>
      </c>
      <c r="AT88" s="161" t="n">
        <f aca="false">IF(AND(AS88&gt;F,AS87&lt;F),AG88+(AG87-AG88)*(AS88-F)/(AS88-AS87),0)</f>
        <v>0</v>
      </c>
      <c r="AU88" s="157"/>
    </row>
    <row r="89" customFormat="false" ht="12.75" hidden="false" customHeight="false" outlineLevel="0" collapsed="false">
      <c r="W89" s="159"/>
      <c r="X89" s="102" t="n">
        <v>930</v>
      </c>
      <c r="Y89" s="124" t="n">
        <f aca="false">Y88+Y$16</f>
        <v>0.000279274582862854</v>
      </c>
      <c r="Z89" s="115" t="n">
        <f aca="false">(K-(L0-Y89*Ldif-alph*Y89^0.5))/R0</f>
        <v>0.668198900373314</v>
      </c>
      <c r="AA89" s="113" t="n">
        <f aca="false">IF(Z89&lt;1,X$14*((1-r_1)-Y$14*(1-r_1^2)+Z$14*(1-r_1^3)),0)</f>
        <v>1926609.46998587</v>
      </c>
      <c r="AB89" s="97" t="n">
        <f aca="false">AB88+AB$15</f>
        <v>0.000279274582862854</v>
      </c>
      <c r="AC89" s="115" t="n">
        <f aca="false">(Kopt-(L0-AB89*Ldif-alph*AB89^0.5))/R0</f>
        <v>0.668198900373314</v>
      </c>
      <c r="AD89" s="113" t="n">
        <f aca="false">IF(AC89&lt;1,X$14*((1-ropt)-Y$14*(1-ropt^2)+Z$14*(1-ropt^3)),0)</f>
        <v>1926609.46998587</v>
      </c>
      <c r="AF89" s="152" t="n">
        <v>4</v>
      </c>
      <c r="AG89" s="166" t="n">
        <f aca="false">AG$93+(AF89/10)*(AG$83-AG$93)</f>
        <v>51920.93684</v>
      </c>
      <c r="AH89" s="153" t="n">
        <f aca="false">L0+R0-KK_3</f>
        <v>1579.06316</v>
      </c>
      <c r="AI89" s="144" t="n">
        <f aca="false">-(alph^2)-2*S_3*Ldif</f>
        <v>-625003158.12632</v>
      </c>
      <c r="AJ89" s="144" t="n">
        <f aca="false">S_3^2</f>
        <v>2493440.46326918</v>
      </c>
      <c r="AK89" s="154" t="n">
        <f aca="false">(-b_3-SQRT(b_3^2-4*a_3*c_3))/(2*a_3)</f>
        <v>0.00398945808410645</v>
      </c>
      <c r="AL89" s="145" t="n">
        <f aca="false">1-(KK_3-L0)/R0</f>
        <v>0.451160902857142</v>
      </c>
      <c r="AM89" s="145" t="n">
        <f aca="false">1-beta*(1-f_3)</f>
        <v>1</v>
      </c>
      <c r="AN89" s="155" t="n">
        <f aca="false">f_3*j_3</f>
        <v>0.451160902857142</v>
      </c>
      <c r="AO89" s="155" t="n">
        <f aca="false">f_3*k_3+j_3*g_3</f>
        <v>-7.14285714285714</v>
      </c>
      <c r="AP89" s="155" t="n">
        <f aca="false">g_3*k_3+j_3*h_3+f_3*l_3</f>
        <v>-0.000285714285714286</v>
      </c>
      <c r="AQ89" s="155" t="n">
        <f aca="false">g_3*l_3*h_3*k_3</f>
        <v>0</v>
      </c>
      <c r="AR89" s="155" t="n">
        <f aca="false">h_3*l_3</f>
        <v>0</v>
      </c>
      <c r="AS89" s="163" t="n">
        <f aca="false">M0*D0_3*(m_3+(n_3*D0_3^0.5)/1.5+p_3*D0_3/2+(q_3*D0_3^1.5)/2.5+(r_3*D0_3^2)/3)</f>
        <v>5.99967246591693</v>
      </c>
      <c r="AT89" s="161" t="n">
        <f aca="false">IF(AND(AS89&gt;F,AS88&lt;F),AG89+(AG88-AG89)*(AS89-F)/(AS89-AS88),0)</f>
        <v>0</v>
      </c>
      <c r="AU89" s="157"/>
    </row>
    <row r="90" customFormat="false" ht="12.75" hidden="false" customHeight="false" outlineLevel="0" collapsed="false">
      <c r="W90" s="159"/>
      <c r="X90" s="102" t="n">
        <v>929</v>
      </c>
      <c r="Y90" s="124" t="n">
        <f aca="false">Y89+Y$16</f>
        <v>0.000283264219760895</v>
      </c>
      <c r="Z90" s="115" t="n">
        <f aca="false">(K-(L0-Y90*Ldif-alph*Y90^0.5))/R0</f>
        <v>0.669048506057572</v>
      </c>
      <c r="AA90" s="113" t="n">
        <f aca="false">IF(Z90&lt;1,X$14*((1-r_1)-Y$14*(1-r_1^2)+Z$14*(1-r_1^3)),0)</f>
        <v>1916755.59849769</v>
      </c>
      <c r="AB90" s="97" t="n">
        <f aca="false">AB89+AB$15</f>
        <v>0.000283264219760895</v>
      </c>
      <c r="AC90" s="115" t="n">
        <f aca="false">(Kopt-(L0-AB90*Ldif-alph*AB90^0.5))/R0</f>
        <v>0.669048506057572</v>
      </c>
      <c r="AD90" s="113" t="n">
        <f aca="false">IF(AC90&lt;1,X$14*((1-ropt)-Y$14*(1-ropt^2)+Z$14*(1-ropt^3)),0)</f>
        <v>1916755.59849769</v>
      </c>
      <c r="AF90" s="152" t="n">
        <v>3</v>
      </c>
      <c r="AG90" s="166" t="n">
        <f aca="false">AG$93+(AF90/10)*(AG$83-AG$93)</f>
        <v>51920.68683</v>
      </c>
      <c r="AH90" s="153" t="n">
        <f aca="false">L0+R0-KK_3</f>
        <v>1579.31316999999</v>
      </c>
      <c r="AI90" s="144" t="n">
        <f aca="false">-(alph^2)-2*S_3*Ldif</f>
        <v>-625003158.62634</v>
      </c>
      <c r="AJ90" s="144" t="n">
        <f aca="false">S_3^2</f>
        <v>2494230.08893543</v>
      </c>
      <c r="AK90" s="154" t="n">
        <f aca="false">(-b_3-SQRT(b_3^2-4*a_3*c_3))/(2*a_3)</f>
        <v>0.0039907693862915</v>
      </c>
      <c r="AL90" s="145" t="n">
        <f aca="false">1-(KK_3-L0)/R0</f>
        <v>0.451232334285713</v>
      </c>
      <c r="AM90" s="145" t="n">
        <f aca="false">1-beta*(1-f_3)</f>
        <v>1</v>
      </c>
      <c r="AN90" s="155" t="n">
        <f aca="false">f_3*j_3</f>
        <v>0.451232334285713</v>
      </c>
      <c r="AO90" s="155" t="n">
        <f aca="false">f_3*k_3+j_3*g_3</f>
        <v>-7.14285714285714</v>
      </c>
      <c r="AP90" s="155" t="n">
        <f aca="false">g_3*k_3+j_3*h_3+f_3*l_3</f>
        <v>-0.000285714285714286</v>
      </c>
      <c r="AQ90" s="155" t="n">
        <f aca="false">g_3*l_3*h_3*k_3</f>
        <v>0</v>
      </c>
      <c r="AR90" s="155" t="n">
        <f aca="false">h_3*l_3</f>
        <v>0</v>
      </c>
      <c r="AS90" s="163" t="n">
        <f aca="false">M0*D0_3*(m_3+(n_3*D0_3^0.5)/1.5+p_3*D0_3/2+(q_3*D0_3^1.5)/2.5+(r_3*D0_3^2)/3)</f>
        <v>6.00252266303302</v>
      </c>
      <c r="AT90" s="161" t="n">
        <f aca="false">IF(AND(AS90&gt;F,AS89&lt;F),AG90+(AG89-AG90)*(AS90-F)/(AS90-AS89),0)</f>
        <v>51920.9081097779</v>
      </c>
      <c r="AU90" s="157"/>
    </row>
    <row r="91" customFormat="false" ht="12.75" hidden="false" customHeight="false" outlineLevel="0" collapsed="false">
      <c r="W91" s="159"/>
      <c r="X91" s="102" t="n">
        <v>928</v>
      </c>
      <c r="Y91" s="124" t="n">
        <f aca="false">Y90+Y$16</f>
        <v>0.000287253856658936</v>
      </c>
      <c r="Z91" s="115" t="n">
        <f aca="false">(K-(L0-Y91*Ldif-alph*Y91^0.5))/R0</f>
        <v>0.66989214938367</v>
      </c>
      <c r="AA91" s="113" t="n">
        <f aca="false">IF(Z91&lt;1,X$14*((1-r_1)-Y$14*(1-r_1^2)+Z$14*(1-r_1^3)),0)</f>
        <v>1906995.87817433</v>
      </c>
      <c r="AB91" s="97" t="n">
        <f aca="false">AB90+AB$15</f>
        <v>0.000287253856658936</v>
      </c>
      <c r="AC91" s="115" t="n">
        <f aca="false">(Kopt-(L0-AB91*Ldif-alph*AB91^0.5))/R0</f>
        <v>0.66989214938367</v>
      </c>
      <c r="AD91" s="113" t="n">
        <f aca="false">IF(AC91&lt;1,X$14*((1-ropt)-Y$14*(1-ropt^2)+Z$14*(1-ropt^3)),0)</f>
        <v>1906995.87817433</v>
      </c>
      <c r="AF91" s="152" t="n">
        <v>2</v>
      </c>
      <c r="AG91" s="166" t="n">
        <f aca="false">AG$93+(AF91/10)*(AG$83-AG$93)</f>
        <v>51920.43682</v>
      </c>
      <c r="AH91" s="153" t="n">
        <f aca="false">L0+R0-KK_3</f>
        <v>1579.56318</v>
      </c>
      <c r="AI91" s="144" t="n">
        <f aca="false">-(alph^2)-2*S_3*Ldif</f>
        <v>-625003159.12636</v>
      </c>
      <c r="AJ91" s="144" t="n">
        <f aca="false">S_3^2</f>
        <v>2495019.8396117</v>
      </c>
      <c r="AK91" s="154" t="n">
        <f aca="false">(-b_3-SQRT(b_3^2-4*a_3*c_3))/(2*a_3)</f>
        <v>0.00399202108383179</v>
      </c>
      <c r="AL91" s="145" t="n">
        <f aca="false">1-(KK_3-L0)/R0</f>
        <v>0.451303765714285</v>
      </c>
      <c r="AM91" s="145" t="n">
        <f aca="false">1-beta*(1-f_3)</f>
        <v>1</v>
      </c>
      <c r="AN91" s="155" t="n">
        <f aca="false">f_3*j_3</f>
        <v>0.451303765714285</v>
      </c>
      <c r="AO91" s="155" t="n">
        <f aca="false">f_3*k_3+j_3*g_3</f>
        <v>-7.14285714285714</v>
      </c>
      <c r="AP91" s="155" t="n">
        <f aca="false">g_3*k_3+j_3*h_3+f_3*l_3</f>
        <v>-0.000285714285714286</v>
      </c>
      <c r="AQ91" s="155" t="n">
        <f aca="false">g_3*l_3*h_3*k_3</f>
        <v>0</v>
      </c>
      <c r="AR91" s="155" t="n">
        <f aca="false">h_3*l_3</f>
        <v>0</v>
      </c>
      <c r="AS91" s="163" t="n">
        <f aca="false">M0*D0_3*(m_3+(n_3*D0_3^0.5)/1.5+p_3*D0_3/2+(q_3*D0_3^1.5)/2.5+(r_3*D0_3^2)/3)</f>
        <v>6.0053737627143</v>
      </c>
      <c r="AT91" s="161" t="n">
        <f aca="false">IF(AND(AS91&gt;F,AS90&lt;F),AG91+(AG90-AG91)*(AS91-F)/(AS91-AS90),0)</f>
        <v>0</v>
      </c>
      <c r="AU91" s="157"/>
    </row>
    <row r="92" customFormat="false" ht="12.75" hidden="false" customHeight="false" outlineLevel="0" collapsed="false">
      <c r="W92" s="159"/>
      <c r="X92" s="102" t="n">
        <v>927</v>
      </c>
      <c r="Y92" s="124" t="n">
        <f aca="false">Y91+Y$16</f>
        <v>0.000291243493556976</v>
      </c>
      <c r="Z92" s="115" t="n">
        <f aca="false">(K-(L0-Y92*Ldif-alph*Y92^0.5))/R0</f>
        <v>0.670729954145086</v>
      </c>
      <c r="AA92" s="113" t="n">
        <f aca="false">IF(Z92&lt;1,X$14*((1-r_1)-Y$14*(1-r_1^2)+Z$14*(1-r_1^3)),0)</f>
        <v>1897328.3542027</v>
      </c>
      <c r="AB92" s="97" t="n">
        <f aca="false">AB91+AB$15</f>
        <v>0.000291243493556976</v>
      </c>
      <c r="AC92" s="115" t="n">
        <f aca="false">(Kopt-(L0-AB92*Ldif-alph*AB92^0.5))/R0</f>
        <v>0.670729954145086</v>
      </c>
      <c r="AD92" s="113" t="n">
        <f aca="false">IF(AC92&lt;1,X$14*((1-ropt)-Y$14*(1-ropt^2)+Z$14*(1-ropt^3)),0)</f>
        <v>1897328.3542027</v>
      </c>
      <c r="AF92" s="152" t="n">
        <v>1</v>
      </c>
      <c r="AG92" s="166" t="n">
        <f aca="false">AG$93+(AF92/10)*(AG$83-AG$93)</f>
        <v>51920.18681</v>
      </c>
      <c r="AH92" s="153" t="n">
        <f aca="false">L0+R0-KK_3</f>
        <v>1579.81318999999</v>
      </c>
      <c r="AI92" s="144" t="n">
        <f aca="false">-(alph^2)-2*S_3*Ldif</f>
        <v>-625003159.62638</v>
      </c>
      <c r="AJ92" s="144" t="n">
        <f aca="false">S_3^2</f>
        <v>2495809.71529796</v>
      </c>
      <c r="AK92" s="154" t="n">
        <f aca="false">(-b_3-SQRT(b_3^2-4*a_3*c_3))/(2*a_3)</f>
        <v>0.00399327278137207</v>
      </c>
      <c r="AL92" s="145" t="n">
        <f aca="false">1-(KK_3-L0)/R0</f>
        <v>0.451375197142855</v>
      </c>
      <c r="AM92" s="145" t="n">
        <f aca="false">1-beta*(1-f_3)</f>
        <v>1</v>
      </c>
      <c r="AN92" s="155" t="n">
        <f aca="false">f_3*j_3</f>
        <v>0.451375197142855</v>
      </c>
      <c r="AO92" s="155" t="n">
        <f aca="false">f_3*k_3+j_3*g_3</f>
        <v>-7.14285714285714</v>
      </c>
      <c r="AP92" s="155" t="n">
        <f aca="false">g_3*k_3+j_3*h_3+f_3*l_3</f>
        <v>-0.000285714285714286</v>
      </c>
      <c r="AQ92" s="155" t="n">
        <f aca="false">g_3*l_3*h_3*k_3</f>
        <v>0</v>
      </c>
      <c r="AR92" s="155" t="n">
        <f aca="false">h_3*l_3</f>
        <v>0</v>
      </c>
      <c r="AS92" s="163" t="n">
        <f aca="false">M0*D0_3*(m_3+(n_3*D0_3^0.5)/1.5+p_3*D0_3/2+(q_3*D0_3^1.5)/2.5+(r_3*D0_3^2)/3)</f>
        <v>6.00822576498814</v>
      </c>
      <c r="AT92" s="161" t="n">
        <f aca="false">IF(AND(AS92&gt;F,AS91&lt;F),AG92+(AG91-AG92)*(AS92-F)/(AS92-AS91),0)</f>
        <v>0</v>
      </c>
      <c r="AU92" s="157"/>
    </row>
    <row r="93" customFormat="false" ht="12.75" hidden="false" customHeight="false" outlineLevel="0" collapsed="false">
      <c r="J93" s="67"/>
      <c r="K93" s="67"/>
      <c r="L93" s="151"/>
      <c r="M93" s="151"/>
      <c r="N93" s="151"/>
      <c r="O93" s="69"/>
      <c r="P93" s="69"/>
      <c r="Q93" s="69"/>
      <c r="R93" s="69"/>
      <c r="S93" s="69"/>
      <c r="T93" s="69"/>
      <c r="U93" s="69"/>
      <c r="V93" s="69"/>
      <c r="W93" s="159"/>
      <c r="X93" s="102" t="n">
        <v>926</v>
      </c>
      <c r="Y93" s="124" t="n">
        <f aca="false">Y92+Y$16</f>
        <v>0.000295233130455017</v>
      </c>
      <c r="Z93" s="115" t="n">
        <f aca="false">(K-(L0-Y93*Ldif-alph*Y93^0.5))/R0</f>
        <v>0.671562039909901</v>
      </c>
      <c r="AA93" s="113" t="n">
        <f aca="false">IF(Z93&lt;1,X$14*((1-r_1)-Y$14*(1-r_1^2)+Z$14*(1-r_1^3)),0)</f>
        <v>1887751.13849255</v>
      </c>
      <c r="AB93" s="97" t="n">
        <f aca="false">AB92+AB$15</f>
        <v>0.000295233130455017</v>
      </c>
      <c r="AC93" s="115" t="n">
        <f aca="false">(Kopt-(L0-AB93*Ldif-alph*AB93^0.5))/R0</f>
        <v>0.671562039909901</v>
      </c>
      <c r="AD93" s="113" t="n">
        <f aca="false">IF(AC93&lt;1,X$14*((1-ropt)-Y$14*(1-ropt^2)+Z$14*(1-ropt^3)),0)</f>
        <v>1887751.13849255</v>
      </c>
      <c r="AF93" s="152" t="n">
        <v>0</v>
      </c>
      <c r="AG93" s="166" t="n">
        <f aca="false">AU69</f>
        <v>51919.9368</v>
      </c>
      <c r="AH93" s="153" t="n">
        <f aca="false">L0+R0-KK_3</f>
        <v>1580.0632</v>
      </c>
      <c r="AI93" s="144" t="n">
        <f aca="false">-(alph^2)-2*S_3*Ldif</f>
        <v>-625003160.1264</v>
      </c>
      <c r="AJ93" s="144" t="n">
        <f aca="false">S_3^2</f>
        <v>2496599.71599423</v>
      </c>
      <c r="AK93" s="154" t="n">
        <f aca="false">(-b_3-SQRT(b_3^2-4*a_3*c_3))/(2*a_3)</f>
        <v>0.00399452447891235</v>
      </c>
      <c r="AL93" s="145" t="n">
        <f aca="false">1-(KK_3-L0)/R0</f>
        <v>0.451446628571428</v>
      </c>
      <c r="AM93" s="145" t="n">
        <f aca="false">1-beta*(1-f_3)</f>
        <v>1</v>
      </c>
      <c r="AN93" s="155" t="n">
        <f aca="false">f_3*j_3</f>
        <v>0.451446628571428</v>
      </c>
      <c r="AO93" s="155" t="n">
        <f aca="false">f_3*k_3+j_3*g_3</f>
        <v>-7.14285714285714</v>
      </c>
      <c r="AP93" s="155" t="n">
        <f aca="false">g_3*k_3+j_3*h_3+f_3*l_3</f>
        <v>-0.000285714285714286</v>
      </c>
      <c r="AQ93" s="155" t="n">
        <f aca="false">g_3*l_3*h_3*k_3</f>
        <v>0</v>
      </c>
      <c r="AR93" s="155" t="n">
        <f aca="false">h_3*l_3</f>
        <v>0</v>
      </c>
      <c r="AS93" s="163" t="n">
        <f aca="false">M0*D0_3*(m_3+(n_3*D0_3^0.5)/1.5+p_3*D0_3/2+(q_3*D0_3^1.5)/2.5+(r_3*D0_3^2)/3)</f>
        <v>6.01107866999349</v>
      </c>
      <c r="AT93" s="161" t="n">
        <f aca="false">IF(AND(AS93&gt;F,AS92&lt;F),AG93+(AG92-AG93)*(AS93-F)/(AS93-AS92),0)</f>
        <v>0</v>
      </c>
      <c r="AU93" s="157"/>
    </row>
    <row r="94" customFormat="false" ht="12.75" hidden="false" customHeight="false" outlineLevel="0" collapsed="false">
      <c r="J94" s="67"/>
      <c r="K94" s="67"/>
      <c r="L94" s="151"/>
      <c r="M94" s="151"/>
      <c r="N94" s="151"/>
      <c r="O94" s="69"/>
      <c r="P94" s="69"/>
      <c r="Q94" s="69"/>
      <c r="R94" s="69"/>
      <c r="S94" s="69"/>
      <c r="T94" s="69"/>
      <c r="U94" s="69"/>
      <c r="V94" s="69"/>
      <c r="W94" s="159"/>
      <c r="X94" s="102" t="n">
        <v>925</v>
      </c>
      <c r="Y94" s="124" t="n">
        <f aca="false">Y93+Y$16</f>
        <v>0.000299222767353058</v>
      </c>
      <c r="Z94" s="115" t="n">
        <f aca="false">(K-(L0-Y94*Ldif-alph*Y94^0.5))/R0</f>
        <v>0.672388522220025</v>
      </c>
      <c r="AA94" s="113" t="n">
        <f aca="false">IF(Z94&lt;1,X$14*((1-r_1)-Y$14*(1-r_1^2)+Z$14*(1-r_1^3)),0)</f>
        <v>1878262.40653064</v>
      </c>
      <c r="AB94" s="97" t="n">
        <f aca="false">AB93+AB$15</f>
        <v>0.000299222767353058</v>
      </c>
      <c r="AC94" s="115" t="n">
        <f aca="false">(Kopt-(L0-AB94*Ldif-alph*AB94^0.5))/R0</f>
        <v>0.672388522220025</v>
      </c>
      <c r="AD94" s="113" t="n">
        <f aca="false">IF(AC94&lt;1,X$14*((1-ropt)-Y$14*(1-ropt^2)+Z$14*(1-ropt^3)),0)</f>
        <v>1878262.40653064</v>
      </c>
    </row>
    <row r="95" customFormat="false" ht="15.75" hidden="false" customHeight="false" outlineLevel="0" collapsed="false">
      <c r="J95" s="67"/>
      <c r="K95" s="67"/>
      <c r="L95" s="151"/>
      <c r="M95" s="151"/>
      <c r="N95" s="151"/>
      <c r="O95" s="69"/>
      <c r="P95" s="69"/>
      <c r="Q95" s="69"/>
      <c r="R95" s="69"/>
      <c r="S95" s="69"/>
      <c r="T95" s="69"/>
      <c r="U95" s="69"/>
      <c r="V95" s="69"/>
      <c r="W95" s="159"/>
      <c r="X95" s="102" t="n">
        <v>924</v>
      </c>
      <c r="Y95" s="124" t="n">
        <f aca="false">Y94+Y$16</f>
        <v>0.000303212404251099</v>
      </c>
      <c r="Z95" s="115" t="n">
        <f aca="false">(K-(L0-Y95*Ldif-alph*Y95^0.5))/R0</f>
        <v>0.673209512778452</v>
      </c>
      <c r="AA95" s="113" t="n">
        <f aca="false">IF(Z95&lt;1,X$14*((1-r_1)-Y$14*(1-r_1^2)+Z$14*(1-r_1^3)),0)</f>
        <v>1868860.3944237</v>
      </c>
      <c r="AB95" s="97" t="n">
        <f aca="false">AB94+AB$15</f>
        <v>0.000303212404251099</v>
      </c>
      <c r="AC95" s="115" t="n">
        <f aca="false">(Kopt-(L0-AB95*Ldif-alph*AB95^0.5))/R0</f>
        <v>0.673209512778452</v>
      </c>
      <c r="AD95" s="113" t="n">
        <f aca="false">IF(AC95&lt;1,X$14*((1-ropt)-Y$14*(1-ropt^2)+Z$14*(1-ropt^3)),0)</f>
        <v>1868860.3944237</v>
      </c>
      <c r="AG95" s="171" t="s">
        <v>145</v>
      </c>
      <c r="AK95" s="172" t="s">
        <v>158</v>
      </c>
    </row>
    <row r="96" customFormat="false" ht="15.75" hidden="false" customHeight="false" outlineLevel="0" collapsed="false">
      <c r="J96" s="67"/>
      <c r="K96" s="67"/>
      <c r="L96" s="151"/>
      <c r="M96" s="151"/>
      <c r="N96" s="151"/>
      <c r="O96" s="69"/>
      <c r="P96" s="69"/>
      <c r="Q96" s="69"/>
      <c r="R96" s="69"/>
      <c r="S96" s="69"/>
      <c r="T96" s="69"/>
      <c r="U96" s="69"/>
      <c r="V96" s="69"/>
      <c r="W96" s="159"/>
      <c r="X96" s="102" t="n">
        <v>923</v>
      </c>
      <c r="Y96" s="124" t="n">
        <f aca="false">Y95+Y$16</f>
        <v>0.00030720204114914</v>
      </c>
      <c r="Z96" s="115" t="n">
        <f aca="false">(K-(L0-Y96*Ldif-alph*Y96^0.5))/R0</f>
        <v>0.674025119625506</v>
      </c>
      <c r="AA96" s="113" t="n">
        <f aca="false">IF(Z96&lt;1,X$14*((1-r_1)-Y$14*(1-r_1^2)+Z$14*(1-r_1^3)),0)</f>
        <v>1859543.3961154</v>
      </c>
      <c r="AB96" s="97" t="n">
        <f aca="false">AB95+AB$15</f>
        <v>0.00030720204114914</v>
      </c>
      <c r="AC96" s="115" t="n">
        <f aca="false">(Kopt-(L0-AB96*Ldif-alph*AB96^0.5))/R0</f>
        <v>0.674025119625506</v>
      </c>
      <c r="AD96" s="113" t="n">
        <f aca="false">IF(AC96&lt;1,X$14*((1-ropt)-Y$14*(1-ropt^2)+Z$14*(1-ropt^3)),0)</f>
        <v>1859543.3961154</v>
      </c>
      <c r="AG96" s="71" t="n">
        <f aca="false">AT82</f>
        <v>51920.9081097779</v>
      </c>
      <c r="AH96" s="153" t="n">
        <f aca="false">L0+R0-KK_3</f>
        <v>1579.09189022207</v>
      </c>
      <c r="AI96" s="144" t="n">
        <f aca="false">-(alph^2)-2*S_3*Ldif</f>
        <v>-625003158.18378</v>
      </c>
      <c r="AJ96" s="144" t="n">
        <f aca="false">S_3^2</f>
        <v>2493531.19776512</v>
      </c>
      <c r="AK96" s="170" t="n">
        <f aca="false">(-b_3-SQRT(b_3^2-4*a_3*c_3))/(2*a_3)</f>
        <v>0.00398963689804077</v>
      </c>
      <c r="AL96" s="145" t="n">
        <f aca="false">1-(KK_3-L0)/R0</f>
        <v>0.451169111492021</v>
      </c>
      <c r="AM96" s="145" t="n">
        <f aca="false">1-beta*(1-f_3)</f>
        <v>1</v>
      </c>
      <c r="AN96" s="155" t="n">
        <f aca="false">f_3*j_3</f>
        <v>0.451169111492021</v>
      </c>
      <c r="AO96" s="155" t="n">
        <f aca="false">f_3*k_3+j_3*g_3</f>
        <v>-7.14285714285714</v>
      </c>
      <c r="AP96" s="155" t="n">
        <f aca="false">g_3*k_3+j_3*h_3+f_3*l_3</f>
        <v>-0.000285714285714286</v>
      </c>
      <c r="AQ96" s="155" t="n">
        <f aca="false">g_3*l_3*h_3*k_3</f>
        <v>0</v>
      </c>
      <c r="AR96" s="155" t="n">
        <f aca="false">h_3*l_3</f>
        <v>0</v>
      </c>
      <c r="AS96" s="163" t="n">
        <f aca="false">M0*D0_3*(m_3+(n_3*D0_3^0.5)/1.5+p_3*D0_3/2+(q_3*D0_3^1.5)/2.5+(r_3*D0_3^2)/3)</f>
        <v>5.99999995428232</v>
      </c>
    </row>
    <row r="97" customFormat="false" ht="12.75" hidden="false" customHeight="false" outlineLevel="0" collapsed="false">
      <c r="J97" s="67"/>
      <c r="K97" s="67"/>
      <c r="L97" s="151"/>
      <c r="M97" s="151"/>
      <c r="N97" s="151"/>
      <c r="O97" s="69"/>
      <c r="P97" s="69"/>
      <c r="Q97" s="69"/>
      <c r="R97" s="69"/>
      <c r="S97" s="69"/>
      <c r="T97" s="69"/>
      <c r="U97" s="69"/>
      <c r="V97" s="69"/>
      <c r="W97" s="159"/>
      <c r="X97" s="102" t="n">
        <v>922</v>
      </c>
      <c r="Y97" s="124" t="n">
        <f aca="false">Y96+Y$16</f>
        <v>0.00031119167804718</v>
      </c>
      <c r="Z97" s="115" t="n">
        <f aca="false">(K-(L0-Y97*Ldif-alph*Y97^0.5))/R0</f>
        <v>0.674835447304803</v>
      </c>
      <c r="AA97" s="113" t="n">
        <f aca="false">IF(Z97&lt;1,X$14*((1-r_1)-Y$14*(1-r_1^2)+Z$14*(1-r_1^3)),0)</f>
        <v>1850309.76076568</v>
      </c>
      <c r="AB97" s="97" t="n">
        <f aca="false">AB96+AB$15</f>
        <v>0.00031119167804718</v>
      </c>
      <c r="AC97" s="115" t="n">
        <f aca="false">(Kopt-(L0-AB97*Ldif-alph*AB97^0.5))/R0</f>
        <v>0.674835447304803</v>
      </c>
      <c r="AD97" s="113" t="n">
        <f aca="false">IF(AC97&lt;1,X$14*((1-ropt)-Y$14*(1-ropt^2)+Z$14*(1-ropt^3)),0)</f>
        <v>1850309.76076568</v>
      </c>
    </row>
    <row r="98" customFormat="false" ht="12.75" hidden="false" customHeight="false" outlineLevel="0" collapsed="false">
      <c r="J98" s="67"/>
      <c r="K98" s="67"/>
      <c r="L98" s="151"/>
      <c r="M98" s="151"/>
      <c r="N98" s="151"/>
      <c r="O98" s="69"/>
      <c r="P98" s="69"/>
      <c r="Q98" s="69"/>
      <c r="R98" s="69"/>
      <c r="S98" s="69"/>
      <c r="T98" s="69"/>
      <c r="U98" s="69"/>
      <c r="V98" s="69"/>
      <c r="W98" s="159"/>
      <c r="X98" s="102" t="n">
        <v>921</v>
      </c>
      <c r="Y98" s="124" t="n">
        <f aca="false">Y97+Y$16</f>
        <v>0.000315181314945221</v>
      </c>
      <c r="Z98" s="115" t="n">
        <f aca="false">(K-(L0-Y98*Ldif-alph*Y98^0.5))/R0</f>
        <v>0.675640597019661</v>
      </c>
      <c r="AA98" s="113" t="n">
        <f aca="false">IF(Z98&lt;1,X$14*((1-r_1)-Y$14*(1-r_1^2)+Z$14*(1-r_1^3)),0)</f>
        <v>1841157.89028084</v>
      </c>
      <c r="AB98" s="97" t="n">
        <f aca="false">AB97+AB$15</f>
        <v>0.000315181314945221</v>
      </c>
      <c r="AC98" s="115" t="n">
        <f aca="false">(Kopt-(L0-AB98*Ldif-alph*AB98^0.5))/R0</f>
        <v>0.675640597019661</v>
      </c>
      <c r="AD98" s="113" t="n">
        <f aca="false">IF(AC98&lt;1,X$14*((1-ropt)-Y$14*(1-ropt^2)+Z$14*(1-ropt^3)),0)</f>
        <v>1841157.89028084</v>
      </c>
    </row>
    <row r="99" customFormat="false" ht="12.75" hidden="false" customHeight="false" outlineLevel="0" collapsed="false">
      <c r="J99" s="67"/>
      <c r="K99" s="67"/>
      <c r="L99" s="151"/>
      <c r="M99" s="151"/>
      <c r="N99" s="151"/>
      <c r="O99" s="69"/>
      <c r="P99" s="69"/>
      <c r="Q99" s="69"/>
      <c r="R99" s="69"/>
      <c r="S99" s="69"/>
      <c r="T99" s="69"/>
      <c r="U99" s="69"/>
      <c r="V99" s="69"/>
      <c r="W99" s="159"/>
      <c r="X99" s="102" t="n">
        <v>920</v>
      </c>
      <c r="Y99" s="124" t="n">
        <f aca="false">Y98+Y$16</f>
        <v>0.000319170951843262</v>
      </c>
      <c r="Z99" s="115" t="n">
        <f aca="false">(K-(L0-Y99*Ldif-alph*Y99^0.5))/R0</f>
        <v>0.676440666780643</v>
      </c>
      <c r="AA99" s="113" t="n">
        <f aca="false">IF(Z99&lt;1,X$14*((1-r_1)-Y$14*(1-r_1^2)+Z$14*(1-r_1^3)),0)</f>
        <v>1832086.23698371</v>
      </c>
      <c r="AB99" s="97" t="n">
        <f aca="false">AB98+AB$15</f>
        <v>0.000319170951843262</v>
      </c>
      <c r="AC99" s="115" t="n">
        <f aca="false">(Kopt-(L0-AB99*Ldif-alph*AB99^0.5))/R0</f>
        <v>0.676440666780643</v>
      </c>
      <c r="AD99" s="113" t="n">
        <f aca="false">IF(AC99&lt;1,X$14*((1-ropt)-Y$14*(1-ropt^2)+Z$14*(1-ropt^3)),0)</f>
        <v>1832086.23698371</v>
      </c>
    </row>
    <row r="100" customFormat="false" ht="12.75" hidden="false" customHeight="false" outlineLevel="0" collapsed="false">
      <c r="J100" s="67"/>
      <c r="K100" s="67"/>
      <c r="L100" s="151"/>
      <c r="M100" s="151"/>
      <c r="N100" s="151"/>
      <c r="O100" s="69"/>
      <c r="P100" s="69"/>
      <c r="Q100" s="69"/>
      <c r="R100" s="69"/>
      <c r="S100" s="69"/>
      <c r="T100" s="69"/>
      <c r="U100" s="69"/>
      <c r="V100" s="69"/>
      <c r="W100" s="159"/>
      <c r="X100" s="102" t="n">
        <v>919</v>
      </c>
      <c r="Y100" s="124" t="n">
        <f aca="false">Y99+Y$16</f>
        <v>0.000323160588741303</v>
      </c>
      <c r="Z100" s="115" t="n">
        <f aca="false">(K-(L0-Y100*Ldif-alph*Y100^0.5))/R0</f>
        <v>0.677235751544805</v>
      </c>
      <c r="AA100" s="113" t="n">
        <f aca="false">IF(Z100&lt;1,X$14*((1-r_1)-Y$14*(1-r_1^2)+Z$14*(1-r_1^3)),0)</f>
        <v>1823093.30141482</v>
      </c>
      <c r="AB100" s="97" t="n">
        <f aca="false">AB99+AB$15</f>
        <v>0.000323160588741303</v>
      </c>
      <c r="AC100" s="115" t="n">
        <f aca="false">(Kopt-(L0-AB100*Ldif-alph*AB100^0.5))/R0</f>
        <v>0.677235751544805</v>
      </c>
      <c r="AD100" s="113" t="n">
        <f aca="false">IF(AC100&lt;1,X$14*((1-ropt)-Y$14*(1-ropt^2)+Z$14*(1-ropt^3)),0)</f>
        <v>1823093.30141482</v>
      </c>
    </row>
    <row r="101" customFormat="false" ht="12.75" hidden="false" customHeight="false" outlineLevel="0" collapsed="false">
      <c r="J101" s="67"/>
      <c r="K101" s="67"/>
      <c r="L101" s="151"/>
      <c r="M101" s="151"/>
      <c r="N101" s="151"/>
      <c r="O101" s="69"/>
      <c r="P101" s="69"/>
      <c r="Q101" s="69"/>
      <c r="R101" s="69"/>
      <c r="S101" s="69"/>
      <c r="T101" s="69"/>
      <c r="U101" s="69"/>
      <c r="V101" s="69"/>
      <c r="W101" s="159"/>
      <c r="X101" s="102" t="n">
        <v>918</v>
      </c>
      <c r="Y101" s="124" t="n">
        <f aca="false">Y100+Y$16</f>
        <v>0.000327150225639344</v>
      </c>
      <c r="Z101" s="115" t="n">
        <f aca="false">(K-(L0-Y101*Ldif-alph*Y101^0.5))/R0</f>
        <v>0.678025943347259</v>
      </c>
      <c r="AA101" s="113" t="n">
        <f aca="false">IF(Z101&lt;1,X$14*((1-r_1)-Y$14*(1-r_1^2)+Z$14*(1-r_1^3)),0)</f>
        <v>1814177.63025489</v>
      </c>
      <c r="AB101" s="97" t="n">
        <f aca="false">AB100+AB$15</f>
        <v>0.000327150225639344</v>
      </c>
      <c r="AC101" s="115" t="n">
        <f aca="false">(Kopt-(L0-AB101*Ldif-alph*AB101^0.5))/R0</f>
        <v>0.678025943347259</v>
      </c>
      <c r="AD101" s="113" t="n">
        <f aca="false">IF(AC101&lt;1,X$14*((1-ropt)-Y$14*(1-ropt^2)+Z$14*(1-ropt^3)),0)</f>
        <v>1814177.63025489</v>
      </c>
    </row>
    <row r="102" customFormat="false" ht="12.75" hidden="false" customHeight="false" outlineLevel="0" collapsed="false">
      <c r="J102" s="67"/>
      <c r="K102" s="67"/>
      <c r="L102" s="151"/>
      <c r="M102" s="151"/>
      <c r="N102" s="151"/>
      <c r="O102" s="69"/>
      <c r="P102" s="69"/>
      <c r="Q102" s="69"/>
      <c r="R102" s="69"/>
      <c r="S102" s="69"/>
      <c r="T102" s="69"/>
      <c r="U102" s="69"/>
      <c r="V102" s="69"/>
      <c r="W102" s="159"/>
      <c r="X102" s="102" t="n">
        <v>917</v>
      </c>
      <c r="Y102" s="124" t="n">
        <f aca="false">Y101+Y$16</f>
        <v>0.000331139862537384</v>
      </c>
      <c r="Z102" s="115" t="n">
        <f aca="false">(K-(L0-Y102*Ldif-alph*Y102^0.5))/R0</f>
        <v>0.678811331425507</v>
      </c>
      <c r="AA102" s="113" t="n">
        <f aca="false">IF(Z102&lt;1,X$14*((1-r_1)-Y$14*(1-r_1^2)+Z$14*(1-r_1^3)),0)</f>
        <v>1805337.81436148</v>
      </c>
      <c r="AB102" s="97" t="n">
        <f aca="false">AB101+AB$15</f>
        <v>0.000331139862537384</v>
      </c>
      <c r="AC102" s="115" t="n">
        <f aca="false">(Kopt-(L0-AB102*Ldif-alph*AB102^0.5))/R0</f>
        <v>0.678811331425507</v>
      </c>
      <c r="AD102" s="113" t="n">
        <f aca="false">IF(AC102&lt;1,X$14*((1-ropt)-Y$14*(1-ropt^2)+Z$14*(1-ropt^3)),0)</f>
        <v>1805337.81436148</v>
      </c>
    </row>
    <row r="103" customFormat="false" ht="12.75" hidden="false" customHeight="false" outlineLevel="0" collapsed="false">
      <c r="J103" s="67"/>
      <c r="K103" s="67"/>
      <c r="L103" s="151"/>
      <c r="M103" s="151"/>
      <c r="N103" s="151"/>
      <c r="O103" s="69"/>
      <c r="P103" s="69"/>
      <c r="Q103" s="69"/>
      <c r="R103" s="69"/>
      <c r="S103" s="69"/>
      <c r="T103" s="69"/>
      <c r="U103" s="69"/>
      <c r="V103" s="69"/>
      <c r="W103" s="159"/>
      <c r="X103" s="102" t="n">
        <v>916</v>
      </c>
      <c r="Y103" s="124" t="n">
        <f aca="false">Y102+Y$16</f>
        <v>0.000335129499435425</v>
      </c>
      <c r="Z103" s="115" t="n">
        <f aca="false">(K-(L0-Y103*Ldif-alph*Y103^0.5))/R0</f>
        <v>0.679592002337079</v>
      </c>
      <c r="AA103" s="113" t="n">
        <f aca="false">IF(Z103&lt;1,X$14*((1-r_1)-Y$14*(1-r_1^2)+Z$14*(1-r_1^3)),0)</f>
        <v>1796572.48691134</v>
      </c>
      <c r="AB103" s="97" t="n">
        <f aca="false">AB102+AB$15</f>
        <v>0.000335129499435425</v>
      </c>
      <c r="AC103" s="115" t="n">
        <f aca="false">(Kopt-(L0-AB103*Ldif-alph*AB103^0.5))/R0</f>
        <v>0.679592002337079</v>
      </c>
      <c r="AD103" s="113" t="n">
        <f aca="false">IF(AC103&lt;1,X$14*((1-ropt)-Y$14*(1-ropt^2)+Z$14*(1-ropt^3)),0)</f>
        <v>1796572.48691134</v>
      </c>
    </row>
    <row r="104" customFormat="false" ht="12.75" hidden="false" customHeight="false" outlineLevel="0" collapsed="false">
      <c r="J104" s="67"/>
      <c r="K104" s="67"/>
      <c r="L104" s="151"/>
      <c r="M104" s="151"/>
      <c r="N104" s="151"/>
      <c r="O104" s="69"/>
      <c r="P104" s="69"/>
      <c r="Q104" s="69"/>
      <c r="R104" s="69"/>
      <c r="S104" s="69"/>
      <c r="T104" s="69"/>
      <c r="U104" s="69"/>
      <c r="V104" s="69"/>
      <c r="W104" s="159"/>
      <c r="X104" s="102" t="n">
        <v>915</v>
      </c>
      <c r="Y104" s="124" t="n">
        <f aca="false">Y103+Y$16</f>
        <v>0.000339119136333466</v>
      </c>
      <c r="Z104" s="115" t="n">
        <f aca="false">(K-(L0-Y104*Ldif-alph*Y104^0.5))/R0</f>
        <v>0.680368040070867</v>
      </c>
      <c r="AA104" s="113" t="n">
        <f aca="false">IF(Z104&lt;1,X$14*((1-r_1)-Y$14*(1-r_1^2)+Z$14*(1-r_1^3)),0)</f>
        <v>1787880.32164243</v>
      </c>
      <c r="AB104" s="97" t="n">
        <f aca="false">AB103+AB$15</f>
        <v>0.000339119136333466</v>
      </c>
      <c r="AC104" s="115" t="n">
        <f aca="false">(Kopt-(L0-AB104*Ldif-alph*AB104^0.5))/R0</f>
        <v>0.680368040070867</v>
      </c>
      <c r="AD104" s="113" t="n">
        <f aca="false">IF(AC104&lt;1,X$14*((1-ropt)-Y$14*(1-ropt^2)+Z$14*(1-ropt^3)),0)</f>
        <v>1787880.32164243</v>
      </c>
    </row>
    <row r="105" customFormat="false" ht="12.75" hidden="false" customHeight="false" outlineLevel="0" collapsed="false">
      <c r="J105" s="67"/>
      <c r="K105" s="67"/>
      <c r="L105" s="151"/>
      <c r="M105" s="151"/>
      <c r="N105" s="151"/>
      <c r="O105" s="69"/>
      <c r="P105" s="69"/>
      <c r="Q105" s="69"/>
      <c r="R105" s="69"/>
      <c r="S105" s="69"/>
      <c r="T105" s="69"/>
      <c r="U105" s="69"/>
      <c r="V105" s="69"/>
      <c r="W105" s="159"/>
      <c r="X105" s="102" t="n">
        <v>914</v>
      </c>
      <c r="Y105" s="124" t="n">
        <f aca="false">Y104+Y$16</f>
        <v>0.000343108773231507</v>
      </c>
      <c r="Z105" s="115" t="n">
        <f aca="false">(K-(L0-Y105*Ldif-alph*Y105^0.5))/R0</f>
        <v>0.681139526152601</v>
      </c>
      <c r="AA105" s="113" t="n">
        <f aca="false">IF(Z105&lt;1,X$14*((1-r_1)-Y$14*(1-r_1^2)+Z$14*(1-r_1^3)),0)</f>
        <v>1779260.03118829</v>
      </c>
      <c r="AB105" s="97" t="n">
        <f aca="false">AB104+AB$15</f>
        <v>0.000343108773231507</v>
      </c>
      <c r="AC105" s="115" t="n">
        <f aca="false">(Kopt-(L0-AB105*Ldif-alph*AB105^0.5))/R0</f>
        <v>0.681139526152601</v>
      </c>
      <c r="AD105" s="113" t="n">
        <f aca="false">IF(AC105&lt;1,X$14*((1-ropt)-Y$14*(1-ropt^2)+Z$14*(1-ropt^3)),0)</f>
        <v>1779260.03118829</v>
      </c>
    </row>
    <row r="106" customFormat="false" ht="12.75" hidden="false" customHeight="false" outlineLevel="0" collapsed="false">
      <c r="J106" s="67"/>
      <c r="K106" s="67"/>
      <c r="L106" s="151"/>
      <c r="M106" s="151"/>
      <c r="N106" s="151"/>
      <c r="O106" s="69"/>
      <c r="P106" s="69"/>
      <c r="Q106" s="69"/>
      <c r="R106" s="69"/>
      <c r="S106" s="69"/>
      <c r="T106" s="69"/>
      <c r="U106" s="69"/>
      <c r="V106" s="69"/>
      <c r="W106" s="159"/>
      <c r="X106" s="102" t="n">
        <v>913</v>
      </c>
      <c r="Y106" s="124" t="n">
        <f aca="false">Y105+Y$16</f>
        <v>0.000347098410129548</v>
      </c>
      <c r="Z106" s="115" t="n">
        <f aca="false">(K-(L0-Y106*Ldif-alph*Y106^0.5))/R0</f>
        <v>0.681906539744799</v>
      </c>
      <c r="AA106" s="113" t="n">
        <f aca="false">IF(Z106&lt;1,X$14*((1-r_1)-Y$14*(1-r_1^2)+Z$14*(1-r_1^3)),0)</f>
        <v>1770710.36549972</v>
      </c>
      <c r="AB106" s="97" t="n">
        <f aca="false">AB105+AB$15</f>
        <v>0.000347098410129548</v>
      </c>
      <c r="AC106" s="115" t="n">
        <f aca="false">(Kopt-(L0-AB106*Ldif-alph*AB106^0.5))/R0</f>
        <v>0.681906539744799</v>
      </c>
      <c r="AD106" s="113" t="n">
        <f aca="false">IF(AC106&lt;1,X$14*((1-ropt)-Y$14*(1-ropt^2)+Z$14*(1-ropt^3)),0)</f>
        <v>1770710.36549972</v>
      </c>
    </row>
    <row r="107" customFormat="false" ht="12.75" hidden="false" customHeight="false" outlineLevel="0" collapsed="false">
      <c r="J107" s="67"/>
      <c r="K107" s="67"/>
      <c r="L107" s="151"/>
      <c r="M107" s="151"/>
      <c r="N107" s="151"/>
      <c r="O107" s="69"/>
      <c r="P107" s="69"/>
      <c r="Q107" s="69"/>
      <c r="R107" s="69"/>
      <c r="S107" s="69"/>
      <c r="T107" s="69"/>
      <c r="U107" s="69"/>
      <c r="V107" s="69"/>
      <c r="W107" s="159"/>
      <c r="X107" s="102" t="n">
        <v>912</v>
      </c>
      <c r="Y107" s="124" t="n">
        <f aca="false">Y106+Y$16</f>
        <v>0.000351088047027588</v>
      </c>
      <c r="Z107" s="115" t="n">
        <f aca="false">(K-(L0-Y107*Ldif-alph*Y107^0.5))/R0</f>
        <v>0.682669157741587</v>
      </c>
      <c r="AA107" s="113" t="n">
        <f aca="false">IF(Z107&lt;1,X$14*((1-r_1)-Y$14*(1-r_1^2)+Z$14*(1-r_1^3)),0)</f>
        <v>1762230.11034759</v>
      </c>
      <c r="AB107" s="97" t="n">
        <f aca="false">AB106+AB$15</f>
        <v>0.000351088047027588</v>
      </c>
      <c r="AC107" s="115" t="n">
        <f aca="false">(Kopt-(L0-AB107*Ldif-alph*AB107^0.5))/R0</f>
        <v>0.682669157741587</v>
      </c>
      <c r="AD107" s="113" t="n">
        <f aca="false">IF(AC107&lt;1,X$14*((1-ropt)-Y$14*(1-ropt^2)+Z$14*(1-ropt^3)),0)</f>
        <v>1762230.11034759</v>
      </c>
    </row>
    <row r="108" customFormat="false" ht="12.75" hidden="false" customHeight="false" outlineLevel="0" collapsed="false">
      <c r="J108" s="67"/>
      <c r="K108" s="67"/>
      <c r="L108" s="151"/>
      <c r="M108" s="151"/>
      <c r="N108" s="151"/>
      <c r="O108" s="69"/>
      <c r="P108" s="69"/>
      <c r="Q108" s="69"/>
      <c r="R108" s="69"/>
      <c r="S108" s="69"/>
      <c r="T108" s="69"/>
      <c r="U108" s="69"/>
      <c r="V108" s="69"/>
      <c r="W108" s="159"/>
      <c r="X108" s="102" t="n">
        <v>911</v>
      </c>
      <c r="Y108" s="124" t="n">
        <f aca="false">Y107+Y$16</f>
        <v>0.000355077683925629</v>
      </c>
      <c r="Z108" s="115" t="n">
        <f aca="false">(K-(L0-Y108*Ldif-alph*Y108^0.5))/R0</f>
        <v>0.683427454858654</v>
      </c>
      <c r="AA108" s="113" t="n">
        <f aca="false">IF(Z108&lt;1,X$14*((1-r_1)-Y$14*(1-r_1^2)+Z$14*(1-r_1^3)),0)</f>
        <v>1753818.08590221</v>
      </c>
      <c r="AB108" s="97" t="n">
        <f aca="false">AB107+AB$15</f>
        <v>0.000355077683925629</v>
      </c>
      <c r="AC108" s="115" t="n">
        <f aca="false">(Kopt-(L0-AB108*Ldif-alph*AB108^0.5))/R0</f>
        <v>0.683427454858654</v>
      </c>
      <c r="AD108" s="113" t="n">
        <f aca="false">IF(AC108&lt;1,X$14*((1-ropt)-Y$14*(1-ropt^2)+Z$14*(1-ropt^3)),0)</f>
        <v>1753818.08590221</v>
      </c>
    </row>
    <row r="109" customFormat="false" ht="12.75" hidden="false" customHeight="false" outlineLevel="0" collapsed="false">
      <c r="J109" s="67"/>
      <c r="K109" s="67"/>
      <c r="L109" s="151"/>
      <c r="M109" s="151"/>
      <c r="N109" s="151"/>
      <c r="O109" s="69"/>
      <c r="P109" s="69"/>
      <c r="Q109" s="69"/>
      <c r="R109" s="69"/>
      <c r="S109" s="69"/>
      <c r="T109" s="69"/>
      <c r="U109" s="69"/>
      <c r="V109" s="69"/>
      <c r="W109" s="159"/>
      <c r="X109" s="102" t="n">
        <v>910</v>
      </c>
      <c r="Y109" s="124" t="n">
        <f aca="false">Y108+Y$16</f>
        <v>0.00035906732082367</v>
      </c>
      <c r="Z109" s="115" t="n">
        <f aca="false">(K-(L0-Y109*Ldif-alph*Y109^0.5))/R0</f>
        <v>0.684181503718706</v>
      </c>
      <c r="AA109" s="113" t="n">
        <f aca="false">IF(Z109&lt;1,X$14*((1-r_1)-Y$14*(1-r_1^2)+Z$14*(1-r_1^3)),0)</f>
        <v>1745473.14538411</v>
      </c>
      <c r="AB109" s="97" t="n">
        <f aca="false">AB108+AB$15</f>
        <v>0.00035906732082367</v>
      </c>
      <c r="AC109" s="115" t="n">
        <f aca="false">(Kopt-(L0-AB109*Ldif-alph*AB109^0.5))/R0</f>
        <v>0.684181503718706</v>
      </c>
      <c r="AD109" s="113" t="n">
        <f aca="false">IF(AC109&lt;1,X$14*((1-ropt)-Y$14*(1-ropt^2)+Z$14*(1-ropt^3)),0)</f>
        <v>1745473.14538411</v>
      </c>
    </row>
    <row r="110" customFormat="false" ht="12.75" hidden="false" customHeight="false" outlineLevel="0" collapsed="false">
      <c r="J110" s="67"/>
      <c r="K110" s="67"/>
      <c r="L110" s="151"/>
      <c r="M110" s="151"/>
      <c r="N110" s="151"/>
      <c r="O110" s="69"/>
      <c r="P110" s="69"/>
      <c r="Q110" s="69"/>
      <c r="R110" s="69"/>
      <c r="S110" s="69"/>
      <c r="T110" s="69"/>
      <c r="U110" s="69"/>
      <c r="V110" s="69"/>
      <c r="W110" s="159"/>
      <c r="X110" s="102" t="n">
        <v>909</v>
      </c>
      <c r="Y110" s="124" t="n">
        <f aca="false">Y109+Y$16</f>
        <v>0.000363056957721711</v>
      </c>
      <c r="Z110" s="115" t="n">
        <f aca="false">(K-(L0-Y110*Ldif-alph*Y110^0.5))/R0</f>
        <v>0.684931374932619</v>
      </c>
      <c r="AA110" s="113" t="n">
        <f aca="false">IF(Z110&lt;1,X$14*((1-r_1)-Y$14*(1-r_1^2)+Z$14*(1-r_1^3)),0)</f>
        <v>1737194.17378238</v>
      </c>
      <c r="AB110" s="97" t="n">
        <f aca="false">AB109+AB$15</f>
        <v>0.000363056957721711</v>
      </c>
      <c r="AC110" s="115" t="n">
        <f aca="false">(Kopt-(L0-AB110*Ldif-alph*AB110^0.5))/R0</f>
        <v>0.684931374932619</v>
      </c>
      <c r="AD110" s="113" t="n">
        <f aca="false">IF(AC110&lt;1,X$14*((1-ropt)-Y$14*(1-ropt^2)+Z$14*(1-ropt^3)),0)</f>
        <v>1737194.17378238</v>
      </c>
    </row>
    <row r="111" customFormat="false" ht="12.75" hidden="false" customHeight="false" outlineLevel="0" collapsed="false">
      <c r="J111" s="67"/>
      <c r="K111" s="67"/>
      <c r="L111" s="151"/>
      <c r="M111" s="151"/>
      <c r="N111" s="151"/>
      <c r="O111" s="69"/>
      <c r="P111" s="69"/>
      <c r="Q111" s="69"/>
      <c r="R111" s="69"/>
      <c r="S111" s="69"/>
      <c r="T111" s="69"/>
      <c r="U111" s="69"/>
      <c r="V111" s="69"/>
      <c r="W111" s="159"/>
      <c r="X111" s="102" t="n">
        <v>908</v>
      </c>
      <c r="Y111" s="124" t="n">
        <f aca="false">Y110+Y$16</f>
        <v>0.000367046594619752</v>
      </c>
      <c r="Z111" s="115" t="n">
        <f aca="false">(K-(L0-Y111*Ldif-alph*Y111^0.5))/R0</f>
        <v>0.685677137176631</v>
      </c>
      <c r="AA111" s="113" t="n">
        <f aca="false">IF(Z111&lt;1,X$14*((1-r_1)-Y$14*(1-r_1^2)+Z$14*(1-r_1^3)),0)</f>
        <v>1728980.08663587</v>
      </c>
      <c r="AB111" s="97" t="n">
        <f aca="false">AB110+AB$15</f>
        <v>0.000367046594619752</v>
      </c>
      <c r="AC111" s="115" t="n">
        <f aca="false">(Kopt-(L0-AB111*Ldif-alph*AB111^0.5))/R0</f>
        <v>0.685677137176631</v>
      </c>
      <c r="AD111" s="113" t="n">
        <f aca="false">IF(AC111&lt;1,X$14*((1-ropt)-Y$14*(1-ropt^2)+Z$14*(1-ropt^3)),0)</f>
        <v>1728980.08663587</v>
      </c>
    </row>
    <row r="112" customFormat="false" ht="12.75" hidden="false" customHeight="false" outlineLevel="0" collapsed="false">
      <c r="J112" s="67"/>
      <c r="K112" s="67"/>
      <c r="L112" s="151"/>
      <c r="M112" s="151"/>
      <c r="N112" s="151"/>
      <c r="O112" s="69"/>
      <c r="P112" s="69"/>
      <c r="Q112" s="69"/>
      <c r="R112" s="69"/>
      <c r="S112" s="69"/>
      <c r="T112" s="69"/>
      <c r="U112" s="69"/>
      <c r="V112" s="69"/>
      <c r="W112" s="159"/>
      <c r="X112" s="102" t="n">
        <v>907</v>
      </c>
      <c r="Y112" s="124" t="n">
        <f aca="false">Y111+Y$16</f>
        <v>0.000371036231517792</v>
      </c>
      <c r="Z112" s="115" t="n">
        <f aca="false">(K-(L0-Y112*Ldif-alph*Y112^0.5))/R0</f>
        <v>0.686418857265732</v>
      </c>
      <c r="AA112" s="113" t="n">
        <f aca="false">IF(Z112&lt;1,X$14*((1-r_1)-Y$14*(1-r_1^2)+Z$14*(1-r_1^3)),0)</f>
        <v>1720829.82887427</v>
      </c>
      <c r="AB112" s="97" t="n">
        <f aca="false">AB111+AB$15</f>
        <v>0.000371036231517792</v>
      </c>
      <c r="AC112" s="115" t="n">
        <f aca="false">(Kopt-(L0-AB112*Ldif-alph*AB112^0.5))/R0</f>
        <v>0.686418857265732</v>
      </c>
      <c r="AD112" s="113" t="n">
        <f aca="false">IF(AC112&lt;1,X$14*((1-ropt)-Y$14*(1-ropt^2)+Z$14*(1-ropt^3)),0)</f>
        <v>1720829.82887427</v>
      </c>
    </row>
    <row r="113" customFormat="false" ht="12.75" hidden="false" customHeight="false" outlineLevel="0" collapsed="false">
      <c r="J113" s="67"/>
      <c r="K113" s="67"/>
      <c r="L113" s="151"/>
      <c r="M113" s="151"/>
      <c r="N113" s="151"/>
      <c r="O113" s="69"/>
      <c r="P113" s="69"/>
      <c r="Q113" s="69"/>
      <c r="R113" s="69"/>
      <c r="S113" s="69"/>
      <c r="T113" s="69"/>
      <c r="U113" s="69"/>
      <c r="V113" s="69"/>
      <c r="W113" s="159"/>
      <c r="X113" s="102" t="n">
        <v>906</v>
      </c>
      <c r="Y113" s="124" t="n">
        <f aca="false">Y112+Y$16</f>
        <v>0.000375025868415833</v>
      </c>
      <c r="Z113" s="115" t="n">
        <f aca="false">(K-(L0-Y113*Ldif-alph*Y113^0.5))/R0</f>
        <v>0.687156600223538</v>
      </c>
      <c r="AA113" s="113" t="n">
        <f aca="false">IF(Z113&lt;1,X$14*((1-r_1)-Y$14*(1-r_1^2)+Z$14*(1-r_1^3)),0)</f>
        <v>1712742.37371467</v>
      </c>
      <c r="AB113" s="97" t="n">
        <f aca="false">AB112+AB$15</f>
        <v>0.000375025868415833</v>
      </c>
      <c r="AC113" s="115" t="n">
        <f aca="false">(Kopt-(L0-AB113*Ldif-alph*AB113^0.5))/R0</f>
        <v>0.687156600223538</v>
      </c>
      <c r="AD113" s="113" t="n">
        <f aca="false">IF(AC113&lt;1,X$14*((1-ropt)-Y$14*(1-ropt^2)+Z$14*(1-ropt^3)),0)</f>
        <v>1712742.37371467</v>
      </c>
    </row>
    <row r="114" customFormat="false" ht="12.75" hidden="false" customHeight="false" outlineLevel="0" collapsed="false">
      <c r="J114" s="67"/>
      <c r="K114" s="67"/>
      <c r="L114" s="151"/>
      <c r="M114" s="151"/>
      <c r="N114" s="151"/>
      <c r="O114" s="69"/>
      <c r="P114" s="69"/>
      <c r="Q114" s="69"/>
      <c r="R114" s="69"/>
      <c r="S114" s="69"/>
      <c r="T114" s="69"/>
      <c r="U114" s="69"/>
      <c r="V114" s="69"/>
      <c r="W114" s="159"/>
      <c r="X114" s="102" t="n">
        <v>905</v>
      </c>
      <c r="Y114" s="124" t="n">
        <f aca="false">Y113+Y$16</f>
        <v>0.000379015505313874</v>
      </c>
      <c r="Z114" s="115" t="n">
        <f aca="false">(K-(L0-Y114*Ldif-alph*Y114^0.5))/R0</f>
        <v>0.687890429348814</v>
      </c>
      <c r="AA114" s="113" t="n">
        <f aca="false">IF(Z114&lt;1,X$14*((1-r_1)-Y$14*(1-r_1^2)+Z$14*(1-r_1^3)),0)</f>
        <v>1704716.72161119</v>
      </c>
      <c r="AB114" s="97" t="n">
        <f aca="false">AB113+AB$15</f>
        <v>0.000379015505313874</v>
      </c>
      <c r="AC114" s="115" t="n">
        <f aca="false">(Kopt-(L0-AB114*Ldif-alph*AB114^0.5))/R0</f>
        <v>0.687890429348814</v>
      </c>
      <c r="AD114" s="113" t="n">
        <f aca="false">IF(AC114&lt;1,X$14*((1-ropt)-Y$14*(1-ropt^2)+Z$14*(1-ropt^3)),0)</f>
        <v>1704716.72161119</v>
      </c>
    </row>
    <row r="115" customFormat="false" ht="12.75" hidden="false" customHeight="false" outlineLevel="0" collapsed="false">
      <c r="J115" s="67"/>
      <c r="K115" s="67"/>
      <c r="L115" s="151"/>
      <c r="M115" s="151"/>
      <c r="N115" s="151"/>
      <c r="O115" s="69"/>
      <c r="P115" s="69"/>
      <c r="Q115" s="69"/>
      <c r="R115" s="69"/>
      <c r="S115" s="69"/>
      <c r="T115" s="69"/>
      <c r="U115" s="69"/>
      <c r="V115" s="69"/>
      <c r="W115" s="159"/>
      <c r="X115" s="102" t="n">
        <v>904</v>
      </c>
      <c r="Y115" s="124" t="n">
        <f aca="false">Y114+Y$16</f>
        <v>0.000383005142211915</v>
      </c>
      <c r="Z115" s="115" t="n">
        <f aca="false">(K-(L0-Y115*Ldif-alph*Y115^0.5))/R0</f>
        <v>0.688620406278858</v>
      </c>
      <c r="AA115" s="113" t="n">
        <f aca="false">IF(Z115&lt;1,X$14*((1-r_1)-Y$14*(1-r_1^2)+Z$14*(1-r_1^3)),0)</f>
        <v>1696751.89925401</v>
      </c>
      <c r="AB115" s="97" t="n">
        <f aca="false">AB114+AB$15</f>
        <v>0.000383005142211915</v>
      </c>
      <c r="AC115" s="115" t="n">
        <f aca="false">(Kopt-(L0-AB115*Ldif-alph*AB115^0.5))/R0</f>
        <v>0.688620406278858</v>
      </c>
      <c r="AD115" s="113" t="n">
        <f aca="false">IF(AC115&lt;1,X$14*((1-ropt)-Y$14*(1-ropt^2)+Z$14*(1-ropt^3)),0)</f>
        <v>1696751.89925401</v>
      </c>
    </row>
    <row r="116" customFormat="false" ht="12.75" hidden="false" customHeight="false" outlineLevel="0" collapsed="false">
      <c r="J116" s="67"/>
      <c r="K116" s="67"/>
      <c r="L116" s="151"/>
      <c r="M116" s="151"/>
      <c r="N116" s="151"/>
      <c r="O116" s="69"/>
      <c r="P116" s="69"/>
      <c r="Q116" s="69"/>
      <c r="R116" s="69"/>
      <c r="S116" s="69"/>
      <c r="T116" s="69"/>
      <c r="U116" s="69"/>
      <c r="V116" s="69"/>
      <c r="W116" s="159"/>
      <c r="X116" s="102" t="n">
        <v>903</v>
      </c>
      <c r="Y116" s="124" t="n">
        <f aca="false">Y115+Y$16</f>
        <v>0.000386994779109956</v>
      </c>
      <c r="Z116" s="115" t="n">
        <f aca="false">(K-(L0-Y116*Ldif-alph*Y116^0.5))/R0</f>
        <v>0.68934659104992</v>
      </c>
      <c r="AA116" s="113" t="n">
        <f aca="false">IF(Z116&lt;1,X$14*((1-r_1)-Y$14*(1-r_1^2)+Z$14*(1-r_1^3)),0)</f>
        <v>1688846.95861535</v>
      </c>
      <c r="AB116" s="97" t="n">
        <f aca="false">AB115+AB$15</f>
        <v>0.000386994779109956</v>
      </c>
      <c r="AC116" s="115" t="n">
        <f aca="false">(Kopt-(L0-AB116*Ldif-alph*AB116^0.5))/R0</f>
        <v>0.68934659104992</v>
      </c>
      <c r="AD116" s="113" t="n">
        <f aca="false">IF(AC116&lt;1,X$14*((1-ropt)-Y$14*(1-ropt^2)+Z$14*(1-ropt^3)),0)</f>
        <v>1688846.95861535</v>
      </c>
    </row>
    <row r="117" customFormat="false" ht="12.75" hidden="false" customHeight="false" outlineLevel="0" collapsed="false">
      <c r="J117" s="67"/>
      <c r="K117" s="67"/>
      <c r="L117" s="151"/>
      <c r="M117" s="151"/>
      <c r="N117" s="151"/>
      <c r="O117" s="69"/>
      <c r="P117" s="69"/>
      <c r="Q117" s="69"/>
      <c r="R117" s="69"/>
      <c r="S117" s="69"/>
      <c r="T117" s="69"/>
      <c r="U117" s="69"/>
      <c r="V117" s="69"/>
      <c r="W117" s="159"/>
      <c r="X117" s="102" t="n">
        <v>902</v>
      </c>
      <c r="Y117" s="124" t="n">
        <f aca="false">Y116+Y$16</f>
        <v>0.000390984416007996</v>
      </c>
      <c r="Z117" s="115" t="n">
        <f aca="false">(K-(L0-Y117*Ldif-alph*Y117^0.5))/R0</f>
        <v>0.690069042154833</v>
      </c>
      <c r="AA117" s="113" t="n">
        <f aca="false">IF(Z117&lt;1,X$14*((1-r_1)-Y$14*(1-r_1^2)+Z$14*(1-r_1^3)),0)</f>
        <v>1681000.9760394</v>
      </c>
      <c r="AB117" s="97" t="n">
        <f aca="false">AB116+AB$15</f>
        <v>0.000390984416007996</v>
      </c>
      <c r="AC117" s="115" t="n">
        <f aca="false">(Kopt-(L0-AB117*Ldif-alph*AB117^0.5))/R0</f>
        <v>0.690069042154833</v>
      </c>
      <c r="AD117" s="113" t="n">
        <f aca="false">IF(AC117&lt;1,X$14*((1-ropt)-Y$14*(1-ropt^2)+Z$14*(1-ropt^3)),0)</f>
        <v>1681000.9760394</v>
      </c>
    </row>
    <row r="118" customFormat="false" ht="12.75" hidden="false" customHeight="false" outlineLevel="0" collapsed="false">
      <c r="J118" s="67"/>
      <c r="K118" s="67"/>
      <c r="L118" s="151"/>
      <c r="M118" s="151"/>
      <c r="N118" s="151"/>
      <c r="O118" s="69"/>
      <c r="P118" s="69"/>
      <c r="Q118" s="69"/>
      <c r="R118" s="69"/>
      <c r="S118" s="69"/>
      <c r="T118" s="69"/>
      <c r="U118" s="69"/>
      <c r="V118" s="69"/>
      <c r="W118" s="159"/>
      <c r="X118" s="102" t="n">
        <v>901</v>
      </c>
      <c r="Y118" s="124" t="n">
        <f aca="false">Y117+Y$16</f>
        <v>0.000394974052906037</v>
      </c>
      <c r="Z118" s="115" t="n">
        <f aca="false">(K-(L0-Y118*Ldif-alph*Y118^0.5))/R0</f>
        <v>0.690787816597995</v>
      </c>
      <c r="AA118" s="113" t="n">
        <f aca="false">IF(Z118&lt;1,X$14*((1-r_1)-Y$14*(1-r_1^2)+Z$14*(1-r_1^3)),0)</f>
        <v>1673213.05137412</v>
      </c>
      <c r="AB118" s="97" t="n">
        <f aca="false">AB117+AB$15</f>
        <v>0.000394974052906037</v>
      </c>
      <c r="AC118" s="115" t="n">
        <f aca="false">(Kopt-(L0-AB118*Ldif-alph*AB118^0.5))/R0</f>
        <v>0.690787816597995</v>
      </c>
      <c r="AD118" s="113" t="n">
        <f aca="false">IF(AC118&lt;1,X$14*((1-ropt)-Y$14*(1-ropt^2)+Z$14*(1-ropt^3)),0)</f>
        <v>1673213.05137412</v>
      </c>
    </row>
    <row r="119" customFormat="false" ht="12.75" hidden="false" customHeight="false" outlineLevel="0" collapsed="false">
      <c r="J119" s="67"/>
      <c r="K119" s="67"/>
      <c r="L119" s="151"/>
      <c r="M119" s="151"/>
      <c r="N119" s="151"/>
      <c r="O119" s="69"/>
      <c r="P119" s="69"/>
      <c r="Q119" s="69"/>
      <c r="R119" s="69"/>
      <c r="S119" s="69"/>
      <c r="T119" s="69"/>
      <c r="U119" s="69"/>
      <c r="V119" s="69"/>
      <c r="W119" s="159"/>
      <c r="X119" s="102" t="n">
        <v>900</v>
      </c>
      <c r="Y119" s="124" t="n">
        <f aca="false">Y118+Y$16</f>
        <v>0.000398963689804078</v>
      </c>
      <c r="Z119" s="115" t="n">
        <f aca="false">(K-(L0-Y119*Ldif-alph*Y119^0.5))/R0</f>
        <v>0.69150296994786</v>
      </c>
      <c r="AA119" s="113" t="n">
        <f aca="false">IF(Z119&lt;1,X$14*((1-r_1)-Y$14*(1-r_1^2)+Z$14*(1-r_1^3)),0)</f>
        <v>1665482.30714235</v>
      </c>
      <c r="AB119" s="97" t="n">
        <f aca="false">AB118+AB$15</f>
        <v>0.000398963689804078</v>
      </c>
      <c r="AC119" s="115" t="n">
        <f aca="false">(Kopt-(L0-AB119*Ldif-alph*AB119^0.5))/R0</f>
        <v>0.69150296994786</v>
      </c>
      <c r="AD119" s="113" t="n">
        <f aca="false">IF(AC119&lt;1,X$14*((1-ropt)-Y$14*(1-ropt^2)+Z$14*(1-ropt^3)),0)</f>
        <v>1665482.30714235</v>
      </c>
    </row>
    <row r="120" customFormat="false" ht="12.75" hidden="false" customHeight="false" outlineLevel="0" collapsed="false">
      <c r="J120" s="67"/>
      <c r="K120" s="67"/>
      <c r="L120" s="151"/>
      <c r="M120" s="151"/>
      <c r="N120" s="151"/>
      <c r="O120" s="69"/>
      <c r="P120" s="69"/>
      <c r="Q120" s="69"/>
      <c r="R120" s="69"/>
      <c r="S120" s="69"/>
      <c r="T120" s="69"/>
      <c r="U120" s="69"/>
      <c r="V120" s="69"/>
      <c r="W120" s="159"/>
      <c r="X120" s="102" t="n">
        <v>899</v>
      </c>
      <c r="Y120" s="124" t="n">
        <f aca="false">Y119+Y$16</f>
        <v>0.000402953326702119</v>
      </c>
      <c r="Z120" s="115" t="n">
        <f aca="false">(K-(L0-Y120*Ldif-alph*Y120^0.5))/R0</f>
        <v>0.692214556387068</v>
      </c>
      <c r="AA120" s="113" t="n">
        <f aca="false">IF(Z120&lt;1,X$14*((1-r_1)-Y$14*(1-r_1^2)+Z$14*(1-r_1^3)),0)</f>
        <v>1657807.88775016</v>
      </c>
      <c r="AB120" s="97" t="n">
        <f aca="false">AB119+AB$15</f>
        <v>0.000402953326702119</v>
      </c>
      <c r="AC120" s="115" t="n">
        <f aca="false">(Kopt-(L0-AB120*Ldif-alph*AB120^0.5))/R0</f>
        <v>0.692214556387068</v>
      </c>
      <c r="AD120" s="113" t="n">
        <f aca="false">IF(AC120&lt;1,X$14*((1-ropt)-Y$14*(1-ropt^2)+Z$14*(1-ropt^3)),0)</f>
        <v>1657807.88775016</v>
      </c>
    </row>
    <row r="121" customFormat="false" ht="12.75" hidden="false" customHeight="false" outlineLevel="0" collapsed="false">
      <c r="J121" s="67"/>
      <c r="K121" s="67"/>
      <c r="L121" s="151"/>
      <c r="M121" s="151"/>
      <c r="N121" s="151"/>
      <c r="O121" s="69"/>
      <c r="P121" s="69"/>
      <c r="Q121" s="69"/>
      <c r="R121" s="69"/>
      <c r="S121" s="69"/>
      <c r="T121" s="69"/>
      <c r="U121" s="69"/>
      <c r="V121" s="69"/>
      <c r="W121" s="159"/>
      <c r="X121" s="102" t="n">
        <v>898</v>
      </c>
      <c r="Y121" s="124" t="n">
        <f aca="false">Y120+Y$16</f>
        <v>0.00040694296360016</v>
      </c>
      <c r="Z121" s="115" t="n">
        <f aca="false">(K-(L0-Y121*Ldif-alph*Y121^0.5))/R0</f>
        <v>0.692922628760365</v>
      </c>
      <c r="AA121" s="113" t="n">
        <f aca="false">IF(Z121&lt;1,X$14*((1-r_1)-Y$14*(1-r_1^2)+Z$14*(1-r_1^3)),0)</f>
        <v>1650188.95873028</v>
      </c>
      <c r="AB121" s="97" t="n">
        <f aca="false">AB120+AB$15</f>
        <v>0.00040694296360016</v>
      </c>
      <c r="AC121" s="115" t="n">
        <f aca="false">(Kopt-(L0-AB121*Ldif-alph*AB121^0.5))/R0</f>
        <v>0.692922628760365</v>
      </c>
      <c r="AD121" s="113" t="n">
        <f aca="false">IF(AC121&lt;1,X$14*((1-ropt)-Y$14*(1-ropt^2)+Z$14*(1-ropt^3)),0)</f>
        <v>1650188.95873028</v>
      </c>
    </row>
    <row r="122" customFormat="false" ht="12.75" hidden="false" customHeight="false" outlineLevel="0" collapsed="false">
      <c r="J122" s="67"/>
      <c r="K122" s="67"/>
      <c r="L122" s="151"/>
      <c r="M122" s="151"/>
      <c r="N122" s="151"/>
      <c r="O122" s="69"/>
      <c r="P122" s="69"/>
      <c r="Q122" s="69"/>
      <c r="R122" s="69"/>
      <c r="S122" s="69"/>
      <c r="T122" s="69"/>
      <c r="U122" s="69"/>
      <c r="V122" s="69"/>
      <c r="W122" s="159"/>
      <c r="X122" s="102" t="n">
        <v>897</v>
      </c>
      <c r="Y122" s="124" t="n">
        <f aca="false">Y121+Y$16</f>
        <v>0.0004109326004982</v>
      </c>
      <c r="Z122" s="115" t="n">
        <f aca="false">(K-(L0-Y122*Ldif-alph*Y122^0.5))/R0</f>
        <v>0.693627238620395</v>
      </c>
      <c r="AA122" s="113" t="n">
        <f aca="false">IF(Z122&lt;1,X$14*((1-r_1)-Y$14*(1-r_1^2)+Z$14*(1-r_1^3)),0)</f>
        <v>1642624.70601888</v>
      </c>
      <c r="AB122" s="97" t="n">
        <f aca="false">AB121+AB$15</f>
        <v>0.0004109326004982</v>
      </c>
      <c r="AC122" s="115" t="n">
        <f aca="false">(Kopt-(L0-AB122*Ldif-alph*AB122^0.5))/R0</f>
        <v>0.693627238620395</v>
      </c>
      <c r="AD122" s="113" t="n">
        <f aca="false">IF(AC122&lt;1,X$14*((1-ropt)-Y$14*(1-ropt^2)+Z$14*(1-ropt^3)),0)</f>
        <v>1642624.70601888</v>
      </c>
    </row>
    <row r="123" customFormat="false" ht="12.75" hidden="false" customHeight="false" outlineLevel="0" collapsed="false">
      <c r="J123" s="67"/>
      <c r="K123" s="67"/>
      <c r="L123" s="151"/>
      <c r="M123" s="151"/>
      <c r="N123" s="151"/>
      <c r="O123" s="69"/>
      <c r="P123" s="69"/>
      <c r="Q123" s="69"/>
      <c r="R123" s="69"/>
      <c r="S123" s="69"/>
      <c r="T123" s="69"/>
      <c r="U123" s="69"/>
      <c r="V123" s="69"/>
      <c r="W123" s="159"/>
      <c r="X123" s="102" t="n">
        <v>896</v>
      </c>
      <c r="Y123" s="124" t="n">
        <f aca="false">Y122+Y$16</f>
        <v>0.000414922237396241</v>
      </c>
      <c r="Z123" s="115" t="n">
        <f aca="false">(K-(L0-Y123*Ldif-alph*Y123^0.5))/R0</f>
        <v>0.694328436271493</v>
      </c>
      <c r="AA123" s="113" t="n">
        <f aca="false">IF(Z123&lt;1,X$14*((1-r_1)-Y$14*(1-r_1^2)+Z$14*(1-r_1^3)),0)</f>
        <v>1635114.33526404</v>
      </c>
      <c r="AB123" s="97" t="n">
        <f aca="false">AB122+AB$15</f>
        <v>0.000414922237396241</v>
      </c>
      <c r="AC123" s="115" t="n">
        <f aca="false">(Kopt-(L0-AB123*Ldif-alph*AB123^0.5))/R0</f>
        <v>0.694328436271493</v>
      </c>
      <c r="AD123" s="113" t="n">
        <f aca="false">IF(AC123&lt;1,X$14*((1-ropt)-Y$14*(1-ropt^2)+Z$14*(1-ropt^3)),0)</f>
        <v>1635114.33526404</v>
      </c>
    </row>
    <row r="124" customFormat="false" ht="12.75" hidden="false" customHeight="false" outlineLevel="0" collapsed="false">
      <c r="J124" s="67"/>
      <c r="K124" s="67"/>
      <c r="L124" s="151"/>
      <c r="M124" s="151"/>
      <c r="N124" s="151"/>
      <c r="O124" s="69"/>
      <c r="P124" s="69"/>
      <c r="Q124" s="69"/>
      <c r="R124" s="69"/>
      <c r="S124" s="69"/>
      <c r="T124" s="69"/>
      <c r="U124" s="69"/>
      <c r="V124" s="69"/>
      <c r="W124" s="159"/>
      <c r="X124" s="102" t="n">
        <v>895</v>
      </c>
      <c r="Y124" s="124" t="n">
        <f aca="false">Y123+Y$16</f>
        <v>0.000418911874294282</v>
      </c>
      <c r="Z124" s="115" t="n">
        <f aca="false">(K-(L0-Y124*Ldif-alph*Y124^0.5))/R0</f>
        <v>0.695026270811621</v>
      </c>
      <c r="AA124" s="113" t="n">
        <f aca="false">IF(Z124&lt;1,X$14*((1-r_1)-Y$14*(1-r_1^2)+Z$14*(1-r_1^3)),0)</f>
        <v>1627657.07116367</v>
      </c>
      <c r="AB124" s="97" t="n">
        <f aca="false">AB123+AB$15</f>
        <v>0.000418911874294282</v>
      </c>
      <c r="AC124" s="115" t="n">
        <f aca="false">(Kopt-(L0-AB124*Ldif-alph*AB124^0.5))/R0</f>
        <v>0.695026270811621</v>
      </c>
      <c r="AD124" s="113" t="n">
        <f aca="false">IF(AC124&lt;1,X$14*((1-ropt)-Y$14*(1-ropt^2)+Z$14*(1-ropt^3)),0)</f>
        <v>1627657.07116367</v>
      </c>
    </row>
    <row r="125" customFormat="false" ht="12.75" hidden="false" customHeight="false" outlineLevel="0" collapsed="false">
      <c r="J125" s="67"/>
      <c r="K125" s="67"/>
      <c r="L125" s="151"/>
      <c r="M125" s="151"/>
      <c r="N125" s="151"/>
      <c r="O125" s="69"/>
      <c r="P125" s="69"/>
      <c r="Q125" s="69"/>
      <c r="R125" s="69"/>
      <c r="S125" s="69"/>
      <c r="T125" s="69"/>
      <c r="U125" s="69"/>
      <c r="V125" s="69"/>
      <c r="W125" s="159"/>
      <c r="X125" s="102" t="n">
        <v>894</v>
      </c>
      <c r="Y125" s="124" t="n">
        <f aca="false">Y124+Y$16</f>
        <v>0.000422901511192323</v>
      </c>
      <c r="Z125" s="115" t="n">
        <f aca="false">(K-(L0-Y125*Ldif-alph*Y125^0.5))/R0</f>
        <v>0.695720790172457</v>
      </c>
      <c r="AA125" s="113" t="n">
        <f aca="false">IF(Z125&lt;1,X$14*((1-r_1)-Y$14*(1-r_1^2)+Z$14*(1-r_1^3)),0)</f>
        <v>1620252.15683229</v>
      </c>
      <c r="AB125" s="97" t="n">
        <f aca="false">AB124+AB$15</f>
        <v>0.000422901511192323</v>
      </c>
      <c r="AC125" s="115" t="n">
        <f aca="false">(Kopt-(L0-AB125*Ldif-alph*AB125^0.5))/R0</f>
        <v>0.695720790172457</v>
      </c>
      <c r="AD125" s="113" t="n">
        <f aca="false">IF(AC125&lt;1,X$14*((1-ropt)-Y$14*(1-ropt^2)+Z$14*(1-ropt^3)),0)</f>
        <v>1620252.15683229</v>
      </c>
    </row>
    <row r="126" customFormat="false" ht="12.75" hidden="false" customHeight="false" outlineLevel="0" collapsed="false">
      <c r="J126" s="67"/>
      <c r="K126" s="67"/>
      <c r="L126" s="151"/>
      <c r="M126" s="151"/>
      <c r="N126" s="151"/>
      <c r="O126" s="69"/>
      <c r="P126" s="69"/>
      <c r="Q126" s="69"/>
      <c r="R126" s="69"/>
      <c r="S126" s="69"/>
      <c r="T126" s="69"/>
      <c r="U126" s="69"/>
      <c r="V126" s="69"/>
      <c r="W126" s="159"/>
      <c r="X126" s="102" t="n">
        <v>893</v>
      </c>
      <c r="Y126" s="124" t="n">
        <f aca="false">Y125+Y$16</f>
        <v>0.000426891148090364</v>
      </c>
      <c r="Z126" s="115" t="n">
        <f aca="false">(K-(L0-Y126*Ldif-alph*Y126^0.5))/R0</f>
        <v>0.696412041157842</v>
      </c>
      <c r="AA126" s="113" t="n">
        <f aca="false">IF(Z126&lt;1,X$14*((1-r_1)-Y$14*(1-r_1^2)+Z$14*(1-r_1^3)),0)</f>
        <v>1612898.85319409</v>
      </c>
      <c r="AB126" s="97" t="n">
        <f aca="false">AB125+AB$15</f>
        <v>0.000426891148090364</v>
      </c>
      <c r="AC126" s="115" t="n">
        <f aca="false">(Kopt-(L0-AB126*Ldif-alph*AB126^0.5))/R0</f>
        <v>0.696412041157842</v>
      </c>
      <c r="AD126" s="113" t="n">
        <f aca="false">IF(AC126&lt;1,X$14*((1-ropt)-Y$14*(1-ropt^2)+Z$14*(1-ropt^3)),0)</f>
        <v>1612898.85319409</v>
      </c>
    </row>
    <row r="127" customFormat="false" ht="12.75" hidden="false" customHeight="false" outlineLevel="0" collapsed="false">
      <c r="J127" s="67"/>
      <c r="K127" s="67"/>
      <c r="L127" s="151"/>
      <c r="M127" s="151"/>
      <c r="N127" s="151"/>
      <c r="O127" s="69"/>
      <c r="P127" s="69"/>
      <c r="Q127" s="69"/>
      <c r="R127" s="69"/>
      <c r="S127" s="69"/>
      <c r="T127" s="69"/>
      <c r="U127" s="69"/>
      <c r="V127" s="69"/>
      <c r="W127" s="159"/>
      <c r="X127" s="102" t="n">
        <v>892</v>
      </c>
      <c r="Y127" s="124" t="n">
        <f aca="false">Y126+Y$16</f>
        <v>0.000430880784988404</v>
      </c>
      <c r="Z127" s="115" t="n">
        <f aca="false">(K-(L0-Y127*Ldif-alph*Y127^0.5))/R0</f>
        <v>0.697100069480568</v>
      </c>
      <c r="AA127" s="113" t="n">
        <f aca="false">IF(Z127&lt;1,X$14*((1-r_1)-Y$14*(1-r_1^2)+Z$14*(1-r_1^3)),0)</f>
        <v>1605596.43840185</v>
      </c>
      <c r="AB127" s="97" t="n">
        <f aca="false">AB126+AB$15</f>
        <v>0.000430880784988404</v>
      </c>
      <c r="AC127" s="115" t="n">
        <f aca="false">(Kopt-(L0-AB127*Ldif-alph*AB127^0.5))/R0</f>
        <v>0.697100069480568</v>
      </c>
      <c r="AD127" s="113" t="n">
        <f aca="false">IF(AC127&lt;1,X$14*((1-ropt)-Y$14*(1-ropt^2)+Z$14*(1-ropt^3)),0)</f>
        <v>1605596.43840185</v>
      </c>
    </row>
    <row r="128" customFormat="false" ht="12.75" hidden="false" customHeight="false" outlineLevel="0" collapsed="false">
      <c r="J128" s="67"/>
      <c r="K128" s="67"/>
      <c r="L128" s="151"/>
      <c r="M128" s="151"/>
      <c r="N128" s="151"/>
      <c r="O128" s="69"/>
      <c r="P128" s="69"/>
      <c r="Q128" s="69"/>
      <c r="R128" s="69"/>
      <c r="S128" s="69"/>
      <c r="T128" s="69"/>
      <c r="U128" s="69"/>
      <c r="V128" s="69"/>
      <c r="W128" s="159"/>
      <c r="X128" s="102" t="n">
        <v>891</v>
      </c>
      <c r="Y128" s="124" t="n">
        <f aca="false">Y127+Y$16</f>
        <v>0.000434870421886445</v>
      </c>
      <c r="Z128" s="115" t="n">
        <f aca="false">(K-(L0-Y128*Ldif-alph*Y128^0.5))/R0</f>
        <v>0.697784919797667</v>
      </c>
      <c r="AA128" s="113" t="n">
        <f aca="false">IF(Z128&lt;1,X$14*((1-r_1)-Y$14*(1-r_1^2)+Z$14*(1-r_1^3)),0)</f>
        <v>1598344.20727979</v>
      </c>
      <c r="AB128" s="97" t="n">
        <f aca="false">AB127+AB$15</f>
        <v>0.000434870421886445</v>
      </c>
      <c r="AC128" s="115" t="n">
        <f aca="false">(Kopt-(L0-AB128*Ldif-alph*AB128^0.5))/R0</f>
        <v>0.697784919797667</v>
      </c>
      <c r="AD128" s="113" t="n">
        <f aca="false">IF(AC128&lt;1,X$14*((1-ropt)-Y$14*(1-ropt^2)+Z$14*(1-ropt^3)),0)</f>
        <v>1598344.20727979</v>
      </c>
    </row>
    <row r="129" customFormat="false" ht="12.75" hidden="false" customHeight="false" outlineLevel="0" collapsed="false">
      <c r="J129" s="67"/>
      <c r="K129" s="67"/>
      <c r="L129" s="151"/>
      <c r="M129" s="151"/>
      <c r="N129" s="151"/>
      <c r="O129" s="69"/>
      <c r="P129" s="69"/>
      <c r="Q129" s="69"/>
      <c r="R129" s="69"/>
      <c r="S129" s="69"/>
      <c r="T129" s="69"/>
      <c r="U129" s="69"/>
      <c r="V129" s="69"/>
      <c r="W129" s="159"/>
      <c r="X129" s="102" t="n">
        <v>890</v>
      </c>
      <c r="Y129" s="124" t="n">
        <f aca="false">Y128+Y$16</f>
        <v>0.000438860058784486</v>
      </c>
      <c r="Z129" s="115" t="n">
        <f aca="false">(K-(L0-Y129*Ldif-alph*Y129^0.5))/R0</f>
        <v>0.698466635744237</v>
      </c>
      <c r="AA129" s="113" t="n">
        <f aca="false">IF(Z129&lt;1,X$14*((1-r_1)-Y$14*(1-r_1^2)+Z$14*(1-r_1^3)),0)</f>
        <v>1591141.47078948</v>
      </c>
      <c r="AB129" s="97" t="n">
        <f aca="false">AB128+AB$15</f>
        <v>0.000438860058784486</v>
      </c>
      <c r="AC129" s="115" t="n">
        <f aca="false">(Kopt-(L0-AB129*Ldif-alph*AB129^0.5))/R0</f>
        <v>0.698466635744237</v>
      </c>
      <c r="AD129" s="113" t="n">
        <f aca="false">IF(AC129&lt;1,X$14*((1-ropt)-Y$14*(1-ropt^2)+Z$14*(1-ropt^3)),0)</f>
        <v>1591141.47078948</v>
      </c>
    </row>
    <row r="130" customFormat="false" ht="12.75" hidden="false" customHeight="false" outlineLevel="0" collapsed="false">
      <c r="J130" s="67"/>
      <c r="K130" s="67"/>
      <c r="L130" s="151"/>
      <c r="M130" s="151"/>
      <c r="N130" s="151"/>
      <c r="O130" s="69"/>
      <c r="P130" s="69"/>
      <c r="Q130" s="69"/>
      <c r="R130" s="69"/>
      <c r="S130" s="69"/>
      <c r="T130" s="69"/>
      <c r="U130" s="69"/>
      <c r="V130" s="69"/>
      <c r="W130" s="159"/>
      <c r="X130" s="102" t="n">
        <v>889</v>
      </c>
      <c r="Y130" s="124" t="n">
        <f aca="false">Y129+Y$16</f>
        <v>0.000442849695682527</v>
      </c>
      <c r="Z130" s="115" t="n">
        <f aca="false">(K-(L0-Y130*Ldif-alph*Y130^0.5))/R0</f>
        <v>0.699145259965881</v>
      </c>
      <c r="AA130" s="113" t="n">
        <f aca="false">IF(Z130&lt;1,X$14*((1-r_1)-Y$14*(1-r_1^2)+Z$14*(1-r_1^3)),0)</f>
        <v>1583987.55551746</v>
      </c>
      <c r="AB130" s="97" t="n">
        <f aca="false">AB129+AB$15</f>
        <v>0.000442849695682527</v>
      </c>
      <c r="AC130" s="115" t="n">
        <f aca="false">(Kopt-(L0-AB130*Ldif-alph*AB130^0.5))/R0</f>
        <v>0.699145259965881</v>
      </c>
      <c r="AD130" s="113" t="n">
        <f aca="false">IF(AC130&lt;1,X$14*((1-ropt)-Y$14*(1-ropt^2)+Z$14*(1-ropt^3)),0)</f>
        <v>1583987.55551746</v>
      </c>
    </row>
    <row r="131" customFormat="false" ht="12.75" hidden="false" customHeight="false" outlineLevel="0" collapsed="false">
      <c r="J131" s="67"/>
      <c r="K131" s="67"/>
      <c r="L131" s="151"/>
      <c r="M131" s="151"/>
      <c r="N131" s="151"/>
      <c r="O131" s="69"/>
      <c r="P131" s="69"/>
      <c r="Q131" s="69"/>
      <c r="R131" s="69"/>
      <c r="S131" s="69"/>
      <c r="T131" s="69"/>
      <c r="U131" s="69"/>
      <c r="V131" s="69"/>
      <c r="W131" s="159"/>
      <c r="X131" s="102" t="n">
        <v>888</v>
      </c>
      <c r="Y131" s="124" t="n">
        <f aca="false">Y130+Y$16</f>
        <v>0.000446839332580567</v>
      </c>
      <c r="Z131" s="115" t="n">
        <f aca="false">(K-(L0-Y131*Ldif-alph*Y131^0.5))/R0</f>
        <v>0.699820834149829</v>
      </c>
      <c r="AA131" s="113" t="n">
        <f aca="false">IF(Z131&lt;1,X$14*((1-r_1)-Y$14*(1-r_1^2)+Z$14*(1-r_1^3)),0)</f>
        <v>1576881.80318383</v>
      </c>
      <c r="AB131" s="97" t="n">
        <f aca="false">AB130+AB$15</f>
        <v>0.000446839332580567</v>
      </c>
      <c r="AC131" s="115" t="n">
        <f aca="false">(Kopt-(L0-AB131*Ldif-alph*AB131^0.5))/R0</f>
        <v>0.699820834149829</v>
      </c>
      <c r="AD131" s="113" t="n">
        <f aca="false">IF(AC131&lt;1,X$14*((1-ropt)-Y$14*(1-ropt^2)+Z$14*(1-ropt^3)),0)</f>
        <v>1576881.80318383</v>
      </c>
    </row>
    <row r="132" customFormat="false" ht="12.75" hidden="false" customHeight="false" outlineLevel="0" collapsed="false">
      <c r="J132" s="67"/>
      <c r="K132" s="67"/>
      <c r="L132" s="151"/>
      <c r="M132" s="151"/>
      <c r="N132" s="151"/>
      <c r="O132" s="69"/>
      <c r="P132" s="69"/>
      <c r="Q132" s="69"/>
      <c r="R132" s="69"/>
      <c r="S132" s="69"/>
      <c r="T132" s="69"/>
      <c r="U132" s="69"/>
      <c r="V132" s="69"/>
      <c r="W132" s="159"/>
      <c r="X132" s="102" t="n">
        <v>887</v>
      </c>
      <c r="Y132" s="124" t="n">
        <f aca="false">Y131+Y$16</f>
        <v>0.000450828969478608</v>
      </c>
      <c r="Z132" s="115" t="n">
        <f aca="false">(K-(L0-Y132*Ldif-alph*Y132^0.5))/R0</f>
        <v>0.700493399054849</v>
      </c>
      <c r="AA132" s="113" t="n">
        <f aca="false">IF(Z132&lt;1,X$14*((1-r_1)-Y$14*(1-r_1^2)+Z$14*(1-r_1^3)),0)</f>
        <v>1569823.57017006</v>
      </c>
      <c r="AB132" s="97" t="n">
        <f aca="false">AB131+AB$15</f>
        <v>0.000450828969478608</v>
      </c>
      <c r="AC132" s="115" t="n">
        <f aca="false">(Kopt-(L0-AB132*Ldif-alph*AB132^0.5))/R0</f>
        <v>0.700493399054849</v>
      </c>
      <c r="AD132" s="113" t="n">
        <f aca="false">IF(AC132&lt;1,X$14*((1-ropt)-Y$14*(1-ropt^2)+Z$14*(1-ropt^3)),0)</f>
        <v>1569823.57017006</v>
      </c>
    </row>
    <row r="133" customFormat="false" ht="12.75" hidden="false" customHeight="false" outlineLevel="0" collapsed="false">
      <c r="J133" s="67"/>
      <c r="K133" s="67"/>
      <c r="L133" s="151"/>
      <c r="M133" s="151"/>
      <c r="N133" s="151"/>
      <c r="O133" s="69"/>
      <c r="P133" s="69"/>
      <c r="Q133" s="69"/>
      <c r="R133" s="69"/>
      <c r="S133" s="69"/>
      <c r="T133" s="69"/>
      <c r="U133" s="69"/>
      <c r="V133" s="69"/>
      <c r="W133" s="159"/>
      <c r="X133" s="102" t="n">
        <v>886</v>
      </c>
      <c r="Y133" s="124" t="n">
        <f aca="false">Y132+Y$16</f>
        <v>0.000454818606376649</v>
      </c>
      <c r="Z133" s="115" t="n">
        <f aca="false">(K-(L0-Y133*Ldif-alph*Y133^0.5))/R0</f>
        <v>0.701162994539914</v>
      </c>
      <c r="AA133" s="113" t="n">
        <f aca="false">IF(Z133&lt;1,X$14*((1-r_1)-Y$14*(1-r_1^2)+Z$14*(1-r_1^3)),0)</f>
        <v>1562812.22706615</v>
      </c>
      <c r="AB133" s="97" t="n">
        <f aca="false">AB132+AB$15</f>
        <v>0.000454818606376649</v>
      </c>
      <c r="AC133" s="115" t="n">
        <f aca="false">(Kopt-(L0-AB133*Ldif-alph*AB133^0.5))/R0</f>
        <v>0.701162994539914</v>
      </c>
      <c r="AD133" s="113" t="n">
        <f aca="false">IF(AC133&lt;1,X$14*((1-ropt)-Y$14*(1-ropt^2)+Z$14*(1-ropt^3)),0)</f>
        <v>1562812.22706615</v>
      </c>
    </row>
    <row r="134" customFormat="false" ht="12.75" hidden="false" customHeight="false" outlineLevel="0" collapsed="false">
      <c r="J134" s="67"/>
      <c r="K134" s="67"/>
      <c r="L134" s="151"/>
      <c r="M134" s="151"/>
      <c r="N134" s="151"/>
      <c r="O134" s="69"/>
      <c r="P134" s="69"/>
      <c r="Q134" s="69"/>
      <c r="R134" s="69"/>
      <c r="S134" s="69"/>
      <c r="T134" s="69"/>
      <c r="U134" s="69"/>
      <c r="V134" s="69"/>
      <c r="W134" s="159"/>
      <c r="X134" s="102" t="n">
        <v>885</v>
      </c>
      <c r="Y134" s="124" t="n">
        <f aca="false">Y133+Y$16</f>
        <v>0.00045880824327469</v>
      </c>
      <c r="Z134" s="115" t="n">
        <f aca="false">(K-(L0-Y134*Ldif-alph*Y134^0.5))/R0</f>
        <v>0.701829659591786</v>
      </c>
      <c r="AA134" s="113" t="n">
        <f aca="false">IF(Z134&lt;1,X$14*((1-r_1)-Y$14*(1-r_1^2)+Z$14*(1-r_1^3)),0)</f>
        <v>1555847.15823512</v>
      </c>
      <c r="AB134" s="97" t="n">
        <f aca="false">AB133+AB$15</f>
        <v>0.00045880824327469</v>
      </c>
      <c r="AC134" s="115" t="n">
        <f aca="false">(Kopt-(L0-AB134*Ldif-alph*AB134^0.5))/R0</f>
        <v>0.701829659591786</v>
      </c>
      <c r="AD134" s="113" t="n">
        <f aca="false">IF(AC134&lt;1,X$14*((1-ropt)-Y$14*(1-ropt^2)+Z$14*(1-ropt^3)),0)</f>
        <v>1555847.15823512</v>
      </c>
    </row>
    <row r="135" customFormat="false" ht="12.75" hidden="false" customHeight="false" outlineLevel="0" collapsed="false">
      <c r="J135" s="67"/>
      <c r="K135" s="67"/>
      <c r="L135" s="151"/>
      <c r="M135" s="151"/>
      <c r="N135" s="151"/>
      <c r="O135" s="69"/>
      <c r="P135" s="69"/>
      <c r="Q135" s="69"/>
      <c r="R135" s="69"/>
      <c r="S135" s="69"/>
      <c r="T135" s="69"/>
      <c r="U135" s="69"/>
      <c r="V135" s="69"/>
      <c r="W135" s="159"/>
      <c r="X135" s="102" t="n">
        <v>884</v>
      </c>
      <c r="Y135" s="124" t="n">
        <f aca="false">Y134+Y$16</f>
        <v>0.000462797880172731</v>
      </c>
      <c r="Z135" s="115" t="n">
        <f aca="false">(K-(L0-Y135*Ldif-alph*Y135^0.5))/R0</f>
        <v>0.702493432351494</v>
      </c>
      <c r="AA135" s="113" t="n">
        <f aca="false">IF(Z135&lt;1,X$14*((1-r_1)-Y$14*(1-r_1^2)+Z$14*(1-r_1^3)),0)</f>
        <v>1548927.76139491</v>
      </c>
      <c r="AB135" s="97" t="n">
        <f aca="false">AB134+AB$15</f>
        <v>0.000462797880172731</v>
      </c>
      <c r="AC135" s="115" t="n">
        <f aca="false">(Kopt-(L0-AB135*Ldif-alph*AB135^0.5))/R0</f>
        <v>0.702493432351494</v>
      </c>
      <c r="AD135" s="113" t="n">
        <f aca="false">IF(AC135&lt;1,X$14*((1-ropt)-Y$14*(1-ropt^2)+Z$14*(1-ropt^3)),0)</f>
        <v>1548927.76139491</v>
      </c>
    </row>
    <row r="136" customFormat="false" ht="12.75" hidden="false" customHeight="false" outlineLevel="0" collapsed="false">
      <c r="J136" s="67"/>
      <c r="K136" s="67"/>
      <c r="L136" s="151"/>
      <c r="M136" s="151"/>
      <c r="N136" s="151"/>
      <c r="O136" s="69"/>
      <c r="P136" s="69"/>
      <c r="Q136" s="69"/>
      <c r="R136" s="69"/>
      <c r="S136" s="69"/>
      <c r="T136" s="69"/>
      <c r="U136" s="69"/>
      <c r="V136" s="69"/>
      <c r="W136" s="159"/>
      <c r="X136" s="102" t="n">
        <v>883</v>
      </c>
      <c r="Y136" s="124" t="n">
        <f aca="false">Y135+Y$16</f>
        <v>0.000466787517070771</v>
      </c>
      <c r="Z136" s="115" t="n">
        <f aca="false">(K-(L0-Y136*Ldif-alph*Y136^0.5))/R0</f>
        <v>0.703154350139808</v>
      </c>
      <c r="AA136" s="113" t="n">
        <f aca="false">IF(Z136&lt;1,X$14*((1-r_1)-Y$14*(1-r_1^2)+Z$14*(1-r_1^3)),0)</f>
        <v>1542053.4472161</v>
      </c>
      <c r="AB136" s="97" t="n">
        <f aca="false">AB135+AB$15</f>
        <v>0.000466787517070771</v>
      </c>
      <c r="AC136" s="115" t="n">
        <f aca="false">(Kopt-(L0-AB136*Ldif-alph*AB136^0.5))/R0</f>
        <v>0.703154350139808</v>
      </c>
      <c r="AD136" s="113" t="n">
        <f aca="false">IF(AC136&lt;1,X$14*((1-ropt)-Y$14*(1-ropt^2)+Z$14*(1-ropt^3)),0)</f>
        <v>1542053.4472161</v>
      </c>
    </row>
    <row r="137" customFormat="false" ht="12.75" hidden="false" customHeight="false" outlineLevel="0" collapsed="false">
      <c r="J137" s="67"/>
      <c r="K137" s="67"/>
      <c r="L137" s="151"/>
      <c r="M137" s="151"/>
      <c r="N137" s="151"/>
      <c r="O137" s="69"/>
      <c r="P137" s="69"/>
      <c r="Q137" s="69"/>
      <c r="R137" s="69"/>
      <c r="S137" s="69"/>
      <c r="T137" s="69"/>
      <c r="U137" s="69"/>
      <c r="V137" s="69"/>
      <c r="W137" s="159"/>
      <c r="X137" s="102" t="n">
        <v>882</v>
      </c>
      <c r="Y137" s="124" t="n">
        <f aca="false">Y136+Y$16</f>
        <v>0.000470777153968812</v>
      </c>
      <c r="Z137" s="115" t="n">
        <f aca="false">(K-(L0-Y137*Ldif-alph*Y137^0.5))/R0</f>
        <v>0.703812449481714</v>
      </c>
      <c r="AA137" s="113" t="n">
        <f aca="false">IF(Z137&lt;1,X$14*((1-r_1)-Y$14*(1-r_1^2)+Z$14*(1-r_1^3)),0)</f>
        <v>1535223.63893539</v>
      </c>
      <c r="AB137" s="97" t="n">
        <f aca="false">AB136+AB$15</f>
        <v>0.000470777153968812</v>
      </c>
      <c r="AC137" s="115" t="n">
        <f aca="false">(Kopt-(L0-AB137*Ldif-alph*AB137^0.5))/R0</f>
        <v>0.703812449481714</v>
      </c>
      <c r="AD137" s="113" t="n">
        <f aca="false">IF(AC137&lt;1,X$14*((1-ropt)-Y$14*(1-ropt^2)+Z$14*(1-ropt^3)),0)</f>
        <v>1535223.63893539</v>
      </c>
    </row>
    <row r="138" customFormat="false" ht="12.75" hidden="false" customHeight="false" outlineLevel="0" collapsed="false">
      <c r="J138" s="67"/>
      <c r="K138" s="67"/>
      <c r="L138" s="151"/>
      <c r="M138" s="151"/>
      <c r="N138" s="151"/>
      <c r="O138" s="69"/>
      <c r="P138" s="69"/>
      <c r="Q138" s="69"/>
      <c r="R138" s="69"/>
      <c r="S138" s="69"/>
      <c r="T138" s="69"/>
      <c r="U138" s="69"/>
      <c r="V138" s="69"/>
      <c r="W138" s="159"/>
      <c r="X138" s="102" t="n">
        <v>881</v>
      </c>
      <c r="Y138" s="124" t="n">
        <f aca="false">Y137+Y$16</f>
        <v>0.000474766790866853</v>
      </c>
      <c r="Z138" s="115" t="n">
        <f aca="false">(K-(L0-Y138*Ldif-alph*Y138^0.5))/R0</f>
        <v>0.704467766129983</v>
      </c>
      <c r="AA138" s="113" t="n">
        <f aca="false">IF(Z138&lt;1,X$14*((1-r_1)-Y$14*(1-r_1^2)+Z$14*(1-r_1^3)),0)</f>
        <v>1528437.77198354</v>
      </c>
      <c r="AB138" s="97" t="n">
        <f aca="false">AB137+AB$15</f>
        <v>0.000474766790866853</v>
      </c>
      <c r="AC138" s="115" t="n">
        <f aca="false">(Kopt-(L0-AB138*Ldif-alph*AB138^0.5))/R0</f>
        <v>0.704467766129983</v>
      </c>
      <c r="AD138" s="113" t="n">
        <f aca="false">IF(AC138&lt;1,X$14*((1-ropt)-Y$14*(1-ropt^2)+Z$14*(1-ropt^3)),0)</f>
        <v>1528437.77198354</v>
      </c>
    </row>
    <row r="139" customFormat="false" ht="12.75" hidden="false" customHeight="false" outlineLevel="0" collapsed="false">
      <c r="J139" s="67"/>
      <c r="K139" s="67"/>
      <c r="L139" s="151"/>
      <c r="M139" s="151"/>
      <c r="N139" s="151"/>
      <c r="O139" s="69"/>
      <c r="P139" s="69"/>
      <c r="Q139" s="69"/>
      <c r="R139" s="69"/>
      <c r="S139" s="69"/>
      <c r="T139" s="69"/>
      <c r="U139" s="69"/>
      <c r="V139" s="69"/>
      <c r="W139" s="159"/>
      <c r="X139" s="102" t="n">
        <v>880</v>
      </c>
      <c r="Y139" s="124" t="n">
        <f aca="false">Y138+Y$16</f>
        <v>0.000478756427764894</v>
      </c>
      <c r="Z139" s="115" t="n">
        <f aca="false">(K-(L0-Y139*Ldif-alph*Y139^0.5))/R0</f>
        <v>0.705120335087823</v>
      </c>
      <c r="AA139" s="113" t="n">
        <f aca="false">IF(Z139&lt;1,X$14*((1-r_1)-Y$14*(1-r_1^2)+Z$14*(1-r_1^3)),0)</f>
        <v>1521695.29362757</v>
      </c>
      <c r="AB139" s="97" t="n">
        <f aca="false">AB138+AB$15</f>
        <v>0.000478756427764894</v>
      </c>
      <c r="AC139" s="115" t="n">
        <f aca="false">(Kopt-(L0-AB139*Ldif-alph*AB139^0.5))/R0</f>
        <v>0.705120335087823</v>
      </c>
      <c r="AD139" s="113" t="n">
        <f aca="false">IF(AC139&lt;1,X$14*((1-ropt)-Y$14*(1-ropt^2)+Z$14*(1-ropt^3)),0)</f>
        <v>1521695.29362757</v>
      </c>
    </row>
    <row r="140" customFormat="false" ht="12.75" hidden="false" customHeight="false" outlineLevel="0" collapsed="false">
      <c r="J140" s="67"/>
      <c r="K140" s="67"/>
      <c r="L140" s="151"/>
      <c r="M140" s="151"/>
      <c r="N140" s="151"/>
      <c r="O140" s="69"/>
      <c r="P140" s="69"/>
      <c r="Q140" s="69"/>
      <c r="R140" s="69"/>
      <c r="S140" s="69"/>
      <c r="T140" s="69"/>
      <c r="U140" s="69"/>
      <c r="V140" s="69"/>
      <c r="W140" s="159"/>
      <c r="X140" s="102" t="n">
        <v>879</v>
      </c>
      <c r="Y140" s="124" t="n">
        <f aca="false">Y139+Y$16</f>
        <v>0.000482746064662935</v>
      </c>
      <c r="Z140" s="115" t="n">
        <f aca="false">(K-(L0-Y140*Ldif-alph*Y140^0.5))/R0</f>
        <v>0.705770190630707</v>
      </c>
      <c r="AA140" s="113" t="n">
        <f aca="false">IF(Z140&lt;1,X$14*((1-r_1)-Y$14*(1-r_1^2)+Z$14*(1-r_1^3)),0)</f>
        <v>1514995.66262609</v>
      </c>
      <c r="AB140" s="97" t="n">
        <f aca="false">AB139+AB$15</f>
        <v>0.000482746064662935</v>
      </c>
      <c r="AC140" s="115" t="n">
        <f aca="false">(Kopt-(L0-AB140*Ldif-alph*AB140^0.5))/R0</f>
        <v>0.705770190630707</v>
      </c>
      <c r="AD140" s="113" t="n">
        <f aca="false">IF(AC140&lt;1,X$14*((1-ropt)-Y$14*(1-ropt^2)+Z$14*(1-ropt^3)),0)</f>
        <v>1514995.66262609</v>
      </c>
    </row>
    <row r="141" customFormat="false" ht="12.75" hidden="false" customHeight="false" outlineLevel="0" collapsed="false">
      <c r="J141" s="67"/>
      <c r="K141" s="67"/>
      <c r="L141" s="151"/>
      <c r="M141" s="151"/>
      <c r="N141" s="151"/>
      <c r="O141" s="69"/>
      <c r="P141" s="69"/>
      <c r="Q141" s="69"/>
      <c r="R141" s="69"/>
      <c r="S141" s="69"/>
      <c r="T141" s="69"/>
      <c r="U141" s="69"/>
      <c r="V141" s="69"/>
      <c r="W141" s="159"/>
      <c r="X141" s="102" t="n">
        <v>878</v>
      </c>
      <c r="Y141" s="124" t="n">
        <f aca="false">Y140+Y$16</f>
        <v>0.000486735701560975</v>
      </c>
      <c r="Z141" s="115" t="n">
        <f aca="false">(K-(L0-Y141*Ldif-alph*Y141^0.5))/R0</f>
        <v>0.706417366327367</v>
      </c>
      <c r="AA141" s="113" t="n">
        <f aca="false">IF(Z141&lt;1,X$14*((1-r_1)-Y$14*(1-r_1^2)+Z$14*(1-r_1^3)),0)</f>
        <v>1508338.3488978</v>
      </c>
      <c r="AB141" s="97" t="n">
        <f aca="false">AB140+AB$15</f>
        <v>0.000486735701560975</v>
      </c>
      <c r="AC141" s="115" t="n">
        <f aca="false">(Kopt-(L0-AB141*Ldif-alph*AB141^0.5))/R0</f>
        <v>0.706417366327367</v>
      </c>
      <c r="AD141" s="113" t="n">
        <f aca="false">IF(AC141&lt;1,X$14*((1-ropt)-Y$14*(1-ropt^2)+Z$14*(1-ropt^3)),0)</f>
        <v>1508338.3488978</v>
      </c>
    </row>
    <row r="142" customFormat="false" ht="12.75" hidden="false" customHeight="false" outlineLevel="0" collapsed="false">
      <c r="J142" s="67"/>
      <c r="K142" s="67"/>
      <c r="L142" s="151"/>
      <c r="M142" s="151"/>
      <c r="N142" s="151"/>
      <c r="O142" s="69"/>
      <c r="P142" s="69"/>
      <c r="Q142" s="69"/>
      <c r="R142" s="69"/>
      <c r="S142" s="69"/>
      <c r="T142" s="69"/>
      <c r="U142" s="69"/>
      <c r="V142" s="69"/>
      <c r="W142" s="159"/>
      <c r="X142" s="102" t="n">
        <v>877</v>
      </c>
      <c r="Y142" s="124" t="n">
        <f aca="false">Y141+Y$16</f>
        <v>0.000490725338459016</v>
      </c>
      <c r="Z142" s="115" t="n">
        <f aca="false">(K-(L0-Y142*Ldif-alph*Y142^0.5))/R0</f>
        <v>0.707061895060049</v>
      </c>
      <c r="AA142" s="113" t="n">
        <f aca="false">IF(Z142&lt;1,X$14*((1-r_1)-Y$14*(1-r_1^2)+Z$14*(1-r_1^3)),0)</f>
        <v>1501722.83320167</v>
      </c>
      <c r="AB142" s="97" t="n">
        <f aca="false">AB141+AB$15</f>
        <v>0.000490725338459016</v>
      </c>
      <c r="AC142" s="115" t="n">
        <f aca="false">(Kopt-(L0-AB142*Ldif-alph*AB142^0.5))/R0</f>
        <v>0.707061895060049</v>
      </c>
      <c r="AD142" s="113" t="n">
        <f aca="false">IF(AC142&lt;1,X$14*((1-ropt)-Y$14*(1-ropt^2)+Z$14*(1-ropt^3)),0)</f>
        <v>1501722.83320167</v>
      </c>
    </row>
    <row r="143" customFormat="false" ht="12.75" hidden="false" customHeight="false" outlineLevel="0" collapsed="false">
      <c r="J143" s="67"/>
      <c r="K143" s="67"/>
      <c r="L143" s="151"/>
      <c r="M143" s="151"/>
      <c r="N143" s="151"/>
      <c r="O143" s="69"/>
      <c r="P143" s="69"/>
      <c r="Q143" s="69"/>
      <c r="R143" s="69"/>
      <c r="S143" s="69"/>
      <c r="T143" s="69"/>
      <c r="U143" s="69"/>
      <c r="V143" s="69"/>
      <c r="W143" s="159"/>
      <c r="X143" s="102" t="n">
        <v>876</v>
      </c>
      <c r="Y143" s="124" t="n">
        <f aca="false">Y142+Y$16</f>
        <v>0.000494714975357057</v>
      </c>
      <c r="Z143" s="115" t="n">
        <f aca="false">(K-(L0-Y143*Ldif-alph*Y143^0.5))/R0</f>
        <v>0.707703809043989</v>
      </c>
      <c r="AA143" s="113" t="n">
        <f aca="false">IF(Z143&lt;1,X$14*((1-r_1)-Y$14*(1-r_1^2)+Z$14*(1-r_1^3)),0)</f>
        <v>1495148.60682937</v>
      </c>
      <c r="AB143" s="97" t="n">
        <f aca="false">AB142+AB$15</f>
        <v>0.000494714975357057</v>
      </c>
      <c r="AC143" s="115" t="n">
        <f aca="false">(Kopt-(L0-AB143*Ldif-alph*AB143^0.5))/R0</f>
        <v>0.707703809043989</v>
      </c>
      <c r="AD143" s="113" t="n">
        <f aca="false">IF(AC143&lt;1,X$14*((1-ropt)-Y$14*(1-ropt^2)+Z$14*(1-ropt^3)),0)</f>
        <v>1495148.60682937</v>
      </c>
    </row>
    <row r="144" customFormat="false" ht="12.75" hidden="false" customHeight="false" outlineLevel="0" collapsed="false">
      <c r="J144" s="67"/>
      <c r="K144" s="67"/>
      <c r="L144" s="151"/>
      <c r="M144" s="151"/>
      <c r="N144" s="151"/>
      <c r="O144" s="69"/>
      <c r="P144" s="69"/>
      <c r="Q144" s="69"/>
      <c r="R144" s="69"/>
      <c r="S144" s="69"/>
      <c r="T144" s="69"/>
      <c r="U144" s="69"/>
      <c r="V144" s="69"/>
      <c r="W144" s="159"/>
      <c r="X144" s="102" t="n">
        <v>875</v>
      </c>
      <c r="Y144" s="124" t="n">
        <f aca="false">Y143+Y$16</f>
        <v>0.000498704612255098</v>
      </c>
      <c r="Z144" s="115" t="n">
        <f aca="false">(K-(L0-Y144*Ldif-alph*Y144^0.5))/R0</f>
        <v>0.708343139846215</v>
      </c>
      <c r="AA144" s="113" t="n">
        <f aca="false">IF(Z144&lt;1,X$14*((1-r_1)-Y$14*(1-r_1^2)+Z$14*(1-r_1^3)),0)</f>
        <v>1488615.17130838</v>
      </c>
      <c r="AB144" s="97" t="n">
        <f aca="false">AB143+AB$15</f>
        <v>0.000498704612255098</v>
      </c>
      <c r="AC144" s="115" t="n">
        <f aca="false">(Kopt-(L0-AB144*Ldif-alph*AB144^0.5))/R0</f>
        <v>0.708343139846215</v>
      </c>
      <c r="AD144" s="113" t="n">
        <f aca="false">IF(AC144&lt;1,X$14*((1-ropt)-Y$14*(1-ropt^2)+Z$14*(1-ropt^3)),0)</f>
        <v>1488615.17130838</v>
      </c>
    </row>
    <row r="145" customFormat="false" ht="12.75" hidden="false" customHeight="false" outlineLevel="0" collapsed="false">
      <c r="J145" s="67"/>
      <c r="K145" s="67"/>
      <c r="L145" s="151"/>
      <c r="M145" s="151"/>
      <c r="N145" s="151"/>
      <c r="O145" s="69"/>
      <c r="P145" s="69"/>
      <c r="Q145" s="69"/>
      <c r="R145" s="69"/>
      <c r="S145" s="69"/>
      <c r="T145" s="69"/>
      <c r="U145" s="69"/>
      <c r="V145" s="69"/>
      <c r="W145" s="159"/>
      <c r="X145" s="102" t="n">
        <v>874</v>
      </c>
      <c r="Y145" s="124" t="n">
        <f aca="false">Y144+Y$16</f>
        <v>0.000502694249153138</v>
      </c>
      <c r="Z145" s="115" t="n">
        <f aca="false">(K-(L0-Y145*Ldif-alph*Y145^0.5))/R0</f>
        <v>0.708979918403653</v>
      </c>
      <c r="AA145" s="113" t="n">
        <f aca="false">IF(Z145&lt;1,X$14*((1-r_1)-Y$14*(1-r_1^2)+Z$14*(1-r_1^3)),0)</f>
        <v>1482122.03811603</v>
      </c>
      <c r="AB145" s="97" t="n">
        <f aca="false">AB144+AB$15</f>
        <v>0.000502694249153138</v>
      </c>
      <c r="AC145" s="115" t="n">
        <f aca="false">(Kopt-(L0-AB145*Ldif-alph*AB145^0.5))/R0</f>
        <v>0.708979918403653</v>
      </c>
      <c r="AD145" s="113" t="n">
        <f aca="false">IF(AC145&lt;1,X$14*((1-ropt)-Y$14*(1-ropt^2)+Z$14*(1-ropt^3)),0)</f>
        <v>1482122.03811603</v>
      </c>
    </row>
    <row r="146" customFormat="false" ht="12.75" hidden="false" customHeight="false" outlineLevel="0" collapsed="false">
      <c r="J146" s="67"/>
      <c r="K146" s="67"/>
      <c r="L146" s="151"/>
      <c r="M146" s="151"/>
      <c r="N146" s="151"/>
      <c r="O146" s="69"/>
      <c r="P146" s="69"/>
      <c r="Q146" s="69"/>
      <c r="R146" s="69"/>
      <c r="S146" s="69"/>
      <c r="T146" s="69"/>
      <c r="U146" s="69"/>
      <c r="V146" s="69"/>
      <c r="W146" s="159"/>
      <c r="X146" s="102" t="n">
        <v>873</v>
      </c>
      <c r="Y146" s="124" t="n">
        <f aca="false">Y145+Y$16</f>
        <v>0.000506683886051179</v>
      </c>
      <c r="Z146" s="115" t="n">
        <f aca="false">(K-(L0-Y146*Ldif-alph*Y146^0.5))/R0</f>
        <v>0.709614175040601</v>
      </c>
      <c r="AA146" s="113" t="n">
        <f aca="false">IF(Z146&lt;1,X$14*((1-r_1)-Y$14*(1-r_1^2)+Z$14*(1-r_1^3)),0)</f>
        <v>1475668.72840364</v>
      </c>
      <c r="AB146" s="97" t="n">
        <f aca="false">AB145+AB$15</f>
        <v>0.000506683886051179</v>
      </c>
      <c r="AC146" s="115" t="n">
        <f aca="false">(Kopt-(L0-AB146*Ldif-alph*AB146^0.5))/R0</f>
        <v>0.709614175040601</v>
      </c>
      <c r="AD146" s="113" t="n">
        <f aca="false">IF(AC146&lt;1,X$14*((1-ropt)-Y$14*(1-ropt^2)+Z$14*(1-ropt^3)),0)</f>
        <v>1475668.72840364</v>
      </c>
    </row>
    <row r="147" customFormat="false" ht="12.75" hidden="false" customHeight="false" outlineLevel="0" collapsed="false">
      <c r="J147" s="67"/>
      <c r="K147" s="67"/>
      <c r="L147" s="151"/>
      <c r="M147" s="151"/>
      <c r="N147" s="151"/>
      <c r="O147" s="69"/>
      <c r="P147" s="69"/>
      <c r="Q147" s="69"/>
      <c r="R147" s="69"/>
      <c r="S147" s="69"/>
      <c r="T147" s="69"/>
      <c r="U147" s="69"/>
      <c r="V147" s="69"/>
      <c r="W147" s="159"/>
      <c r="X147" s="102" t="n">
        <v>872</v>
      </c>
      <c r="Y147" s="124" t="n">
        <f aca="false">Y146+Y$16</f>
        <v>0.00051067352294922</v>
      </c>
      <c r="Z147" s="115" t="n">
        <f aca="false">(K-(L0-Y147*Ldif-alph*Y147^0.5))/R0</f>
        <v>0.710245939485583</v>
      </c>
      <c r="AA147" s="113" t="n">
        <f aca="false">IF(Z147&lt;1,X$14*((1-r_1)-Y$14*(1-r_1^2)+Z$14*(1-r_1^3)),0)</f>
        <v>1469254.77273037</v>
      </c>
      <c r="AB147" s="97" t="n">
        <f aca="false">AB146+AB$15</f>
        <v>0.00051067352294922</v>
      </c>
      <c r="AC147" s="115" t="n">
        <f aca="false">(Kopt-(L0-AB147*Ldif-alph*AB147^0.5))/R0</f>
        <v>0.710245939485583</v>
      </c>
      <c r="AD147" s="113" t="n">
        <f aca="false">IF(AC147&lt;1,X$14*((1-ropt)-Y$14*(1-ropt^2)+Z$14*(1-ropt^3)),0)</f>
        <v>1469254.77273037</v>
      </c>
    </row>
    <row r="148" customFormat="false" ht="12.75" hidden="false" customHeight="false" outlineLevel="0" collapsed="false">
      <c r="J148" s="67"/>
      <c r="K148" s="67"/>
      <c r="L148" s="151"/>
      <c r="M148" s="151"/>
      <c r="N148" s="151"/>
      <c r="O148" s="69"/>
      <c r="P148" s="69"/>
      <c r="Q148" s="69"/>
      <c r="R148" s="69"/>
      <c r="S148" s="69"/>
      <c r="T148" s="69"/>
      <c r="U148" s="69"/>
      <c r="V148" s="69"/>
      <c r="W148" s="159"/>
      <c r="X148" s="102" t="n">
        <v>871</v>
      </c>
      <c r="Y148" s="124" t="n">
        <f aca="false">Y147+Y$16</f>
        <v>0.000514663159847261</v>
      </c>
      <c r="Z148" s="115" t="n">
        <f aca="false">(K-(L0-Y148*Ldif-alph*Y148^0.5))/R0</f>
        <v>0.710875240887594</v>
      </c>
      <c r="AA148" s="113" t="n">
        <f aca="false">IF(Z148&lt;1,X$14*((1-r_1)-Y$14*(1-r_1^2)+Z$14*(1-r_1^3)),0)</f>
        <v>1462879.71080662</v>
      </c>
      <c r="AB148" s="97" t="n">
        <f aca="false">AB147+AB$15</f>
        <v>0.000514663159847261</v>
      </c>
      <c r="AC148" s="115" t="n">
        <f aca="false">(Kopt-(L0-AB148*Ldif-alph*AB148^0.5))/R0</f>
        <v>0.710875240887594</v>
      </c>
      <c r="AD148" s="113" t="n">
        <f aca="false">IF(AC148&lt;1,X$14*((1-ropt)-Y$14*(1-ropt^2)+Z$14*(1-ropt^3)),0)</f>
        <v>1462879.71080662</v>
      </c>
    </row>
    <row r="149" customFormat="false" ht="12.75" hidden="false" customHeight="false" outlineLevel="0" collapsed="false">
      <c r="J149" s="67"/>
      <c r="K149" s="67"/>
      <c r="L149" s="151"/>
      <c r="M149" s="151"/>
      <c r="N149" s="151"/>
      <c r="O149" s="69"/>
      <c r="P149" s="69"/>
      <c r="Q149" s="69"/>
      <c r="R149" s="69"/>
      <c r="S149" s="69"/>
      <c r="T149" s="69"/>
      <c r="U149" s="69"/>
      <c r="V149" s="69"/>
      <c r="W149" s="159"/>
      <c r="X149" s="102" t="n">
        <v>870</v>
      </c>
      <c r="Y149" s="124" t="n">
        <f aca="false">Y148+Y$16</f>
        <v>0.000518652796745301</v>
      </c>
      <c r="Z149" s="115" t="n">
        <f aca="false">(K-(L0-Y149*Ldif-alph*Y149^0.5))/R0</f>
        <v>0.711502107831818</v>
      </c>
      <c r="AA149" s="113" t="n">
        <f aca="false">IF(Z149&lt;1,X$14*((1-r_1)-Y$14*(1-r_1^2)+Z$14*(1-r_1^3)),0)</f>
        <v>1456543.09124597</v>
      </c>
      <c r="AB149" s="97" t="n">
        <f aca="false">AB148+AB$15</f>
        <v>0.000518652796745301</v>
      </c>
      <c r="AC149" s="115" t="n">
        <f aca="false">(Kopt-(L0-AB149*Ldif-alph*AB149^0.5))/R0</f>
        <v>0.711502107831818</v>
      </c>
      <c r="AD149" s="113" t="n">
        <f aca="false">IF(AC149&lt;1,X$14*((1-ropt)-Y$14*(1-ropt^2)+Z$14*(1-ropt^3)),0)</f>
        <v>1456543.09124597</v>
      </c>
    </row>
    <row r="150" customFormat="false" ht="12.75" hidden="false" customHeight="false" outlineLevel="0" collapsed="false">
      <c r="J150" s="67"/>
      <c r="K150" s="67"/>
      <c r="L150" s="151"/>
      <c r="M150" s="151"/>
      <c r="N150" s="151"/>
      <c r="O150" s="69"/>
      <c r="P150" s="69"/>
      <c r="Q150" s="69"/>
      <c r="R150" s="69"/>
      <c r="S150" s="69"/>
      <c r="T150" s="69"/>
      <c r="U150" s="69"/>
      <c r="V150" s="69"/>
      <c r="W150" s="159"/>
      <c r="X150" s="102" t="n">
        <v>869</v>
      </c>
      <c r="Y150" s="124" t="n">
        <f aca="false">Y149+Y$16</f>
        <v>0.000522642433643342</v>
      </c>
      <c r="Z150" s="115" t="n">
        <f aca="false">(K-(L0-Y150*Ldif-alph*Y150^0.5))/R0</f>
        <v>0.712126568354747</v>
      </c>
      <c r="AA150" s="113" t="n">
        <f aca="false">IF(Z150&lt;1,X$14*((1-r_1)-Y$14*(1-r_1^2)+Z$14*(1-r_1^3)),0)</f>
        <v>1450244.47132625</v>
      </c>
      <c r="AB150" s="97" t="n">
        <f aca="false">AB149+AB$15</f>
        <v>0.000522642433643342</v>
      </c>
      <c r="AC150" s="115" t="n">
        <f aca="false">(Kopt-(L0-AB150*Ldif-alph*AB150^0.5))/R0</f>
        <v>0.712126568354747</v>
      </c>
      <c r="AD150" s="113" t="n">
        <f aca="false">IF(AC150&lt;1,X$14*((1-ropt)-Y$14*(1-ropt^2)+Z$14*(1-ropt^3)),0)</f>
        <v>1450244.47132625</v>
      </c>
    </row>
    <row r="151" customFormat="false" ht="12.75" hidden="false" customHeight="false" outlineLevel="0" collapsed="false">
      <c r="J151" s="67"/>
      <c r="K151" s="67"/>
      <c r="L151" s="151"/>
      <c r="M151" s="151"/>
      <c r="N151" s="151"/>
      <c r="O151" s="69"/>
      <c r="P151" s="69"/>
      <c r="Q151" s="69"/>
      <c r="R151" s="69"/>
      <c r="S151" s="69"/>
      <c r="T151" s="69"/>
      <c r="U151" s="69"/>
      <c r="V151" s="69"/>
      <c r="W151" s="159"/>
      <c r="X151" s="102" t="n">
        <v>868</v>
      </c>
      <c r="Y151" s="124" t="n">
        <f aca="false">Y150+Y$16</f>
        <v>0.000526632070541383</v>
      </c>
      <c r="Z151" s="115" t="n">
        <f aca="false">(K-(L0-Y151*Ldif-alph*Y151^0.5))/R0</f>
        <v>0.71274864995885</v>
      </c>
      <c r="AA151" s="113" t="n">
        <f aca="false">IF(Z151&lt;1,X$14*((1-r_1)-Y$14*(1-r_1^2)+Z$14*(1-r_1^3)),0)</f>
        <v>1443983.41675811</v>
      </c>
      <c r="AB151" s="97" t="n">
        <f aca="false">AB150+AB$15</f>
        <v>0.000526632070541383</v>
      </c>
      <c r="AC151" s="115" t="n">
        <f aca="false">(Kopt-(L0-AB151*Ldif-alph*AB151^0.5))/R0</f>
        <v>0.71274864995885</v>
      </c>
      <c r="AD151" s="113" t="n">
        <f aca="false">IF(AC151&lt;1,X$14*((1-ropt)-Y$14*(1-ropt^2)+Z$14*(1-ropt^3)),0)</f>
        <v>1443983.41675811</v>
      </c>
    </row>
    <row r="152" customFormat="false" ht="12.75" hidden="false" customHeight="false" outlineLevel="0" collapsed="false">
      <c r="J152" s="67"/>
      <c r="K152" s="67"/>
      <c r="L152" s="151"/>
      <c r="M152" s="151"/>
      <c r="N152" s="151"/>
      <c r="O152" s="69"/>
      <c r="P152" s="69"/>
      <c r="Q152" s="69"/>
      <c r="R152" s="69"/>
      <c r="S152" s="69"/>
      <c r="T152" s="69"/>
      <c r="U152" s="69"/>
      <c r="V152" s="69"/>
      <c r="W152" s="159"/>
      <c r="X152" s="102" t="n">
        <v>867</v>
      </c>
      <c r="Y152" s="124" t="n">
        <f aca="false">Y151+Y$16</f>
        <v>0.000530621707439424</v>
      </c>
      <c r="Z152" s="115" t="n">
        <f aca="false">(K-(L0-Y152*Ldif-alph*Y152^0.5))/R0</f>
        <v>0.71336837962667</v>
      </c>
      <c r="AA152" s="113" t="n">
        <f aca="false">IF(Z152&lt;1,X$14*((1-r_1)-Y$14*(1-r_1^2)+Z$14*(1-r_1^3)),0)</f>
        <v>1437759.50146221</v>
      </c>
      <c r="AB152" s="97" t="n">
        <f aca="false">AB151+AB$15</f>
        <v>0.000530621707439424</v>
      </c>
      <c r="AC152" s="115" t="n">
        <f aca="false">(Kopt-(L0-AB152*Ldif-alph*AB152^0.5))/R0</f>
        <v>0.71336837962667</v>
      </c>
      <c r="AD152" s="113" t="n">
        <f aca="false">IF(AC152&lt;1,X$14*((1-ropt)-Y$14*(1-ropt^2)+Z$14*(1-ropt^3)),0)</f>
        <v>1437759.50146221</v>
      </c>
    </row>
    <row r="153" customFormat="false" ht="12.75" hidden="false" customHeight="false" outlineLevel="0" collapsed="false">
      <c r="J153" s="67"/>
      <c r="K153" s="67"/>
      <c r="L153" s="151"/>
      <c r="M153" s="151"/>
      <c r="N153" s="151"/>
      <c r="O153" s="69"/>
      <c r="P153" s="69"/>
      <c r="Q153" s="69"/>
      <c r="R153" s="69"/>
      <c r="S153" s="69"/>
      <c r="T153" s="69"/>
      <c r="U153" s="69"/>
      <c r="V153" s="69"/>
      <c r="W153" s="159"/>
      <c r="X153" s="102" t="n">
        <v>866</v>
      </c>
      <c r="Y153" s="124" t="n">
        <f aca="false">Y152+Y$16</f>
        <v>0.000534611344337464</v>
      </c>
      <c r="Z153" s="115" t="n">
        <f aca="false">(K-(L0-Y153*Ldif-alph*Y153^0.5))/R0</f>
        <v>0.713985783834511</v>
      </c>
      <c r="AA153" s="113" t="n">
        <f aca="false">IF(Z153&lt;1,X$14*((1-r_1)-Y$14*(1-r_1^2)+Z$14*(1-r_1^3)),0)</f>
        <v>1431572.30735328</v>
      </c>
      <c r="AB153" s="97" t="n">
        <f aca="false">AB152+AB$15</f>
        <v>0.000534611344337464</v>
      </c>
      <c r="AC153" s="115" t="n">
        <f aca="false">(Kopt-(L0-AB153*Ldif-alph*AB153^0.5))/R0</f>
        <v>0.713985783834511</v>
      </c>
      <c r="AD153" s="113" t="n">
        <f aca="false">IF(AC153&lt;1,X$14*((1-ropt)-Y$14*(1-ropt^2)+Z$14*(1-ropt^3)),0)</f>
        <v>1431572.30735328</v>
      </c>
    </row>
    <row r="154" customFormat="false" ht="12.75" hidden="false" customHeight="false" outlineLevel="0" collapsed="false">
      <c r="J154" s="67"/>
      <c r="K154" s="67"/>
      <c r="L154" s="151"/>
      <c r="M154" s="151"/>
      <c r="N154" s="151"/>
      <c r="O154" s="69"/>
      <c r="P154" s="69"/>
      <c r="Q154" s="69"/>
      <c r="R154" s="69"/>
      <c r="S154" s="69"/>
      <c r="T154" s="69"/>
      <c r="U154" s="69"/>
      <c r="V154" s="69"/>
      <c r="W154" s="159"/>
      <c r="X154" s="102" t="n">
        <v>865</v>
      </c>
      <c r="Y154" s="124" t="n">
        <f aca="false">Y153+Y$16</f>
        <v>0.000538600981235505</v>
      </c>
      <c r="Z154" s="115" t="n">
        <f aca="false">(K-(L0-Y154*Ldif-alph*Y154^0.5))/R0</f>
        <v>0.714600888565617</v>
      </c>
      <c r="AA154" s="113" t="n">
        <f aca="false">IF(Z154&lt;1,X$14*((1-r_1)-Y$14*(1-r_1^2)+Z$14*(1-r_1^3)),0)</f>
        <v>1425421.42413187</v>
      </c>
      <c r="AB154" s="97" t="n">
        <f aca="false">AB153+AB$15</f>
        <v>0.000538600981235505</v>
      </c>
      <c r="AC154" s="115" t="n">
        <f aca="false">(Kopt-(L0-AB154*Ldif-alph*AB154^0.5))/R0</f>
        <v>0.714600888565617</v>
      </c>
      <c r="AD154" s="113" t="n">
        <f aca="false">IF(AC154&lt;1,X$14*((1-ropt)-Y$14*(1-ropt^2)+Z$14*(1-ropt^3)),0)</f>
        <v>1425421.42413187</v>
      </c>
    </row>
    <row r="155" customFormat="false" ht="12.75" hidden="false" customHeight="false" outlineLevel="0" collapsed="false">
      <c r="J155" s="67"/>
      <c r="K155" s="67"/>
      <c r="L155" s="151"/>
      <c r="M155" s="151"/>
      <c r="N155" s="151"/>
      <c r="O155" s="69"/>
      <c r="P155" s="69"/>
      <c r="Q155" s="69"/>
      <c r="R155" s="69"/>
      <c r="S155" s="69"/>
      <c r="T155" s="69"/>
      <c r="U155" s="69"/>
      <c r="V155" s="69"/>
      <c r="W155" s="159"/>
      <c r="X155" s="102" t="n">
        <v>864</v>
      </c>
      <c r="Y155" s="124" t="n">
        <f aca="false">Y154+Y$16</f>
        <v>0.000542590618133546</v>
      </c>
      <c r="Z155" s="115" t="n">
        <f aca="false">(K-(L0-Y155*Ldif-alph*Y155^0.5))/R0</f>
        <v>0.715213719322945</v>
      </c>
      <c r="AA155" s="113" t="n">
        <f aca="false">IF(Z155&lt;1,X$14*((1-r_1)-Y$14*(1-r_1^2)+Z$14*(1-r_1^3)),0)</f>
        <v>1419306.44908273</v>
      </c>
      <c r="AB155" s="97" t="n">
        <f aca="false">AB154+AB$15</f>
        <v>0.000542590618133546</v>
      </c>
      <c r="AC155" s="115" t="n">
        <f aca="false">(Kopt-(L0-AB155*Ldif-alph*AB155^0.5))/R0</f>
        <v>0.715213719322945</v>
      </c>
      <c r="AD155" s="113" t="n">
        <f aca="false">IF(AC155&lt;1,X$14*((1-ropt)-Y$14*(1-ropt^2)+Z$14*(1-ropt^3)),0)</f>
        <v>1419306.44908273</v>
      </c>
    </row>
    <row r="156" customFormat="false" ht="12.75" hidden="false" customHeight="false" outlineLevel="0" collapsed="false">
      <c r="J156" s="67"/>
      <c r="K156" s="67"/>
      <c r="L156" s="151"/>
      <c r="M156" s="151"/>
      <c r="N156" s="151"/>
      <c r="O156" s="69"/>
      <c r="P156" s="69"/>
      <c r="Q156" s="69"/>
      <c r="R156" s="69"/>
      <c r="S156" s="69"/>
      <c r="T156" s="69"/>
      <c r="U156" s="69"/>
      <c r="V156" s="69"/>
      <c r="W156" s="159"/>
      <c r="X156" s="102" t="n">
        <v>863</v>
      </c>
      <c r="Y156" s="124" t="n">
        <f aca="false">Y155+Y$16</f>
        <v>0.000546580255031587</v>
      </c>
      <c r="Z156" s="115" t="n">
        <f aca="false">(K-(L0-Y156*Ldif-alph*Y156^0.5))/R0</f>
        <v>0.715824301141485</v>
      </c>
      <c r="AA156" s="113" t="n">
        <f aca="false">IF(Z156&lt;1,X$14*((1-r_1)-Y$14*(1-r_1^2)+Z$14*(1-r_1^3)),0)</f>
        <v>1413226.9868802</v>
      </c>
      <c r="AB156" s="97" t="n">
        <f aca="false">AB155+AB$15</f>
        <v>0.000546580255031587</v>
      </c>
      <c r="AC156" s="115" t="n">
        <f aca="false">(Kopt-(L0-AB156*Ldif-alph*AB156^0.5))/R0</f>
        <v>0.715824301141485</v>
      </c>
      <c r="AD156" s="113" t="n">
        <f aca="false">IF(AC156&lt;1,X$14*((1-ropt)-Y$14*(1-ropt^2)+Z$14*(1-ropt^3)),0)</f>
        <v>1413226.9868802</v>
      </c>
    </row>
    <row r="157" customFormat="false" ht="12.75" hidden="false" customHeight="false" outlineLevel="0" collapsed="false">
      <c r="J157" s="67"/>
      <c r="K157" s="67"/>
      <c r="L157" s="151"/>
      <c r="M157" s="151"/>
      <c r="N157" s="151"/>
      <c r="O157" s="69"/>
      <c r="P157" s="69"/>
      <c r="Q157" s="69"/>
      <c r="R157" s="69"/>
      <c r="S157" s="69"/>
      <c r="T157" s="69"/>
      <c r="U157" s="69"/>
      <c r="V157" s="69"/>
      <c r="W157" s="159"/>
      <c r="X157" s="102" t="n">
        <v>862</v>
      </c>
      <c r="Y157" s="124" t="n">
        <f aca="false">Y156+Y$16</f>
        <v>0.000550569891929627</v>
      </c>
      <c r="Z157" s="115" t="n">
        <f aca="false">(K-(L0-Y157*Ldif-alph*Y157^0.5))/R0</f>
        <v>0.716432658600218</v>
      </c>
      <c r="AA157" s="113" t="n">
        <f aca="false">IF(Z157&lt;1,X$14*((1-r_1)-Y$14*(1-r_1^2)+Z$14*(1-r_1^3)),0)</f>
        <v>1407182.64939946</v>
      </c>
      <c r="AB157" s="97" t="n">
        <f aca="false">AB156+AB$15</f>
        <v>0.000550569891929627</v>
      </c>
      <c r="AC157" s="115" t="n">
        <f aca="false">(Kopt-(L0-AB157*Ldif-alph*AB157^0.5))/R0</f>
        <v>0.716432658600218</v>
      </c>
      <c r="AD157" s="113" t="n">
        <f aca="false">IF(AC157&lt;1,X$14*((1-ropt)-Y$14*(1-ropt^2)+Z$14*(1-ropt^3)),0)</f>
        <v>1407182.64939946</v>
      </c>
    </row>
    <row r="158" customFormat="false" ht="12.75" hidden="false" customHeight="false" outlineLevel="0" collapsed="false">
      <c r="J158" s="67"/>
      <c r="K158" s="67"/>
      <c r="L158" s="151"/>
      <c r="M158" s="151"/>
      <c r="N158" s="151"/>
      <c r="O158" s="69"/>
      <c r="P158" s="69"/>
      <c r="Q158" s="69"/>
      <c r="R158" s="69"/>
      <c r="S158" s="69"/>
      <c r="T158" s="69"/>
      <c r="U158" s="69"/>
      <c r="V158" s="69"/>
      <c r="W158" s="159"/>
      <c r="X158" s="102" t="n">
        <v>861</v>
      </c>
      <c r="Y158" s="124" t="n">
        <f aca="false">Y157+Y$16</f>
        <v>0.000554559528827668</v>
      </c>
      <c r="Z158" s="115" t="n">
        <f aca="false">(K-(L0-Y158*Ldif-alph*Y158^0.5))/R0</f>
        <v>0.717038815833643</v>
      </c>
      <c r="AA158" s="113" t="n">
        <f aca="false">IF(Z158&lt;1,X$14*((1-r_1)-Y$14*(1-r_1^2)+Z$14*(1-r_1^3)),0)</f>
        <v>1401173.05553448</v>
      </c>
      <c r="AB158" s="97" t="n">
        <f aca="false">AB157+AB$15</f>
        <v>0.000554559528827668</v>
      </c>
      <c r="AC158" s="115" t="n">
        <f aca="false">(Kopt-(L0-AB158*Ldif-alph*AB158^0.5))/R0</f>
        <v>0.717038815833643</v>
      </c>
      <c r="AD158" s="113" t="n">
        <f aca="false">IF(AC158&lt;1,X$14*((1-ropt)-Y$14*(1-ropt^2)+Z$14*(1-ropt^3)),0)</f>
        <v>1401173.05553448</v>
      </c>
    </row>
    <row r="159" customFormat="false" ht="12.75" hidden="false" customHeight="false" outlineLevel="0" collapsed="false">
      <c r="J159" s="67"/>
      <c r="K159" s="67"/>
      <c r="L159" s="151"/>
      <c r="M159" s="151"/>
      <c r="N159" s="151"/>
      <c r="O159" s="69"/>
      <c r="P159" s="69"/>
      <c r="Q159" s="69"/>
      <c r="R159" s="69"/>
      <c r="S159" s="69"/>
      <c r="T159" s="69"/>
      <c r="U159" s="69"/>
      <c r="V159" s="69"/>
      <c r="W159" s="159"/>
      <c r="X159" s="102" t="n">
        <v>860</v>
      </c>
      <c r="Y159" s="124" t="n">
        <f aca="false">Y158+Y$16</f>
        <v>0.000558549165725709</v>
      </c>
      <c r="Z159" s="115" t="n">
        <f aca="false">(K-(L0-Y159*Ldif-alph*Y159^0.5))/R0</f>
        <v>0.717642796542955</v>
      </c>
      <c r="AA159" s="113" t="n">
        <f aca="false">IF(Z159&lt;1,X$14*((1-r_1)-Y$14*(1-r_1^2)+Z$14*(1-r_1^3)),0)</f>
        <v>1395197.83102146</v>
      </c>
      <c r="AB159" s="97" t="n">
        <f aca="false">AB158+AB$15</f>
        <v>0.000558549165725709</v>
      </c>
      <c r="AC159" s="115" t="n">
        <f aca="false">(Kopt-(L0-AB159*Ldif-alph*AB159^0.5))/R0</f>
        <v>0.717642796542955</v>
      </c>
      <c r="AD159" s="113" t="n">
        <f aca="false">IF(AC159&lt;1,X$14*((1-ropt)-Y$14*(1-ropt^2)+Z$14*(1-ropt^3)),0)</f>
        <v>1395197.83102146</v>
      </c>
    </row>
    <row r="160" customFormat="false" ht="12.75" hidden="false" customHeight="false" outlineLevel="0" collapsed="false">
      <c r="J160" s="67"/>
      <c r="K160" s="67"/>
      <c r="L160" s="151"/>
      <c r="M160" s="151"/>
      <c r="N160" s="151"/>
      <c r="O160" s="69"/>
      <c r="P160" s="69"/>
      <c r="Q160" s="69"/>
      <c r="R160" s="69"/>
      <c r="S160" s="69"/>
      <c r="T160" s="69"/>
      <c r="U160" s="69"/>
      <c r="V160" s="69"/>
      <c r="W160" s="159"/>
      <c r="X160" s="102" t="n">
        <v>859</v>
      </c>
      <c r="Y160" s="124" t="n">
        <f aca="false">Y159+Y$16</f>
        <v>0.00056253880262375</v>
      </c>
      <c r="Z160" s="115" t="n">
        <f aca="false">(K-(L0-Y160*Ldif-alph*Y160^0.5))/R0</f>
        <v>0.718244624006857</v>
      </c>
      <c r="AA160" s="113" t="n">
        <f aca="false">IF(Z160&lt;1,X$14*((1-r_1)-Y$14*(1-r_1^2)+Z$14*(1-r_1^3)),0)</f>
        <v>1389256.60826815</v>
      </c>
      <c r="AB160" s="97" t="n">
        <f aca="false">AB159+AB$15</f>
        <v>0.00056253880262375</v>
      </c>
      <c r="AC160" s="115" t="n">
        <f aca="false">(Kopt-(L0-AB160*Ldif-alph*AB160^0.5))/R0</f>
        <v>0.718244624006857</v>
      </c>
      <c r="AD160" s="113" t="n">
        <f aca="false">IF(AC160&lt;1,X$14*((1-ropt)-Y$14*(1-ropt^2)+Z$14*(1-ropt^3)),0)</f>
        <v>1389256.60826815</v>
      </c>
    </row>
    <row r="161" customFormat="false" ht="12.75" hidden="false" customHeight="false" outlineLevel="0" collapsed="false">
      <c r="J161" s="67"/>
      <c r="K161" s="67"/>
      <c r="L161" s="151"/>
      <c r="M161" s="151"/>
      <c r="N161" s="151"/>
      <c r="O161" s="69"/>
      <c r="P161" s="69"/>
      <c r="Q161" s="69"/>
      <c r="R161" s="69"/>
      <c r="S161" s="69"/>
      <c r="T161" s="69"/>
      <c r="U161" s="69"/>
      <c r="V161" s="69"/>
      <c r="W161" s="159"/>
      <c r="X161" s="102" t="n">
        <v>858</v>
      </c>
      <c r="Y161" s="124" t="n">
        <f aca="false">Y160+Y$16</f>
        <v>0.00056652843952179</v>
      </c>
      <c r="Z161" s="115" t="n">
        <f aca="false">(K-(L0-Y161*Ldif-alph*Y161^0.5))/R0</f>
        <v>0.718844321092036</v>
      </c>
      <c r="AA161" s="113" t="n">
        <f aca="false">IF(Z161&lt;1,X$14*((1-r_1)-Y$14*(1-r_1^2)+Z$14*(1-r_1^3)),0)</f>
        <v>1383349.02618847</v>
      </c>
      <c r="AB161" s="97" t="n">
        <f aca="false">AB160+AB$15</f>
        <v>0.00056652843952179</v>
      </c>
      <c r="AC161" s="115" t="n">
        <f aca="false">(Kopt-(L0-AB161*Ldif-alph*AB161^0.5))/R0</f>
        <v>0.718844321092036</v>
      </c>
      <c r="AD161" s="113" t="n">
        <f aca="false">IF(AC161&lt;1,X$14*((1-ropt)-Y$14*(1-ropt^2)+Z$14*(1-ropt^3)),0)</f>
        <v>1383349.02618847</v>
      </c>
    </row>
    <row r="162" customFormat="false" ht="12.75" hidden="false" customHeight="false" outlineLevel="0" collapsed="false">
      <c r="J162" s="67"/>
      <c r="K162" s="67"/>
      <c r="L162" s="151"/>
      <c r="M162" s="151"/>
      <c r="N162" s="151"/>
      <c r="O162" s="69"/>
      <c r="P162" s="69"/>
      <c r="Q162" s="69"/>
      <c r="R162" s="69"/>
      <c r="S162" s="69"/>
      <c r="T162" s="69"/>
      <c r="U162" s="69"/>
      <c r="V162" s="69"/>
      <c r="W162" s="159"/>
      <c r="X162" s="102" t="n">
        <v>857</v>
      </c>
      <c r="Y162" s="124" t="n">
        <f aca="false">Y161+Y$16</f>
        <v>0.000570518076419831</v>
      </c>
      <c r="Z162" s="115" t="n">
        <f aca="false">(K-(L0-Y162*Ldif-alph*Y162^0.5))/R0</f>
        <v>0.719441910263284</v>
      </c>
      <c r="AA162" s="113" t="n">
        <f aca="false">IF(Z162&lt;1,X$14*((1-r_1)-Y$14*(1-r_1^2)+Z$14*(1-r_1^3)),0)</f>
        <v>1377474.73004252</v>
      </c>
      <c r="AB162" s="97" t="n">
        <f aca="false">AB161+AB$15</f>
        <v>0.000570518076419831</v>
      </c>
      <c r="AC162" s="115" t="n">
        <f aca="false">(Kopt-(L0-AB162*Ldif-alph*AB162^0.5))/R0</f>
        <v>0.719441910263284</v>
      </c>
      <c r="AD162" s="113" t="n">
        <f aca="false">IF(AC162&lt;1,X$14*((1-ropt)-Y$14*(1-ropt^2)+Z$14*(1-ropt^3)),0)</f>
        <v>1377474.73004252</v>
      </c>
    </row>
    <row r="163" customFormat="false" ht="12.75" hidden="false" customHeight="false" outlineLevel="0" collapsed="false">
      <c r="J163" s="67"/>
      <c r="K163" s="67"/>
      <c r="L163" s="151"/>
      <c r="M163" s="151"/>
      <c r="N163" s="151"/>
      <c r="O163" s="69"/>
      <c r="P163" s="69"/>
      <c r="Q163" s="69"/>
      <c r="R163" s="69"/>
      <c r="S163" s="69"/>
      <c r="T163" s="69"/>
      <c r="U163" s="69"/>
      <c r="V163" s="69"/>
      <c r="W163" s="159"/>
      <c r="X163" s="102" t="n">
        <v>856</v>
      </c>
      <c r="Y163" s="124" t="n">
        <f aca="false">Y162+Y$16</f>
        <v>0.000574507713317872</v>
      </c>
      <c r="Z163" s="115" t="n">
        <f aca="false">(K-(L0-Y163*Ldif-alph*Y163^0.5))/R0</f>
        <v>0.720037413593346</v>
      </c>
      <c r="AA163" s="113" t="n">
        <f aca="false">IF(Z163&lt;1,X$14*((1-r_1)-Y$14*(1-r_1^2)+Z$14*(1-r_1^3)),0)</f>
        <v>1371633.3712813</v>
      </c>
      <c r="AB163" s="97" t="n">
        <f aca="false">AB162+AB$15</f>
        <v>0.000574507713317872</v>
      </c>
      <c r="AC163" s="115" t="n">
        <f aca="false">(Kopt-(L0-AB163*Ldif-alph*AB163^0.5))/R0</f>
        <v>0.720037413593346</v>
      </c>
      <c r="AD163" s="113" t="n">
        <f aca="false">IF(AC163&lt;1,X$14*((1-ropt)-Y$14*(1-ropt^2)+Z$14*(1-ropt^3)),0)</f>
        <v>1371633.3712813</v>
      </c>
    </row>
    <row r="164" customFormat="false" ht="12.75" hidden="false" customHeight="false" outlineLevel="0" collapsed="false">
      <c r="J164" s="67"/>
      <c r="K164" s="67"/>
      <c r="L164" s="151"/>
      <c r="M164" s="151"/>
      <c r="N164" s="151"/>
      <c r="O164" s="69"/>
      <c r="P164" s="69"/>
      <c r="Q164" s="69"/>
      <c r="R164" s="69"/>
      <c r="S164" s="69"/>
      <c r="T164" s="69"/>
      <c r="U164" s="69"/>
      <c r="V164" s="69"/>
      <c r="W164" s="159"/>
      <c r="X164" s="102" t="n">
        <v>855</v>
      </c>
      <c r="Y164" s="124" t="n">
        <f aca="false">Y163+Y$16</f>
        <v>0.000578497350215913</v>
      </c>
      <c r="Z164" s="115" t="n">
        <f aca="false">(K-(L0-Y164*Ldif-alph*Y164^0.5))/R0</f>
        <v>0.720630852772397</v>
      </c>
      <c r="AA164" s="113" t="n">
        <f aca="false">IF(Z164&lt;1,X$14*((1-r_1)-Y$14*(1-r_1^2)+Z$14*(1-r_1^3)),0)</f>
        <v>1365824.60739687</v>
      </c>
      <c r="AB164" s="97" t="n">
        <f aca="false">AB163+AB$15</f>
        <v>0.000578497350215913</v>
      </c>
      <c r="AC164" s="115" t="n">
        <f aca="false">(Kopt-(L0-AB164*Ldif-alph*AB164^0.5))/R0</f>
        <v>0.720630852772397</v>
      </c>
      <c r="AD164" s="113" t="n">
        <f aca="false">IF(AC164&lt;1,X$14*((1-ropt)-Y$14*(1-ropt^2)+Z$14*(1-ropt^3)),0)</f>
        <v>1365824.60739687</v>
      </c>
    </row>
    <row r="165" customFormat="false" ht="12.75" hidden="false" customHeight="false" outlineLevel="0" collapsed="false">
      <c r="J165" s="67"/>
      <c r="K165" s="67"/>
      <c r="L165" s="151"/>
      <c r="M165" s="151"/>
      <c r="N165" s="151"/>
      <c r="O165" s="69"/>
      <c r="P165" s="69"/>
      <c r="Q165" s="69"/>
      <c r="R165" s="69"/>
      <c r="S165" s="69"/>
      <c r="T165" s="69"/>
      <c r="U165" s="69"/>
      <c r="V165" s="69"/>
      <c r="W165" s="159"/>
      <c r="X165" s="102" t="n">
        <v>854</v>
      </c>
      <c r="Y165" s="124" t="n">
        <f aca="false">Y164+Y$16</f>
        <v>0.000582486987113953</v>
      </c>
      <c r="Z165" s="115" t="n">
        <f aca="false">(K-(L0-Y165*Ldif-alph*Y165^0.5))/R0</f>
        <v>0.721222249117293</v>
      </c>
      <c r="AA165" s="113" t="n">
        <f aca="false">IF(Z165&lt;1,X$14*((1-r_1)-Y$14*(1-r_1^2)+Z$14*(1-r_1^3)),0)</f>
        <v>1360048.10177636</v>
      </c>
      <c r="AB165" s="97" t="n">
        <f aca="false">AB164+AB$15</f>
        <v>0.000582486987113953</v>
      </c>
      <c r="AC165" s="115" t="n">
        <f aca="false">(Kopt-(L0-AB165*Ldif-alph*AB165^0.5))/R0</f>
        <v>0.721222249117293</v>
      </c>
      <c r="AD165" s="113" t="n">
        <f aca="false">IF(AC165&lt;1,X$14*((1-ropt)-Y$14*(1-ropt^2)+Z$14*(1-ropt^3)),0)</f>
        <v>1360048.10177636</v>
      </c>
    </row>
    <row r="166" customFormat="false" ht="12.75" hidden="false" customHeight="false" outlineLevel="0" collapsed="false">
      <c r="J166" s="67"/>
      <c r="K166" s="67"/>
      <c r="L166" s="151"/>
      <c r="M166" s="151"/>
      <c r="N166" s="151"/>
      <c r="O166" s="69"/>
      <c r="P166" s="69"/>
      <c r="Q166" s="69"/>
      <c r="R166" s="69"/>
      <c r="S166" s="69"/>
      <c r="T166" s="69"/>
      <c r="U166" s="69"/>
      <c r="V166" s="69"/>
      <c r="W166" s="159"/>
      <c r="X166" s="102" t="n">
        <v>853</v>
      </c>
      <c r="Y166" s="124" t="n">
        <f aca="false">Y165+Y$16</f>
        <v>0.000586476624011994</v>
      </c>
      <c r="Z166" s="115" t="n">
        <f aca="false">(K-(L0-Y166*Ldif-alph*Y166^0.5))/R0</f>
        <v>0.721811623580486</v>
      </c>
      <c r="AA166" s="113" t="n">
        <f aca="false">IF(Z166&lt;1,X$14*((1-r_1)-Y$14*(1-r_1^2)+Z$14*(1-r_1^3)),0)</f>
        <v>1354303.5235612</v>
      </c>
      <c r="AB166" s="97" t="n">
        <f aca="false">AB165+AB$15</f>
        <v>0.000586476624011994</v>
      </c>
      <c r="AC166" s="115" t="n">
        <f aca="false">(Kopt-(L0-AB166*Ldif-alph*AB166^0.5))/R0</f>
        <v>0.721811623580486</v>
      </c>
      <c r="AD166" s="113" t="n">
        <f aca="false">IF(AC166&lt;1,X$14*((1-ropt)-Y$14*(1-ropt^2)+Z$14*(1-ropt^3)),0)</f>
        <v>1354303.5235612</v>
      </c>
    </row>
    <row r="167" customFormat="false" ht="12.75" hidden="false" customHeight="false" outlineLevel="0" collapsed="false">
      <c r="J167" s="67"/>
      <c r="K167" s="67"/>
      <c r="L167" s="151"/>
      <c r="M167" s="151"/>
      <c r="N167" s="151"/>
      <c r="O167" s="69"/>
      <c r="P167" s="69"/>
      <c r="Q167" s="69"/>
      <c r="R167" s="69"/>
      <c r="S167" s="69"/>
      <c r="T167" s="69"/>
      <c r="U167" s="69"/>
      <c r="V167" s="69"/>
      <c r="W167" s="159"/>
      <c r="X167" s="102" t="n">
        <v>852</v>
      </c>
      <c r="Y167" s="124" t="n">
        <f aca="false">Y166+Y$16</f>
        <v>0.000590466260910035</v>
      </c>
      <c r="Z167" s="115" t="n">
        <f aca="false">(K-(L0-Y167*Ldif-alph*Y167^0.5))/R0</f>
        <v>0.722398996758693</v>
      </c>
      <c r="AA167" s="113" t="n">
        <f aca="false">IF(Z167&lt;1,X$14*((1-r_1)-Y$14*(1-r_1^2)+Z$14*(1-r_1^3)),0)</f>
        <v>1348590.54751016</v>
      </c>
      <c r="AB167" s="97" t="n">
        <f aca="false">AB166+AB$15</f>
        <v>0.000590466260910035</v>
      </c>
      <c r="AC167" s="115" t="n">
        <f aca="false">(Kopt-(L0-AB167*Ldif-alph*AB167^0.5))/R0</f>
        <v>0.722398996758693</v>
      </c>
      <c r="AD167" s="113" t="n">
        <f aca="false">IF(AC167&lt;1,X$14*((1-ropt)-Y$14*(1-ropt^2)+Z$14*(1-ropt^3)),0)</f>
        <v>1348590.54751016</v>
      </c>
    </row>
    <row r="168" customFormat="false" ht="12.75" hidden="false" customHeight="false" outlineLevel="0" collapsed="false">
      <c r="J168" s="67"/>
      <c r="K168" s="67"/>
      <c r="L168" s="151"/>
      <c r="M168" s="151"/>
      <c r="N168" s="151"/>
      <c r="O168" s="69"/>
      <c r="P168" s="69"/>
      <c r="Q168" s="69"/>
      <c r="R168" s="69"/>
      <c r="S168" s="69"/>
      <c r="T168" s="69"/>
      <c r="U168" s="69"/>
      <c r="V168" s="69"/>
      <c r="W168" s="159"/>
      <c r="X168" s="102" t="n">
        <v>851</v>
      </c>
      <c r="Y168" s="124" t="n">
        <f aca="false">Y167+Y$16</f>
        <v>0.000594455897808075</v>
      </c>
      <c r="Z168" s="115" t="n">
        <f aca="false">(K-(L0-Y168*Ldif-alph*Y168^0.5))/R0</f>
        <v>0.722984388901289</v>
      </c>
      <c r="AA168" s="113" t="n">
        <f aca="false">IF(Z168&lt;1,X$14*((1-r_1)-Y$14*(1-r_1^2)+Z$14*(1-r_1^3)),0)</f>
        <v>1342908.85386687</v>
      </c>
      <c r="AB168" s="97" t="n">
        <f aca="false">AB167+AB$15</f>
        <v>0.000594455897808075</v>
      </c>
      <c r="AC168" s="115" t="n">
        <f aca="false">(Kopt-(L0-AB168*Ldif-alph*AB168^0.5))/R0</f>
        <v>0.722984388901289</v>
      </c>
      <c r="AD168" s="113" t="n">
        <f aca="false">IF(AC168&lt;1,X$14*((1-ropt)-Y$14*(1-ropt^2)+Z$14*(1-ropt^3)),0)</f>
        <v>1342908.85386687</v>
      </c>
    </row>
    <row r="169" customFormat="false" ht="12.75" hidden="false" customHeight="false" outlineLevel="0" collapsed="false">
      <c r="J169" s="67"/>
      <c r="K169" s="67"/>
      <c r="L169" s="151"/>
      <c r="M169" s="151"/>
      <c r="N169" s="151"/>
      <c r="O169" s="69"/>
      <c r="P169" s="69"/>
      <c r="Q169" s="69"/>
      <c r="R169" s="69"/>
      <c r="S169" s="69"/>
      <c r="T169" s="69"/>
      <c r="U169" s="69"/>
      <c r="V169" s="69"/>
      <c r="W169" s="159"/>
      <c r="X169" s="102" t="n">
        <v>850</v>
      </c>
      <c r="Y169" s="124" t="n">
        <f aca="false">Y168+Y$16</f>
        <v>0.000598445534706116</v>
      </c>
      <c r="Z169" s="115" t="n">
        <f aca="false">(K-(L0-Y169*Ldif-alph*Y169^0.5))/R0</f>
        <v>0.723567819918464</v>
      </c>
      <c r="AA169" s="113" t="n">
        <f aca="false">IF(Z169&lt;1,X$14*((1-r_1)-Y$14*(1-r_1^2)+Z$14*(1-r_1^3)),0)</f>
        <v>1337258.12823104</v>
      </c>
      <c r="AB169" s="97" t="n">
        <f aca="false">AB168+AB$15</f>
        <v>0.000598445534706116</v>
      </c>
      <c r="AC169" s="115" t="n">
        <f aca="false">(Kopt-(L0-AB169*Ldif-alph*AB169^0.5))/R0</f>
        <v>0.723567819918464</v>
      </c>
      <c r="AD169" s="113" t="n">
        <f aca="false">IF(AC169&lt;1,X$14*((1-ropt)-Y$14*(1-ropt^2)+Z$14*(1-ropt^3)),0)</f>
        <v>1337258.12823104</v>
      </c>
    </row>
    <row r="170" customFormat="false" ht="12.75" hidden="false" customHeight="false" outlineLevel="0" collapsed="false">
      <c r="J170" s="67"/>
      <c r="K170" s="67"/>
      <c r="L170" s="151"/>
      <c r="M170" s="151"/>
      <c r="N170" s="151"/>
      <c r="O170" s="69"/>
      <c r="P170" s="69"/>
      <c r="Q170" s="69"/>
      <c r="R170" s="69"/>
      <c r="S170" s="69"/>
      <c r="T170" s="69"/>
      <c r="U170" s="69"/>
      <c r="V170" s="69"/>
      <c r="W170" s="159"/>
      <c r="X170" s="102" t="n">
        <v>849</v>
      </c>
      <c r="Y170" s="124" t="n">
        <f aca="false">Y169+Y$16</f>
        <v>0.000602435171604157</v>
      </c>
      <c r="Z170" s="115" t="n">
        <f aca="false">(K-(L0-Y170*Ldif-alph*Y170^0.5))/R0</f>
        <v>0.724149309389114</v>
      </c>
      <c r="AA170" s="113" t="n">
        <f aca="false">IF(Z170&lt;1,X$14*((1-r_1)-Y$14*(1-r_1^2)+Z$14*(1-r_1^3)),0)</f>
        <v>1331638.06143379</v>
      </c>
      <c r="AB170" s="97" t="n">
        <f aca="false">AB169+AB$15</f>
        <v>0.000602435171604157</v>
      </c>
      <c r="AC170" s="115" t="n">
        <f aca="false">(Kopt-(L0-AB170*Ldif-alph*AB170^0.5))/R0</f>
        <v>0.724149309389114</v>
      </c>
      <c r="AD170" s="113" t="n">
        <f aca="false">IF(AC170&lt;1,X$14*((1-ropt)-Y$14*(1-ropt^2)+Z$14*(1-ropt^3)),0)</f>
        <v>1331638.06143379</v>
      </c>
    </row>
    <row r="171" customFormat="false" ht="12.75" hidden="false" customHeight="false" outlineLevel="0" collapsed="false">
      <c r="J171" s="67"/>
      <c r="K171" s="67"/>
      <c r="L171" s="151"/>
      <c r="M171" s="151"/>
      <c r="N171" s="151"/>
      <c r="O171" s="69"/>
      <c r="P171" s="69"/>
      <c r="Q171" s="69"/>
      <c r="R171" s="69"/>
      <c r="S171" s="69"/>
      <c r="T171" s="69"/>
      <c r="U171" s="69"/>
      <c r="V171" s="69"/>
      <c r="W171" s="159"/>
      <c r="X171" s="102" t="n">
        <v>848</v>
      </c>
      <c r="Y171" s="124" t="n">
        <f aca="false">Y170+Y$16</f>
        <v>0.000606424808502198</v>
      </c>
      <c r="Z171" s="115" t="n">
        <f aca="false">(K-(L0-Y171*Ldif-alph*Y171^0.5))/R0</f>
        <v>0.724728876568506</v>
      </c>
      <c r="AA171" s="113" t="n">
        <f aca="false">IF(Z171&lt;1,X$14*((1-r_1)-Y$14*(1-r_1^2)+Z$14*(1-r_1^3)),0)</f>
        <v>1326048.34941665</v>
      </c>
      <c r="AB171" s="97" t="n">
        <f aca="false">AB170+AB$15</f>
        <v>0.000606424808502198</v>
      </c>
      <c r="AC171" s="115" t="n">
        <f aca="false">(Kopt-(L0-AB171*Ldif-alph*AB171^0.5))/R0</f>
        <v>0.724728876568506</v>
      </c>
      <c r="AD171" s="113" t="n">
        <f aca="false">IF(AC171&lt;1,X$14*((1-ropt)-Y$14*(1-ropt^2)+Z$14*(1-ropt^3)),0)</f>
        <v>1326048.34941665</v>
      </c>
    </row>
    <row r="172" customFormat="false" ht="12.75" hidden="false" customHeight="false" outlineLevel="0" collapsed="false">
      <c r="J172" s="67"/>
      <c r="K172" s="67"/>
      <c r="L172" s="151"/>
      <c r="M172" s="151"/>
      <c r="N172" s="151"/>
      <c r="O172" s="69"/>
      <c r="P172" s="69"/>
      <c r="Q172" s="69"/>
      <c r="R172" s="69"/>
      <c r="S172" s="69"/>
      <c r="T172" s="69"/>
      <c r="U172" s="69"/>
      <c r="V172" s="69"/>
      <c r="W172" s="159"/>
      <c r="X172" s="102" t="n">
        <v>847</v>
      </c>
      <c r="Y172" s="124" t="n">
        <f aca="false">Y171+Y$16</f>
        <v>0.000610414445400238</v>
      </c>
      <c r="Z172" s="115" t="n">
        <f aca="false">(K-(L0-Y172*Ldif-alph*Y172^0.5))/R0</f>
        <v>0.725306540395732</v>
      </c>
      <c r="AA172" s="113" t="n">
        <f aca="false">IF(Z172&lt;1,X$14*((1-r_1)-Y$14*(1-r_1^2)+Z$14*(1-r_1^3)),0)</f>
        <v>1320488.69311383</v>
      </c>
      <c r="AB172" s="97" t="n">
        <f aca="false">AB171+AB$15</f>
        <v>0.000610414445400238</v>
      </c>
      <c r="AC172" s="115" t="n">
        <f aca="false">(Kopt-(L0-AB172*Ldif-alph*AB172^0.5))/R0</f>
        <v>0.725306540395732</v>
      </c>
      <c r="AD172" s="113" t="n">
        <f aca="false">IF(AC172&lt;1,X$14*((1-ropt)-Y$14*(1-ropt^2)+Z$14*(1-ropt^3)),0)</f>
        <v>1320488.69311383</v>
      </c>
    </row>
    <row r="173" customFormat="false" ht="12.75" hidden="false" customHeight="false" outlineLevel="0" collapsed="false">
      <c r="J173" s="67"/>
      <c r="K173" s="67"/>
      <c r="L173" s="151"/>
      <c r="M173" s="151"/>
      <c r="N173" s="151"/>
      <c r="O173" s="69"/>
      <c r="P173" s="69"/>
      <c r="Q173" s="69"/>
      <c r="R173" s="69"/>
      <c r="S173" s="69"/>
      <c r="T173" s="69"/>
      <c r="U173" s="69"/>
      <c r="V173" s="69"/>
      <c r="W173" s="159"/>
      <c r="X173" s="102" t="n">
        <v>846</v>
      </c>
      <c r="Y173" s="124" t="n">
        <f aca="false">Y172+Y$16</f>
        <v>0.000614404082298279</v>
      </c>
      <c r="Z173" s="115" t="n">
        <f aca="false">(K-(L0-Y173*Ldif-alph*Y173^0.5))/R0</f>
        <v>0.725882319500911</v>
      </c>
      <c r="AA173" s="113" t="n">
        <f aca="false">IF(Z173&lt;1,X$14*((1-r_1)-Y$14*(1-r_1^2)+Z$14*(1-r_1^3)),0)</f>
        <v>1314958.79833851</v>
      </c>
      <c r="AB173" s="97" t="n">
        <f aca="false">AB172+AB$15</f>
        <v>0.000614404082298279</v>
      </c>
      <c r="AC173" s="115" t="n">
        <f aca="false">(Kopt-(L0-AB173*Ldif-alph*AB173^0.5))/R0</f>
        <v>0.725882319500911</v>
      </c>
      <c r="AD173" s="113" t="n">
        <f aca="false">IF(AC173&lt;1,X$14*((1-ropt)-Y$14*(1-ropt^2)+Z$14*(1-ropt^3)),0)</f>
        <v>1314958.79833851</v>
      </c>
    </row>
    <row r="174" customFormat="false" ht="12.75" hidden="false" customHeight="false" outlineLevel="0" collapsed="false">
      <c r="J174" s="67"/>
      <c r="K174" s="67"/>
      <c r="L174" s="151"/>
      <c r="M174" s="151"/>
      <c r="N174" s="151"/>
      <c r="O174" s="69"/>
      <c r="P174" s="69"/>
      <c r="Q174" s="69"/>
      <c r="R174" s="69"/>
      <c r="S174" s="69"/>
      <c r="T174" s="69"/>
      <c r="U174" s="69"/>
      <c r="V174" s="69"/>
      <c r="W174" s="159"/>
      <c r="X174" s="102" t="n">
        <v>845</v>
      </c>
      <c r="Y174" s="124" t="n">
        <f aca="false">Y173+Y$16</f>
        <v>0.00061839371919632</v>
      </c>
      <c r="Z174" s="115" t="n">
        <f aca="false">(K-(L0-Y174*Ldif-alph*Y174^0.5))/R0</f>
        <v>0.726456232212218</v>
      </c>
      <c r="AA174" s="113" t="n">
        <f aca="false">IF(Z174&lt;1,X$14*((1-r_1)-Y$14*(1-r_1^2)+Z$14*(1-r_1^3)),0)</f>
        <v>1309458.37567188</v>
      </c>
      <c r="AB174" s="97" t="n">
        <f aca="false">AB173+AB$15</f>
        <v>0.00061839371919632</v>
      </c>
      <c r="AC174" s="115" t="n">
        <f aca="false">(Kopt-(L0-AB174*Ldif-alph*AB174^0.5))/R0</f>
        <v>0.726456232212218</v>
      </c>
      <c r="AD174" s="113" t="n">
        <f aca="false">IF(AC174&lt;1,X$14*((1-ropt)-Y$14*(1-ropt^2)+Z$14*(1-ropt^3)),0)</f>
        <v>1309458.37567188</v>
      </c>
    </row>
    <row r="175" customFormat="false" ht="12.75" hidden="false" customHeight="false" outlineLevel="0" collapsed="false">
      <c r="J175" s="67"/>
      <c r="K175" s="67"/>
      <c r="L175" s="151"/>
      <c r="M175" s="151"/>
      <c r="N175" s="151"/>
      <c r="O175" s="69"/>
      <c r="P175" s="69"/>
      <c r="Q175" s="69"/>
      <c r="R175" s="69"/>
      <c r="S175" s="69"/>
      <c r="T175" s="69"/>
      <c r="U175" s="69"/>
      <c r="V175" s="69"/>
      <c r="W175" s="159"/>
      <c r="X175" s="102" t="n">
        <v>844</v>
      </c>
      <c r="Y175" s="124" t="n">
        <f aca="false">Y174+Y$16</f>
        <v>0.000622383356094361</v>
      </c>
      <c r="Z175" s="115" t="n">
        <f aca="false">(K-(L0-Y175*Ldif-alph*Y175^0.5))/R0</f>
        <v>0.727028296562675</v>
      </c>
      <c r="AA175" s="113" t="n">
        <f aca="false">IF(Z175&lt;1,X$14*((1-r_1)-Y$14*(1-r_1^2)+Z$14*(1-r_1^3)),0)</f>
        <v>1303987.14035582</v>
      </c>
      <c r="AB175" s="97" t="n">
        <f aca="false">AB174+AB$15</f>
        <v>0.000622383356094361</v>
      </c>
      <c r="AC175" s="115" t="n">
        <f aca="false">(Kopt-(L0-AB175*Ldif-alph*AB175^0.5))/R0</f>
        <v>0.727028296562675</v>
      </c>
      <c r="AD175" s="113" t="n">
        <f aca="false">IF(AC175&lt;1,X$14*((1-ropt)-Y$14*(1-ropt^2)+Z$14*(1-ropt^3)),0)</f>
        <v>1303987.14035582</v>
      </c>
    </row>
    <row r="176" customFormat="false" ht="12.75" hidden="false" customHeight="false" outlineLevel="0" collapsed="false">
      <c r="J176" s="67"/>
      <c r="K176" s="67"/>
      <c r="L176" s="151"/>
      <c r="M176" s="151"/>
      <c r="N176" s="151"/>
      <c r="O176" s="69"/>
      <c r="P176" s="69"/>
      <c r="Q176" s="69"/>
      <c r="R176" s="69"/>
      <c r="S176" s="69"/>
      <c r="T176" s="69"/>
      <c r="U176" s="69"/>
      <c r="V176" s="69"/>
      <c r="W176" s="159"/>
      <c r="X176" s="102" t="n">
        <v>843</v>
      </c>
      <c r="Y176" s="124" t="n">
        <f aca="false">Y175+Y$16</f>
        <v>0.000626372992992401</v>
      </c>
      <c r="Z176" s="115" t="n">
        <f aca="false">(K-(L0-Y176*Ldif-alph*Y176^0.5))/R0</f>
        <v>0.727598530296779</v>
      </c>
      <c r="AA176" s="113" t="n">
        <f aca="false">IF(Z176&lt;1,X$14*((1-r_1)-Y$14*(1-r_1^2)+Z$14*(1-r_1^3)),0)</f>
        <v>1298544.81218831</v>
      </c>
      <c r="AB176" s="97" t="n">
        <f aca="false">AB175+AB$15</f>
        <v>0.000626372992992401</v>
      </c>
      <c r="AC176" s="115" t="n">
        <f aca="false">(Kopt-(L0-AB176*Ldif-alph*AB176^0.5))/R0</f>
        <v>0.727598530296779</v>
      </c>
      <c r="AD176" s="113" t="n">
        <f aca="false">IF(AC176&lt;1,X$14*((1-ropt)-Y$14*(1-ropt^2)+Z$14*(1-ropt^3)),0)</f>
        <v>1298544.81218831</v>
      </c>
    </row>
    <row r="177" customFormat="false" ht="12.75" hidden="false" customHeight="false" outlineLevel="0" collapsed="false">
      <c r="J177" s="67"/>
      <c r="K177" s="67"/>
      <c r="L177" s="151"/>
      <c r="M177" s="151"/>
      <c r="N177" s="151"/>
      <c r="O177" s="69"/>
      <c r="P177" s="69"/>
      <c r="Q177" s="69"/>
      <c r="R177" s="69"/>
      <c r="S177" s="69"/>
      <c r="T177" s="69"/>
      <c r="U177" s="69"/>
      <c r="V177" s="69"/>
      <c r="W177" s="159"/>
      <c r="X177" s="102" t="n">
        <v>842</v>
      </c>
      <c r="Y177" s="124" t="n">
        <f aca="false">Y176+Y$16</f>
        <v>0.000630362629890442</v>
      </c>
      <c r="Z177" s="115" t="n">
        <f aca="false">(K-(L0-Y177*Ldif-alph*Y177^0.5))/R0</f>
        <v>0.728166950876903</v>
      </c>
      <c r="AA177" s="113" t="n">
        <f aca="false">IF(Z177&lt;1,X$14*((1-r_1)-Y$14*(1-r_1^2)+Z$14*(1-r_1^3)),0)</f>
        <v>1293131.1154223</v>
      </c>
      <c r="AB177" s="97" t="n">
        <f aca="false">AB176+AB$15</f>
        <v>0.000630362629890442</v>
      </c>
      <c r="AC177" s="115" t="n">
        <f aca="false">(Kopt-(L0-AB177*Ldif-alph*AB177^0.5))/R0</f>
        <v>0.728166950876903</v>
      </c>
      <c r="AD177" s="113" t="n">
        <f aca="false">IF(AC177&lt;1,X$14*((1-ropt)-Y$14*(1-ropt^2)+Z$14*(1-ropt^3)),0)</f>
        <v>1293131.1154223</v>
      </c>
    </row>
    <row r="178" customFormat="false" ht="12.75" hidden="false" customHeight="false" outlineLevel="0" collapsed="false">
      <c r="J178" s="67"/>
      <c r="K178" s="67"/>
      <c r="L178" s="151"/>
      <c r="M178" s="151"/>
      <c r="N178" s="151"/>
      <c r="O178" s="69"/>
      <c r="P178" s="69"/>
      <c r="Q178" s="69"/>
      <c r="R178" s="69"/>
      <c r="S178" s="69"/>
      <c r="T178" s="69"/>
      <c r="U178" s="69"/>
      <c r="V178" s="69"/>
      <c r="W178" s="159"/>
      <c r="X178" s="102" t="n">
        <v>841</v>
      </c>
      <c r="Y178" s="124" t="n">
        <f aca="false">Y177+Y$16</f>
        <v>0.000634352266788483</v>
      </c>
      <c r="Z178" s="115" t="n">
        <f aca="false">(K-(L0-Y178*Ldif-alph*Y178^0.5))/R0</f>
        <v>0.728733575489567</v>
      </c>
      <c r="AA178" s="113" t="n">
        <f aca="false">IF(Z178&lt;1,X$14*((1-r_1)-Y$14*(1-r_1^2)+Z$14*(1-r_1^3)),0)</f>
        <v>1287745.7786668</v>
      </c>
      <c r="AB178" s="97" t="n">
        <f aca="false">AB177+AB$15</f>
        <v>0.000634352266788483</v>
      </c>
      <c r="AC178" s="115" t="n">
        <f aca="false">(Kopt-(L0-AB178*Ldif-alph*AB178^0.5))/R0</f>
        <v>0.728733575489567</v>
      </c>
      <c r="AD178" s="113" t="n">
        <f aca="false">IF(AC178&lt;1,X$14*((1-ropt)-Y$14*(1-ropt^2)+Z$14*(1-ropt^3)),0)</f>
        <v>1287745.7786668</v>
      </c>
    </row>
    <row r="179" customFormat="false" ht="12.75" hidden="false" customHeight="false" outlineLevel="0" collapsed="false">
      <c r="J179" s="67"/>
      <c r="K179" s="67"/>
      <c r="L179" s="151"/>
      <c r="M179" s="151"/>
      <c r="N179" s="151"/>
      <c r="O179" s="69"/>
      <c r="P179" s="69"/>
      <c r="Q179" s="69"/>
      <c r="R179" s="69"/>
      <c r="S179" s="69"/>
      <c r="T179" s="69"/>
      <c r="U179" s="69"/>
      <c r="V179" s="69"/>
      <c r="W179" s="159"/>
      <c r="X179" s="102" t="n">
        <v>840</v>
      </c>
      <c r="Y179" s="124" t="n">
        <f aca="false">Y178+Y$16</f>
        <v>0.000638341903686524</v>
      </c>
      <c r="Z179" s="115" t="n">
        <f aca="false">(K-(L0-Y179*Ldif-alph*Y179^0.5))/R0</f>
        <v>0.729298421051463</v>
      </c>
      <c r="AA179" s="113" t="n">
        <f aca="false">IF(Z179&lt;1,X$14*((1-r_1)-Y$14*(1-r_1^2)+Z$14*(1-r_1^3)),0)</f>
        <v>1282388.53479154</v>
      </c>
      <c r="AB179" s="97" t="n">
        <f aca="false">AB178+AB$15</f>
        <v>0.000638341903686524</v>
      </c>
      <c r="AC179" s="115" t="n">
        <f aca="false">(Kopt-(L0-AB179*Ldif-alph*AB179^0.5))/R0</f>
        <v>0.729298421051463</v>
      </c>
      <c r="AD179" s="113" t="n">
        <f aca="false">IF(AC179&lt;1,X$14*((1-ropt)-Y$14*(1-ropt^2)+Z$14*(1-ropt^3)),0)</f>
        <v>1282388.53479154</v>
      </c>
    </row>
    <row r="180" customFormat="false" ht="12.75" hidden="false" customHeight="false" outlineLevel="0" collapsed="false">
      <c r="J180" s="67"/>
      <c r="K180" s="67"/>
      <c r="L180" s="151"/>
      <c r="M180" s="151"/>
      <c r="N180" s="151"/>
      <c r="O180" s="69"/>
      <c r="P180" s="69"/>
      <c r="Q180" s="69"/>
      <c r="R180" s="69"/>
      <c r="S180" s="69"/>
      <c r="T180" s="69"/>
      <c r="U180" s="69"/>
      <c r="V180" s="69"/>
      <c r="W180" s="159"/>
      <c r="X180" s="102" t="n">
        <v>839</v>
      </c>
      <c r="Y180" s="124" t="n">
        <f aca="false">Y179+Y$16</f>
        <v>0.000642331540584564</v>
      </c>
      <c r="Z180" s="115" t="n">
        <f aca="false">(K-(L0-Y180*Ldif-alph*Y180^0.5))/R0</f>
        <v>0.729861504215381</v>
      </c>
      <c r="AA180" s="113" t="n">
        <f aca="false">IF(Z180&lt;1,X$14*((1-r_1)-Y$14*(1-r_1^2)+Z$14*(1-r_1^3)),0)</f>
        <v>1277059.12083359</v>
      </c>
      <c r="AB180" s="97" t="n">
        <f aca="false">AB179+AB$15</f>
        <v>0.000642331540584564</v>
      </c>
      <c r="AC180" s="115" t="n">
        <f aca="false">(Kopt-(L0-AB180*Ldif-alph*AB180^0.5))/R0</f>
        <v>0.729861504215381</v>
      </c>
      <c r="AD180" s="113" t="n">
        <f aca="false">IF(AC180&lt;1,X$14*((1-ropt)-Y$14*(1-ropt^2)+Z$14*(1-ropt^3)),0)</f>
        <v>1277059.12083359</v>
      </c>
    </row>
    <row r="181" customFormat="false" ht="12.75" hidden="false" customHeight="false" outlineLevel="0" collapsed="false">
      <c r="J181" s="67"/>
      <c r="K181" s="67"/>
      <c r="L181" s="151"/>
      <c r="M181" s="151"/>
      <c r="N181" s="151"/>
      <c r="O181" s="69"/>
      <c r="P181" s="69"/>
      <c r="Q181" s="69"/>
      <c r="R181" s="69"/>
      <c r="S181" s="69"/>
      <c r="T181" s="69"/>
      <c r="U181" s="69"/>
      <c r="V181" s="69"/>
      <c r="W181" s="159"/>
      <c r="X181" s="102" t="n">
        <v>838</v>
      </c>
      <c r="Y181" s="124" t="n">
        <f aca="false">Y180+Y$16</f>
        <v>0.000646321177482605</v>
      </c>
      <c r="Z181" s="115" t="n">
        <f aca="false">(K-(L0-Y181*Ldif-alph*Y181^0.5))/R0</f>
        <v>0.730422841375914</v>
      </c>
      <c r="AA181" s="113" t="n">
        <f aca="false">IF(Z181&lt;1,X$14*((1-r_1)-Y$14*(1-r_1^2)+Z$14*(1-r_1^3)),0)</f>
        <v>1271757.27790712</v>
      </c>
      <c r="AB181" s="97" t="n">
        <f aca="false">AB180+AB$15</f>
        <v>0.000646321177482605</v>
      </c>
      <c r="AC181" s="115" t="n">
        <f aca="false">(Kopt-(L0-AB181*Ldif-alph*AB181^0.5))/R0</f>
        <v>0.730422841375914</v>
      </c>
      <c r="AD181" s="113" t="n">
        <f aca="false">IF(AC181&lt;1,X$14*((1-ropt)-Y$14*(1-ropt^2)+Z$14*(1-ropt^3)),0)</f>
        <v>1271757.27790712</v>
      </c>
    </row>
    <row r="182" customFormat="false" ht="12.75" hidden="false" customHeight="false" outlineLevel="0" collapsed="false">
      <c r="J182" s="67"/>
      <c r="K182" s="67"/>
      <c r="L182" s="151"/>
      <c r="M182" s="151"/>
      <c r="N182" s="151"/>
      <c r="O182" s="69"/>
      <c r="P182" s="69"/>
      <c r="Q182" s="69"/>
      <c r="R182" s="69"/>
      <c r="S182" s="69"/>
      <c r="T182" s="69"/>
      <c r="U182" s="69"/>
      <c r="V182" s="69"/>
      <c r="W182" s="159"/>
      <c r="X182" s="102" t="n">
        <v>837</v>
      </c>
      <c r="Y182" s="124" t="n">
        <f aca="false">Y181+Y$16</f>
        <v>0.000650310814380646</v>
      </c>
      <c r="Z182" s="115" t="n">
        <f aca="false">(K-(L0-Y182*Ldif-alph*Y182^0.5))/R0</f>
        <v>0.730982448675048</v>
      </c>
      <c r="AA182" s="113" t="n">
        <f aca="false">IF(Z182&lt;1,X$14*((1-r_1)-Y$14*(1-r_1^2)+Z$14*(1-r_1^3)),0)</f>
        <v>1266482.75111528</v>
      </c>
      <c r="AB182" s="97" t="n">
        <f aca="false">AB181+AB$15</f>
        <v>0.000650310814380646</v>
      </c>
      <c r="AC182" s="115" t="n">
        <f aca="false">(Kopt-(L0-AB182*Ldif-alph*AB182^0.5))/R0</f>
        <v>0.730982448675048</v>
      </c>
      <c r="AD182" s="113" t="n">
        <f aca="false">IF(AC182&lt;1,X$14*((1-ropt)-Y$14*(1-ropt^2)+Z$14*(1-ropt^3)),0)</f>
        <v>1266482.75111528</v>
      </c>
    </row>
    <row r="183" customFormat="false" ht="12.75" hidden="false" customHeight="false" outlineLevel="0" collapsed="false">
      <c r="J183" s="67"/>
      <c r="K183" s="67"/>
      <c r="L183" s="151"/>
      <c r="M183" s="151"/>
      <c r="N183" s="151"/>
      <c r="O183" s="69"/>
      <c r="P183" s="69"/>
      <c r="Q183" s="69"/>
      <c r="R183" s="69"/>
      <c r="S183" s="69"/>
      <c r="T183" s="69"/>
      <c r="U183" s="69"/>
      <c r="V183" s="69"/>
      <c r="W183" s="159"/>
      <c r="X183" s="102" t="n">
        <v>836</v>
      </c>
      <c r="Y183" s="124" t="n">
        <f aca="false">Y182+Y$16</f>
        <v>0.000654300451278687</v>
      </c>
      <c r="Z183" s="115" t="n">
        <f aca="false">(K-(L0-Y183*Ldif-alph*Y183^0.5))/R0</f>
        <v>0.731540342007556</v>
      </c>
      <c r="AA183" s="113" t="n">
        <f aca="false">IF(Z183&lt;1,X$14*((1-r_1)-Y$14*(1-r_1^2)+Z$14*(1-r_1^3)),0)</f>
        <v>1261235.28946485</v>
      </c>
      <c r="AB183" s="97" t="n">
        <f aca="false">AB182+AB$15</f>
        <v>0.000654300451278687</v>
      </c>
      <c r="AC183" s="115" t="n">
        <f aca="false">(Kopt-(L0-AB183*Ldif-alph*AB183^0.5))/R0</f>
        <v>0.731540342007556</v>
      </c>
      <c r="AD183" s="113" t="n">
        <f aca="false">IF(AC183&lt;1,X$14*((1-ropt)-Y$14*(1-ropt^2)+Z$14*(1-ropt^3)),0)</f>
        <v>1261235.28946485</v>
      </c>
    </row>
    <row r="184" customFormat="false" ht="12.75" hidden="false" customHeight="false" outlineLevel="0" collapsed="false">
      <c r="J184" s="67"/>
      <c r="K184" s="67"/>
      <c r="L184" s="151"/>
      <c r="M184" s="151"/>
      <c r="N184" s="151"/>
      <c r="O184" s="69"/>
      <c r="P184" s="69"/>
      <c r="Q184" s="69"/>
      <c r="R184" s="69"/>
      <c r="S184" s="69"/>
      <c r="T184" s="69"/>
      <c r="U184" s="69"/>
      <c r="V184" s="69"/>
      <c r="W184" s="159"/>
      <c r="X184" s="102" t="n">
        <v>835</v>
      </c>
      <c r="Y184" s="124" t="n">
        <f aca="false">Y183+Y$16</f>
        <v>0.000658290088176727</v>
      </c>
      <c r="Z184" s="115" t="n">
        <f aca="false">(K-(L0-Y184*Ldif-alph*Y184^0.5))/R0</f>
        <v>0.732096537026288</v>
      </c>
      <c r="AA184" s="113" t="n">
        <f aca="false">IF(Z184&lt;1,X$14*((1-r_1)-Y$14*(1-r_1^2)+Z$14*(1-r_1^3)),0)</f>
        <v>1256014.64578288</v>
      </c>
      <c r="AB184" s="97" t="n">
        <f aca="false">AB183+AB$15</f>
        <v>0.000658290088176727</v>
      </c>
      <c r="AC184" s="115" t="n">
        <f aca="false">(Kopt-(L0-AB184*Ldif-alph*AB184^0.5))/R0</f>
        <v>0.732096537026288</v>
      </c>
      <c r="AD184" s="113" t="n">
        <f aca="false">IF(AC184&lt;1,X$14*((1-ropt)-Y$14*(1-ropt^2)+Z$14*(1-ropt^3)),0)</f>
        <v>1256014.64578288</v>
      </c>
    </row>
    <row r="185" customFormat="false" ht="12.75" hidden="false" customHeight="false" outlineLevel="0" collapsed="false">
      <c r="J185" s="67"/>
      <c r="K185" s="67"/>
      <c r="L185" s="151"/>
      <c r="M185" s="151"/>
      <c r="N185" s="151"/>
      <c r="O185" s="69"/>
      <c r="P185" s="69"/>
      <c r="Q185" s="69"/>
      <c r="R185" s="69"/>
      <c r="S185" s="69"/>
      <c r="T185" s="69"/>
      <c r="U185" s="69"/>
      <c r="V185" s="69"/>
      <c r="W185" s="159"/>
      <c r="X185" s="102" t="n">
        <v>834</v>
      </c>
      <c r="Y185" s="124" t="n">
        <f aca="false">Y184+Y$16</f>
        <v>0.000662279725074768</v>
      </c>
      <c r="Z185" s="115" t="n">
        <f aca="false">(K-(L0-Y185*Ldif-alph*Y185^0.5))/R0</f>
        <v>0.732651049147277</v>
      </c>
      <c r="AA185" s="113" t="n">
        <f aca="false">IF(Z185&lt;1,X$14*((1-r_1)-Y$14*(1-r_1^2)+Z$14*(1-r_1^3)),0)</f>
        <v>1250820.57663591</v>
      </c>
      <c r="AB185" s="97" t="n">
        <f aca="false">AB184+AB$15</f>
        <v>0.000662279725074768</v>
      </c>
      <c r="AC185" s="115" t="n">
        <f aca="false">(Kopt-(L0-AB185*Ldif-alph*AB185^0.5))/R0</f>
        <v>0.732651049147277</v>
      </c>
      <c r="AD185" s="113" t="n">
        <f aca="false">IF(AC185&lt;1,X$14*((1-ropt)-Y$14*(1-ropt^2)+Z$14*(1-ropt^3)),0)</f>
        <v>1250820.57663591</v>
      </c>
    </row>
    <row r="186" customFormat="false" ht="12.75" hidden="false" customHeight="false" outlineLevel="0" collapsed="false">
      <c r="J186" s="67"/>
      <c r="K186" s="67"/>
      <c r="L186" s="151"/>
      <c r="M186" s="151"/>
      <c r="N186" s="151"/>
      <c r="O186" s="69"/>
      <c r="P186" s="69"/>
      <c r="Q186" s="69"/>
      <c r="R186" s="69"/>
      <c r="S186" s="69"/>
      <c r="T186" s="69"/>
      <c r="U186" s="69"/>
      <c r="V186" s="69"/>
      <c r="W186" s="159"/>
      <c r="X186" s="102" t="n">
        <v>833</v>
      </c>
      <c r="Y186" s="124" t="n">
        <f aca="false">Y185+Y$16</f>
        <v>0.000666269361972809</v>
      </c>
      <c r="Z186" s="115" t="n">
        <f aca="false">(K-(L0-Y186*Ldif-alph*Y186^0.5))/R0</f>
        <v>0.733203893554738</v>
      </c>
      <c r="AA186" s="113" t="n">
        <f aca="false">IF(Z186&lt;1,X$14*((1-r_1)-Y$14*(1-r_1^2)+Z$14*(1-r_1^3)),0)</f>
        <v>1245652.84225115</v>
      </c>
      <c r="AB186" s="97" t="n">
        <f aca="false">AB185+AB$15</f>
        <v>0.000666269361972809</v>
      </c>
      <c r="AC186" s="115" t="n">
        <f aca="false">(Kopt-(L0-AB186*Ldif-alph*AB186^0.5))/R0</f>
        <v>0.733203893554738</v>
      </c>
      <c r="AD186" s="113" t="n">
        <f aca="false">IF(AC186&lt;1,X$14*((1-ropt)-Y$14*(1-ropt^2)+Z$14*(1-ropt^3)),0)</f>
        <v>1245652.84225115</v>
      </c>
    </row>
    <row r="187" customFormat="false" ht="12.75" hidden="false" customHeight="false" outlineLevel="0" collapsed="false">
      <c r="J187" s="67"/>
      <c r="K187" s="67"/>
      <c r="L187" s="151"/>
      <c r="M187" s="151"/>
      <c r="N187" s="151"/>
      <c r="O187" s="69"/>
      <c r="P187" s="69"/>
      <c r="Q187" s="69"/>
      <c r="R187" s="69"/>
      <c r="S187" s="69"/>
      <c r="T187" s="69"/>
      <c r="U187" s="69"/>
      <c r="V187" s="69"/>
      <c r="W187" s="159"/>
      <c r="X187" s="102" t="n">
        <v>832</v>
      </c>
      <c r="Y187" s="124" t="n">
        <f aca="false">Y186+Y$16</f>
        <v>0.00067025899887085</v>
      </c>
      <c r="Z187" s="115" t="n">
        <f aca="false">(K-(L0-Y187*Ldif-alph*Y187^0.5))/R0</f>
        <v>0.733755085205907</v>
      </c>
      <c r="AA187" s="113" t="n">
        <f aca="false">IF(Z187&lt;1,X$14*((1-r_1)-Y$14*(1-r_1^2)+Z$14*(1-r_1^3)),0)</f>
        <v>1240511.20644</v>
      </c>
      <c r="AB187" s="97" t="n">
        <f aca="false">AB186+AB$15</f>
        <v>0.00067025899887085</v>
      </c>
      <c r="AC187" s="115" t="n">
        <f aca="false">(Kopt-(L0-AB187*Ldif-alph*AB187^0.5))/R0</f>
        <v>0.733755085205907</v>
      </c>
      <c r="AD187" s="113" t="n">
        <f aca="false">IF(AC187&lt;1,X$14*((1-ropt)-Y$14*(1-ropt^2)+Z$14*(1-ropt^3)),0)</f>
        <v>1240511.20644</v>
      </c>
    </row>
    <row r="188" customFormat="false" ht="12.75" hidden="false" customHeight="false" outlineLevel="0" collapsed="false">
      <c r="J188" s="67"/>
      <c r="K188" s="67"/>
      <c r="L188" s="151"/>
      <c r="M188" s="151"/>
      <c r="N188" s="151"/>
      <c r="O188" s="69"/>
      <c r="P188" s="69"/>
      <c r="Q188" s="69"/>
      <c r="R188" s="69"/>
      <c r="S188" s="69"/>
      <c r="T188" s="69"/>
      <c r="U188" s="69"/>
      <c r="V188" s="69"/>
      <c r="W188" s="159"/>
      <c r="X188" s="102" t="n">
        <v>831</v>
      </c>
      <c r="Y188" s="124" t="n">
        <f aca="false">Y187+Y$16</f>
        <v>0.00067424863576889</v>
      </c>
      <c r="Z188" s="115" t="n">
        <f aca="false">(K-(L0-Y188*Ldif-alph*Y188^0.5))/R0</f>
        <v>0.734304638835778</v>
      </c>
      <c r="AA188" s="113" t="n">
        <f aca="false">IF(Z188&lt;1,X$14*((1-r_1)-Y$14*(1-r_1^2)+Z$14*(1-r_1^3)),0)</f>
        <v>1235395.43652326</v>
      </c>
      <c r="AB188" s="97" t="n">
        <f aca="false">AB187+AB$15</f>
        <v>0.00067424863576889</v>
      </c>
      <c r="AC188" s="115" t="n">
        <f aca="false">(Kopt-(L0-AB188*Ldif-alph*AB188^0.5))/R0</f>
        <v>0.734304638835778</v>
      </c>
      <c r="AD188" s="113" t="n">
        <f aca="false">IF(AC188&lt;1,X$14*((1-ropt)-Y$14*(1-ropt^2)+Z$14*(1-ropt^3)),0)</f>
        <v>1235395.43652326</v>
      </c>
    </row>
    <row r="189" customFormat="false" ht="12.75" hidden="false" customHeight="false" outlineLevel="0" collapsed="false">
      <c r="J189" s="67"/>
      <c r="K189" s="67"/>
      <c r="L189" s="151"/>
      <c r="M189" s="151"/>
      <c r="N189" s="151"/>
      <c r="O189" s="69"/>
      <c r="P189" s="69"/>
      <c r="Q189" s="69"/>
      <c r="R189" s="69"/>
      <c r="S189" s="69"/>
      <c r="T189" s="69"/>
      <c r="U189" s="69"/>
      <c r="V189" s="69"/>
      <c r="W189" s="159"/>
      <c r="X189" s="102" t="n">
        <v>830</v>
      </c>
      <c r="Y189" s="124" t="n">
        <f aca="false">Y188+Y$16</f>
        <v>0.000678238272666931</v>
      </c>
      <c r="Z189" s="115" t="n">
        <f aca="false">(K-(L0-Y189*Ldif-alph*Y189^0.5))/R0</f>
        <v>0.73485256896168</v>
      </c>
      <c r="AA189" s="113" t="n">
        <f aca="false">IF(Z189&lt;1,X$14*((1-r_1)-Y$14*(1-r_1^2)+Z$14*(1-r_1^3)),0)</f>
        <v>1230305.30325886</v>
      </c>
      <c r="AB189" s="97" t="n">
        <f aca="false">AB188+AB$15</f>
        <v>0.000678238272666931</v>
      </c>
      <c r="AC189" s="115" t="n">
        <f aca="false">(Kopt-(L0-AB189*Ldif-alph*AB189^0.5))/R0</f>
        <v>0.73485256896168</v>
      </c>
      <c r="AD189" s="113" t="n">
        <f aca="false">IF(AC189&lt;1,X$14*((1-ropt)-Y$14*(1-ropt^2)+Z$14*(1-ropt^3)),0)</f>
        <v>1230305.30325886</v>
      </c>
    </row>
    <row r="190" customFormat="false" ht="12.75" hidden="false" customHeight="false" outlineLevel="0" collapsed="false">
      <c r="J190" s="67"/>
      <c r="K190" s="67"/>
      <c r="L190" s="151"/>
      <c r="M190" s="151"/>
      <c r="N190" s="151"/>
      <c r="O190" s="69"/>
      <c r="P190" s="69"/>
      <c r="Q190" s="69"/>
      <c r="R190" s="69"/>
      <c r="S190" s="69"/>
      <c r="T190" s="69"/>
      <c r="U190" s="69"/>
      <c r="V190" s="69"/>
      <c r="W190" s="159"/>
      <c r="X190" s="102" t="n">
        <v>829</v>
      </c>
      <c r="Y190" s="124" t="n">
        <f aca="false">Y189+Y$16</f>
        <v>0.000682227909564972</v>
      </c>
      <c r="Z190" s="115" t="n">
        <f aca="false">(K-(L0-Y190*Ldif-alph*Y190^0.5))/R0</f>
        <v>0.735398889887774</v>
      </c>
      <c r="AA190" s="113" t="n">
        <f aca="false">IF(Z190&lt;1,X$14*((1-r_1)-Y$14*(1-r_1^2)+Z$14*(1-r_1^3)),0)</f>
        <v>1225240.58077089</v>
      </c>
      <c r="AB190" s="97" t="n">
        <f aca="false">AB189+AB$15</f>
        <v>0.000682227909564972</v>
      </c>
      <c r="AC190" s="115" t="n">
        <f aca="false">(Kopt-(L0-AB190*Ldif-alph*AB190^0.5))/R0</f>
        <v>0.735398889887774</v>
      </c>
      <c r="AD190" s="113" t="n">
        <f aca="false">IF(AC190&lt;1,X$14*((1-ropt)-Y$14*(1-ropt^2)+Z$14*(1-ropt^3)),0)</f>
        <v>1225240.58077089</v>
      </c>
    </row>
    <row r="191" customFormat="false" ht="12.75" hidden="false" customHeight="false" outlineLevel="0" collapsed="false">
      <c r="J191" s="67"/>
      <c r="K191" s="67"/>
      <c r="L191" s="151"/>
      <c r="M191" s="151"/>
      <c r="N191" s="151"/>
      <c r="O191" s="69"/>
      <c r="P191" s="69"/>
      <c r="Q191" s="69"/>
      <c r="R191" s="69"/>
      <c r="S191" s="69"/>
      <c r="T191" s="69"/>
      <c r="U191" s="69"/>
      <c r="V191" s="69"/>
      <c r="W191" s="159"/>
      <c r="X191" s="102" t="n">
        <v>828</v>
      </c>
      <c r="Y191" s="124" t="n">
        <f aca="false">Y190+Y$16</f>
        <v>0.000686217546463013</v>
      </c>
      <c r="Z191" s="115" t="n">
        <f aca="false">(K-(L0-Y191*Ldif-alph*Y191^0.5))/R0</f>
        <v>0.735943615709386</v>
      </c>
      <c r="AA191" s="113" t="n">
        <f aca="false">IF(Z191&lt;1,X$14*((1-r_1)-Y$14*(1-r_1^2)+Z$14*(1-r_1^3)),0)</f>
        <v>1220201.04648107</v>
      </c>
      <c r="AB191" s="97" t="n">
        <f aca="false">AB190+AB$15</f>
        <v>0.000686217546463013</v>
      </c>
      <c r="AC191" s="115" t="n">
        <f aca="false">(Kopt-(L0-AB191*Ldif-alph*AB191^0.5))/R0</f>
        <v>0.735943615709386</v>
      </c>
      <c r="AD191" s="113" t="n">
        <f aca="false">IF(AC191&lt;1,X$14*((1-ropt)-Y$14*(1-ropt^2)+Z$14*(1-ropt^3)),0)</f>
        <v>1220201.04648107</v>
      </c>
    </row>
    <row r="192" customFormat="false" ht="12.75" hidden="false" customHeight="false" outlineLevel="0" collapsed="false">
      <c r="J192" s="67"/>
      <c r="K192" s="67"/>
      <c r="L192" s="151"/>
      <c r="M192" s="151"/>
      <c r="N192" s="151"/>
      <c r="O192" s="69"/>
      <c r="P192" s="69"/>
      <c r="Q192" s="69"/>
      <c r="R192" s="69"/>
      <c r="S192" s="69"/>
      <c r="T192" s="69"/>
      <c r="U192" s="69"/>
      <c r="V192" s="69"/>
      <c r="W192" s="159"/>
      <c r="X192" s="102" t="n">
        <v>827</v>
      </c>
      <c r="Y192" s="124" t="n">
        <f aca="false">Y191+Y$16</f>
        <v>0.000690207183361053</v>
      </c>
      <c r="Z192" s="115" t="n">
        <f aca="false">(K-(L0-Y192*Ldif-alph*Y192^0.5))/R0</f>
        <v>0.736486760317273</v>
      </c>
      <c r="AA192" s="113" t="n">
        <f aca="false">IF(Z192&lt;1,X$14*((1-r_1)-Y$14*(1-r_1^2)+Z$14*(1-r_1^3)),0)</f>
        <v>1215186.48104151</v>
      </c>
      <c r="AB192" s="97" t="n">
        <f aca="false">AB191+AB$15</f>
        <v>0.000690207183361053</v>
      </c>
      <c r="AC192" s="115" t="n">
        <f aca="false">(Kopt-(L0-AB192*Ldif-alph*AB192^0.5))/R0</f>
        <v>0.736486760317273</v>
      </c>
      <c r="AD192" s="113" t="n">
        <f aca="false">IF(AC192&lt;1,X$14*((1-ropt)-Y$14*(1-ropt^2)+Z$14*(1-ropt^3)),0)</f>
        <v>1215186.48104151</v>
      </c>
    </row>
    <row r="193" customFormat="false" ht="12.75" hidden="false" customHeight="false" outlineLevel="0" collapsed="false">
      <c r="J193" s="67"/>
      <c r="K193" s="67"/>
      <c r="L193" s="151"/>
      <c r="M193" s="151"/>
      <c r="N193" s="151"/>
      <c r="O193" s="69"/>
      <c r="P193" s="69"/>
      <c r="Q193" s="69"/>
      <c r="R193" s="69"/>
      <c r="S193" s="69"/>
      <c r="T193" s="69"/>
      <c r="U193" s="69"/>
      <c r="V193" s="69"/>
      <c r="W193" s="159"/>
      <c r="X193" s="102" t="n">
        <v>826</v>
      </c>
      <c r="Y193" s="124" t="n">
        <f aca="false">Y192+Y$16</f>
        <v>0.000694196820259094</v>
      </c>
      <c r="Z193" s="115" t="n">
        <f aca="false">(K-(L0-Y193*Ldif-alph*Y193^0.5))/R0</f>
        <v>0.737028337401735</v>
      </c>
      <c r="AA193" s="113" t="n">
        <f aca="false">IF(Z193&lt;1,X$14*((1-r_1)-Y$14*(1-r_1^2)+Z$14*(1-r_1^3)),0)</f>
        <v>1210196.66826968</v>
      </c>
      <c r="AB193" s="97" t="n">
        <f aca="false">AB192+AB$15</f>
        <v>0.000694196820259094</v>
      </c>
      <c r="AC193" s="115" t="n">
        <f aca="false">(Kopt-(L0-AB193*Ldif-alph*AB193^0.5))/R0</f>
        <v>0.737028337401735</v>
      </c>
      <c r="AD193" s="113" t="n">
        <f aca="false">IF(AC193&lt;1,X$14*((1-ropt)-Y$14*(1-ropt^2)+Z$14*(1-ropt^3)),0)</f>
        <v>1210196.66826968</v>
      </c>
    </row>
    <row r="194" customFormat="false" ht="12.75" hidden="false" customHeight="false" outlineLevel="0" collapsed="false">
      <c r="J194" s="67"/>
      <c r="K194" s="67"/>
      <c r="L194" s="151"/>
      <c r="M194" s="151"/>
      <c r="N194" s="151"/>
      <c r="O194" s="69"/>
      <c r="P194" s="69"/>
      <c r="Q194" s="69"/>
      <c r="R194" s="69"/>
      <c r="S194" s="69"/>
      <c r="T194" s="69"/>
      <c r="U194" s="69"/>
      <c r="V194" s="69"/>
      <c r="W194" s="159"/>
      <c r="X194" s="102" t="n">
        <v>825</v>
      </c>
      <c r="Y194" s="124" t="n">
        <f aca="false">Y193+Y$16</f>
        <v>0.000698186457157135</v>
      </c>
      <c r="Z194" s="115" t="n">
        <f aca="false">(K-(L0-Y194*Ldif-alph*Y194^0.5))/R0</f>
        <v>0.73756836045666</v>
      </c>
      <c r="AA194" s="113" t="n">
        <f aca="false">IF(Z194&lt;1,X$14*((1-r_1)-Y$14*(1-r_1^2)+Z$14*(1-r_1^3)),0)</f>
        <v>1205231.39508459</v>
      </c>
      <c r="AB194" s="97" t="n">
        <f aca="false">AB193+AB$15</f>
        <v>0.000698186457157135</v>
      </c>
      <c r="AC194" s="115" t="n">
        <f aca="false">(Kopt-(L0-AB194*Ldif-alph*AB194^0.5))/R0</f>
        <v>0.73756836045666</v>
      </c>
      <c r="AD194" s="113" t="n">
        <f aca="false">IF(AC194&lt;1,X$14*((1-ropt)-Y$14*(1-ropt^2)+Z$14*(1-ropt^3)),0)</f>
        <v>1205231.39508459</v>
      </c>
    </row>
    <row r="195" customFormat="false" ht="12.75" hidden="false" customHeight="false" outlineLevel="0" collapsed="false">
      <c r="J195" s="67"/>
      <c r="K195" s="67"/>
      <c r="L195" s="151"/>
      <c r="M195" s="151"/>
      <c r="N195" s="151"/>
      <c r="O195" s="69"/>
      <c r="P195" s="69"/>
      <c r="Q195" s="69"/>
      <c r="R195" s="69"/>
      <c r="S195" s="69"/>
      <c r="T195" s="69"/>
      <c r="U195" s="69"/>
      <c r="V195" s="69"/>
      <c r="W195" s="159"/>
      <c r="X195" s="102" t="n">
        <v>824</v>
      </c>
      <c r="Y195" s="124" t="n">
        <f aca="false">Y194+Y$16</f>
        <v>0.000702176094055175</v>
      </c>
      <c r="Z195" s="115" t="n">
        <f aca="false">(K-(L0-Y195*Ldif-alph*Y195^0.5))/R0</f>
        <v>0.738106842783438</v>
      </c>
      <c r="AA195" s="113" t="n">
        <f aca="false">IF(Z195&lt;1,X$14*((1-r_1)-Y$14*(1-r_1^2)+Z$14*(1-r_1^3)),0)</f>
        <v>1200290.45144503</v>
      </c>
      <c r="AB195" s="97" t="n">
        <f aca="false">AB194+AB$15</f>
        <v>0.000702176094055175</v>
      </c>
      <c r="AC195" s="115" t="n">
        <f aca="false">(Kopt-(L0-AB195*Ldif-alph*AB195^0.5))/R0</f>
        <v>0.738106842783438</v>
      </c>
      <c r="AD195" s="113" t="n">
        <f aca="false">IF(AC195&lt;1,X$14*((1-ropt)-Y$14*(1-ropt^2)+Z$14*(1-ropt^3)),0)</f>
        <v>1200290.45144503</v>
      </c>
    </row>
    <row r="196" customFormat="false" ht="12.75" hidden="false" customHeight="false" outlineLevel="0" collapsed="false">
      <c r="J196" s="67"/>
      <c r="K196" s="67"/>
      <c r="L196" s="151"/>
      <c r="M196" s="151"/>
      <c r="N196" s="151"/>
      <c r="O196" s="69"/>
      <c r="P196" s="69"/>
      <c r="Q196" s="69"/>
      <c r="R196" s="69"/>
      <c r="S196" s="69"/>
      <c r="T196" s="69"/>
      <c r="U196" s="69"/>
      <c r="V196" s="69"/>
      <c r="W196" s="159"/>
      <c r="X196" s="102" t="n">
        <v>823</v>
      </c>
      <c r="Y196" s="124" t="n">
        <f aca="false">Y195+Y$16</f>
        <v>0.000706165730953216</v>
      </c>
      <c r="Z196" s="115" t="n">
        <f aca="false">(K-(L0-Y196*Ldif-alph*Y196^0.5))/R0</f>
        <v>0.738643797494775</v>
      </c>
      <c r="AA196" s="113" t="n">
        <f aca="false">IF(Z196&lt;1,X$14*((1-r_1)-Y$14*(1-r_1^2)+Z$14*(1-r_1^3)),0)</f>
        <v>1195373.63028917</v>
      </c>
      <c r="AB196" s="97" t="n">
        <f aca="false">AB195+AB$15</f>
        <v>0.000706165730953216</v>
      </c>
      <c r="AC196" s="115" t="n">
        <f aca="false">(Kopt-(L0-AB196*Ldif-alph*AB196^0.5))/R0</f>
        <v>0.738643797494775</v>
      </c>
      <c r="AD196" s="113" t="n">
        <f aca="false">IF(AC196&lt;1,X$14*((1-ropt)-Y$14*(1-ropt^2)+Z$14*(1-ropt^3)),0)</f>
        <v>1195373.63028917</v>
      </c>
    </row>
    <row r="197" customFormat="false" ht="12.75" hidden="false" customHeight="false" outlineLevel="0" collapsed="false">
      <c r="J197" s="67"/>
      <c r="K197" s="67"/>
      <c r="L197" s="151"/>
      <c r="M197" s="151"/>
      <c r="N197" s="151"/>
      <c r="O197" s="69"/>
      <c r="P197" s="69"/>
      <c r="Q197" s="69"/>
      <c r="R197" s="69"/>
      <c r="S197" s="69"/>
      <c r="T197" s="69"/>
      <c r="U197" s="69"/>
      <c r="V197" s="69"/>
      <c r="W197" s="159"/>
      <c r="X197" s="102" t="n">
        <v>822</v>
      </c>
      <c r="Y197" s="124" t="n">
        <f aca="false">Y196+Y$16</f>
        <v>0.000710155367851257</v>
      </c>
      <c r="Z197" s="115" t="n">
        <f aca="false">(K-(L0-Y197*Ldif-alph*Y197^0.5))/R0</f>
        <v>0.739179237518439</v>
      </c>
      <c r="AA197" s="113" t="n">
        <f aca="false">IF(Z197&lt;1,X$14*((1-r_1)-Y$14*(1-r_1^2)+Z$14*(1-r_1^3)),0)</f>
        <v>1190480.7274756</v>
      </c>
      <c r="AB197" s="97" t="n">
        <f aca="false">AB196+AB$15</f>
        <v>0.000710155367851257</v>
      </c>
      <c r="AC197" s="115" t="n">
        <f aca="false">(Kopt-(L0-AB197*Ldif-alph*AB197^0.5))/R0</f>
        <v>0.739179237518439</v>
      </c>
      <c r="AD197" s="113" t="n">
        <f aca="false">IF(AC197&lt;1,X$14*((1-ropt)-Y$14*(1-ropt^2)+Z$14*(1-ropt^3)),0)</f>
        <v>1190480.7274756</v>
      </c>
    </row>
    <row r="198" customFormat="false" ht="12.75" hidden="false" customHeight="false" outlineLevel="0" collapsed="false">
      <c r="J198" s="67"/>
      <c r="K198" s="67"/>
      <c r="L198" s="151"/>
      <c r="M198" s="151"/>
      <c r="N198" s="151"/>
      <c r="O198" s="69"/>
      <c r="P198" s="69"/>
      <c r="Q198" s="69"/>
      <c r="R198" s="69"/>
      <c r="S198" s="69"/>
      <c r="T198" s="69"/>
      <c r="U198" s="69"/>
      <c r="V198" s="69"/>
      <c r="W198" s="159"/>
      <c r="X198" s="102" t="n">
        <v>821</v>
      </c>
      <c r="Y198" s="124" t="n">
        <f aca="false">Y197+Y$16</f>
        <v>0.000714145004749298</v>
      </c>
      <c r="Z198" s="115" t="n">
        <f aca="false">(K-(L0-Y198*Ldif-alph*Y198^0.5))/R0</f>
        <v>0.739713175600873</v>
      </c>
      <c r="AA198" s="113" t="n">
        <f aca="false">IF(Z198&lt;1,X$14*((1-r_1)-Y$14*(1-r_1^2)+Z$14*(1-r_1^3)),0)</f>
        <v>1185611.54172619</v>
      </c>
      <c r="AB198" s="97" t="n">
        <f aca="false">AB197+AB$15</f>
        <v>0.000714145004749298</v>
      </c>
      <c r="AC198" s="115" t="n">
        <f aca="false">(Kopt-(L0-AB198*Ldif-alph*AB198^0.5))/R0</f>
        <v>0.739713175600873</v>
      </c>
      <c r="AD198" s="113" t="n">
        <f aca="false">IF(AC198&lt;1,X$14*((1-ropt)-Y$14*(1-ropt^2)+Z$14*(1-ropt^3)),0)</f>
        <v>1185611.54172619</v>
      </c>
    </row>
    <row r="199" customFormat="false" ht="12.75" hidden="false" customHeight="false" outlineLevel="0" collapsed="false">
      <c r="J199" s="67"/>
      <c r="K199" s="67"/>
      <c r="L199" s="151"/>
      <c r="M199" s="151"/>
      <c r="N199" s="151"/>
      <c r="O199" s="69"/>
      <c r="P199" s="69"/>
      <c r="Q199" s="69"/>
      <c r="R199" s="69"/>
      <c r="S199" s="69"/>
      <c r="T199" s="69"/>
      <c r="U199" s="69"/>
      <c r="V199" s="69"/>
      <c r="W199" s="159"/>
      <c r="X199" s="102" t="n">
        <v>820</v>
      </c>
      <c r="Y199" s="124" t="n">
        <f aca="false">Y198+Y$16</f>
        <v>0.000718134641647338</v>
      </c>
      <c r="Z199" s="115" t="n">
        <f aca="false">(K-(L0-Y199*Ldif-alph*Y199^0.5))/R0</f>
        <v>0.740245624310749</v>
      </c>
      <c r="AA199" s="113" t="n">
        <f aca="false">IF(Z199&lt;1,X$14*((1-r_1)-Y$14*(1-r_1^2)+Z$14*(1-r_1^3)),0)</f>
        <v>1180765.87456997</v>
      </c>
      <c r="AB199" s="97" t="n">
        <f aca="false">AB198+AB$15</f>
        <v>0.000718134641647338</v>
      </c>
      <c r="AC199" s="115" t="n">
        <f aca="false">(Kopt-(L0-AB199*Ldif-alph*AB199^0.5))/R0</f>
        <v>0.740245624310749</v>
      </c>
      <c r="AD199" s="113" t="n">
        <f aca="false">IF(AC199&lt;1,X$14*((1-ropt)-Y$14*(1-ropt^2)+Z$14*(1-ropt^3)),0)</f>
        <v>1180765.87456997</v>
      </c>
    </row>
    <row r="200" customFormat="false" ht="12.75" hidden="false" customHeight="false" outlineLevel="0" collapsed="false">
      <c r="J200" s="67"/>
      <c r="K200" s="67"/>
      <c r="L200" s="151"/>
      <c r="M200" s="151"/>
      <c r="N200" s="151"/>
      <c r="O200" s="69"/>
      <c r="P200" s="69"/>
      <c r="Q200" s="69"/>
      <c r="R200" s="69"/>
      <c r="S200" s="69"/>
      <c r="T200" s="69"/>
      <c r="U200" s="69"/>
      <c r="V200" s="69"/>
      <c r="W200" s="159"/>
      <c r="X200" s="102" t="n">
        <v>819</v>
      </c>
      <c r="Y200" s="124" t="n">
        <f aca="false">Y199+Y$16</f>
        <v>0.000722124278545379</v>
      </c>
      <c r="Z200" s="115" t="n">
        <f aca="false">(K-(L0-Y200*Ldif-alph*Y200^0.5))/R0</f>
        <v>0.740776596042407</v>
      </c>
      <c r="AA200" s="113" t="n">
        <f aca="false">IF(Z200&lt;1,X$14*((1-r_1)-Y$14*(1-r_1^2)+Z$14*(1-r_1^3)),0)</f>
        <v>1175943.53028883</v>
      </c>
      <c r="AB200" s="97" t="n">
        <f aca="false">AB199+AB$15</f>
        <v>0.000722124278545379</v>
      </c>
      <c r="AC200" s="115" t="n">
        <f aca="false">(Kopt-(L0-AB200*Ldif-alph*AB200^0.5))/R0</f>
        <v>0.740776596042407</v>
      </c>
      <c r="AD200" s="113" t="n">
        <f aca="false">IF(AC200&lt;1,X$14*((1-ropt)-Y$14*(1-ropt^2)+Z$14*(1-ropt^3)),0)</f>
        <v>1175943.53028883</v>
      </c>
    </row>
    <row r="201" customFormat="false" ht="12.75" hidden="false" customHeight="false" outlineLevel="0" collapsed="false">
      <c r="J201" s="67"/>
      <c r="K201" s="67"/>
      <c r="L201" s="151"/>
      <c r="M201" s="151"/>
      <c r="N201" s="151"/>
      <c r="O201" s="69"/>
      <c r="P201" s="69"/>
      <c r="Q201" s="69"/>
      <c r="R201" s="69"/>
      <c r="S201" s="69"/>
      <c r="T201" s="69"/>
      <c r="U201" s="69"/>
      <c r="V201" s="69"/>
      <c r="W201" s="159"/>
      <c r="X201" s="102" t="n">
        <v>818</v>
      </c>
      <c r="Y201" s="124" t="n">
        <f aca="false">Y200+Y$16</f>
        <v>0.00072611391544342</v>
      </c>
      <c r="Z201" s="115" t="n">
        <f aca="false">(K-(L0-Y201*Ldif-alph*Y201^0.5))/R0</f>
        <v>0.741306103019235</v>
      </c>
      <c r="AA201" s="113" t="n">
        <f aca="false">IF(Z201&lt;1,X$14*((1-r_1)-Y$14*(1-r_1^2)+Z$14*(1-r_1^3)),0)</f>
        <v>1171144.31586416</v>
      </c>
      <c r="AB201" s="97" t="n">
        <f aca="false">AB200+AB$15</f>
        <v>0.00072611391544342</v>
      </c>
      <c r="AC201" s="115" t="n">
        <f aca="false">(Kopt-(L0-AB201*Ldif-alph*AB201^0.5))/R0</f>
        <v>0.741306103019235</v>
      </c>
      <c r="AD201" s="113" t="n">
        <f aca="false">IF(AC201&lt;1,X$14*((1-ropt)-Y$14*(1-ropt^2)+Z$14*(1-ropt^3)),0)</f>
        <v>1171144.31586416</v>
      </c>
    </row>
    <row r="202" customFormat="false" ht="12.75" hidden="false" customHeight="false" outlineLevel="0" collapsed="false">
      <c r="J202" s="67"/>
      <c r="K202" s="67"/>
      <c r="L202" s="151"/>
      <c r="M202" s="151"/>
      <c r="N202" s="151"/>
      <c r="O202" s="69"/>
      <c r="P202" s="69"/>
      <c r="Q202" s="69"/>
      <c r="R202" s="69"/>
      <c r="S202" s="69"/>
      <c r="T202" s="69"/>
      <c r="U202" s="69"/>
      <c r="V202" s="69"/>
      <c r="W202" s="159"/>
      <c r="X202" s="102" t="n">
        <v>817</v>
      </c>
      <c r="Y202" s="124" t="n">
        <f aca="false">Y201+Y$16</f>
        <v>0.000730103552341461</v>
      </c>
      <c r="Z202" s="115" t="n">
        <f aca="false">(K-(L0-Y202*Ldif-alph*Y202^0.5))/R0</f>
        <v>0.741834157296939</v>
      </c>
      <c r="AA202" s="113" t="n">
        <f aca="false">IF(Z202&lt;1,X$14*((1-r_1)-Y$14*(1-r_1^2)+Z$14*(1-r_1^3)),0)</f>
        <v>1166368.04092518</v>
      </c>
      <c r="AB202" s="97" t="n">
        <f aca="false">AB201+AB$15</f>
        <v>0.000730103552341461</v>
      </c>
      <c r="AC202" s="115" t="n">
        <f aca="false">(Kopt-(L0-AB202*Ldif-alph*AB202^0.5))/R0</f>
        <v>0.741834157296939</v>
      </c>
      <c r="AD202" s="113" t="n">
        <f aca="false">IF(AC202&lt;1,X$14*((1-ropt)-Y$14*(1-ropt^2)+Z$14*(1-ropt^3)),0)</f>
        <v>1166368.04092518</v>
      </c>
    </row>
    <row r="203" customFormat="false" ht="12.75" hidden="false" customHeight="false" outlineLevel="0" collapsed="false">
      <c r="J203" s="67"/>
      <c r="K203" s="67"/>
      <c r="L203" s="151"/>
      <c r="M203" s="151"/>
      <c r="N203" s="151"/>
      <c r="O203" s="69"/>
      <c r="P203" s="69"/>
      <c r="Q203" s="69"/>
      <c r="R203" s="69"/>
      <c r="S203" s="69"/>
      <c r="T203" s="69"/>
      <c r="U203" s="69"/>
      <c r="V203" s="69"/>
      <c r="W203" s="159"/>
      <c r="X203" s="102" t="n">
        <v>816</v>
      </c>
      <c r="Y203" s="124" t="n">
        <f aca="false">Y202+Y$16</f>
        <v>0.000734093189239501</v>
      </c>
      <c r="Z203" s="115" t="n">
        <f aca="false">(K-(L0-Y203*Ldif-alph*Y203^0.5))/R0</f>
        <v>0.742360770766756</v>
      </c>
      <c r="AA203" s="113" t="n">
        <f aca="false">IF(Z203&lt;1,X$14*((1-r_1)-Y$14*(1-r_1^2)+Z$14*(1-r_1^3)),0)</f>
        <v>1161614.51769825</v>
      </c>
      <c r="AB203" s="97" t="n">
        <f aca="false">AB202+AB$15</f>
        <v>0.000734093189239501</v>
      </c>
      <c r="AC203" s="115" t="n">
        <f aca="false">(Kopt-(L0-AB203*Ldif-alph*AB203^0.5))/R0</f>
        <v>0.742360770766756</v>
      </c>
      <c r="AD203" s="113" t="n">
        <f aca="false">IF(AC203&lt;1,X$14*((1-ropt)-Y$14*(1-ropt^2)+Z$14*(1-ropt^3)),0)</f>
        <v>1161614.51769825</v>
      </c>
    </row>
    <row r="204" customFormat="false" ht="12.75" hidden="false" customHeight="false" outlineLevel="0" collapsed="false">
      <c r="J204" s="67"/>
      <c r="K204" s="67"/>
      <c r="L204" s="151"/>
      <c r="M204" s="151"/>
      <c r="N204" s="151"/>
      <c r="O204" s="69"/>
      <c r="P204" s="69"/>
      <c r="Q204" s="69"/>
      <c r="R204" s="69"/>
      <c r="S204" s="69"/>
      <c r="T204" s="69"/>
      <c r="U204" s="69"/>
      <c r="V204" s="69"/>
      <c r="W204" s="159"/>
      <c r="X204" s="102" t="n">
        <v>815</v>
      </c>
      <c r="Y204" s="124" t="n">
        <f aca="false">Y203+Y$16</f>
        <v>0.000738082826137542</v>
      </c>
      <c r="Z204" s="115" t="n">
        <f aca="false">(K-(L0-Y204*Ldif-alph*Y204^0.5))/R0</f>
        <v>0.742885955158575</v>
      </c>
      <c r="AA204" s="113" t="n">
        <f aca="false">IF(Z204&lt;1,X$14*((1-r_1)-Y$14*(1-r_1^2)+Z$14*(1-r_1^3)),0)</f>
        <v>1156883.56095757</v>
      </c>
      <c r="AB204" s="97" t="n">
        <f aca="false">AB203+AB$15</f>
        <v>0.000738082826137542</v>
      </c>
      <c r="AC204" s="115" t="n">
        <f aca="false">(Kopt-(L0-AB204*Ldif-alph*AB204^0.5))/R0</f>
        <v>0.742885955158575</v>
      </c>
      <c r="AD204" s="113" t="n">
        <f aca="false">IF(AC204&lt;1,X$14*((1-ropt)-Y$14*(1-ropt^2)+Z$14*(1-ropt^3)),0)</f>
        <v>1156883.56095757</v>
      </c>
    </row>
    <row r="205" customFormat="false" ht="12.75" hidden="false" customHeight="false" outlineLevel="0" collapsed="false">
      <c r="J205" s="67"/>
      <c r="K205" s="67"/>
      <c r="L205" s="151"/>
      <c r="M205" s="151"/>
      <c r="N205" s="151"/>
      <c r="O205" s="69"/>
      <c r="P205" s="69"/>
      <c r="Q205" s="69"/>
      <c r="R205" s="69"/>
      <c r="S205" s="69"/>
      <c r="T205" s="69"/>
      <c r="U205" s="69"/>
      <c r="V205" s="69"/>
      <c r="W205" s="159"/>
      <c r="X205" s="102" t="n">
        <v>814</v>
      </c>
      <c r="Y205" s="124" t="n">
        <f aca="false">Y204+Y$16</f>
        <v>0.000742072463035583</v>
      </c>
      <c r="Z205" s="115" t="n">
        <f aca="false">(K-(L0-Y205*Ldif-alph*Y205^0.5))/R0</f>
        <v>0.743409722043985</v>
      </c>
      <c r="AA205" s="113" t="n">
        <f aca="false">IF(Z205&lt;1,X$14*((1-r_1)-Y$14*(1-r_1^2)+Z$14*(1-r_1^3)),0)</f>
        <v>1152174.98797704</v>
      </c>
      <c r="AB205" s="97" t="n">
        <f aca="false">AB204+AB$15</f>
        <v>0.000742072463035583</v>
      </c>
      <c r="AC205" s="115" t="n">
        <f aca="false">(Kopt-(L0-AB205*Ldif-alph*AB205^0.5))/R0</f>
        <v>0.743409722043985</v>
      </c>
      <c r="AD205" s="113" t="n">
        <f aca="false">IF(AC205&lt;1,X$14*((1-ropt)-Y$14*(1-ropt^2)+Z$14*(1-ropt^3)),0)</f>
        <v>1152174.98797704</v>
      </c>
    </row>
    <row r="206" customFormat="false" ht="12.75" hidden="false" customHeight="false" outlineLevel="0" collapsed="false">
      <c r="J206" s="67"/>
      <c r="K206" s="67"/>
      <c r="L206" s="151"/>
      <c r="M206" s="151"/>
      <c r="N206" s="151"/>
      <c r="O206" s="69"/>
      <c r="P206" s="69"/>
      <c r="Q206" s="69"/>
      <c r="R206" s="69"/>
      <c r="S206" s="69"/>
      <c r="T206" s="69"/>
      <c r="U206" s="69"/>
      <c r="V206" s="69"/>
      <c r="W206" s="159"/>
      <c r="X206" s="102" t="n">
        <v>813</v>
      </c>
      <c r="Y206" s="124" t="n">
        <f aca="false">Y205+Y$16</f>
        <v>0.000746062099933624</v>
      </c>
      <c r="Z206" s="115" t="n">
        <f aca="false">(K-(L0-Y206*Ldif-alph*Y206^0.5))/R0</f>
        <v>0.743932082839244</v>
      </c>
      <c r="AA206" s="113" t="n">
        <f aca="false">IF(Z206&lt;1,X$14*((1-r_1)-Y$14*(1-r_1^2)+Z$14*(1-r_1^3)),0)</f>
        <v>1147488.61848334</v>
      </c>
      <c r="AB206" s="97" t="n">
        <f aca="false">AB205+AB$15</f>
        <v>0.000746062099933624</v>
      </c>
      <c r="AC206" s="115" t="n">
        <f aca="false">(Kopt-(L0-AB206*Ldif-alph*AB206^0.5))/R0</f>
        <v>0.743932082839244</v>
      </c>
      <c r="AD206" s="113" t="n">
        <f aca="false">IF(AC206&lt;1,X$14*((1-ropt)-Y$14*(1-ropt^2)+Z$14*(1-ropt^3)),0)</f>
        <v>1147488.61848334</v>
      </c>
    </row>
    <row r="207" customFormat="false" ht="12.75" hidden="false" customHeight="false" outlineLevel="0" collapsed="false">
      <c r="J207" s="67"/>
      <c r="K207" s="67"/>
      <c r="L207" s="151"/>
      <c r="M207" s="151"/>
      <c r="N207" s="151"/>
      <c r="O207" s="69"/>
      <c r="P207" s="69"/>
      <c r="Q207" s="69"/>
      <c r="R207" s="69"/>
      <c r="S207" s="69"/>
      <c r="T207" s="69"/>
      <c r="U207" s="69"/>
      <c r="V207" s="69"/>
      <c r="W207" s="159"/>
      <c r="X207" s="102" t="n">
        <v>812</v>
      </c>
      <c r="Y207" s="124" t="n">
        <f aca="false">Y206+Y$16</f>
        <v>0.000750051736831664</v>
      </c>
      <c r="Z207" s="115" t="n">
        <f aca="false">(K-(L0-Y207*Ldif-alph*Y207^0.5))/R0</f>
        <v>0.744453048808197</v>
      </c>
      <c r="AA207" s="113" t="n">
        <f aca="false">IF(Z207&lt;1,X$14*((1-r_1)-Y$14*(1-r_1^2)+Z$14*(1-r_1^3)),0)</f>
        <v>1142824.27460995</v>
      </c>
      <c r="AB207" s="97" t="n">
        <f aca="false">AB206+AB$15</f>
        <v>0.000750051736831664</v>
      </c>
      <c r="AC207" s="115" t="n">
        <f aca="false">(Kopt-(L0-AB207*Ldif-alph*AB207^0.5))/R0</f>
        <v>0.744453048808197</v>
      </c>
      <c r="AD207" s="113" t="n">
        <f aca="false">IF(AC207&lt;1,X$14*((1-ropt)-Y$14*(1-ropt^2)+Z$14*(1-ropt^3)),0)</f>
        <v>1142824.27460995</v>
      </c>
    </row>
    <row r="208" customFormat="false" ht="12.75" hidden="false" customHeight="false" outlineLevel="0" collapsed="false">
      <c r="J208" s="67"/>
      <c r="K208" s="67"/>
      <c r="L208" s="151"/>
      <c r="M208" s="151"/>
      <c r="N208" s="151"/>
      <c r="O208" s="69"/>
      <c r="P208" s="69"/>
      <c r="Q208" s="69"/>
      <c r="R208" s="69"/>
      <c r="S208" s="69"/>
      <c r="T208" s="69"/>
      <c r="U208" s="69"/>
      <c r="V208" s="69"/>
      <c r="W208" s="159"/>
      <c r="X208" s="102" t="n">
        <v>811</v>
      </c>
      <c r="Y208" s="124" t="n">
        <f aca="false">Y207+Y$16</f>
        <v>0.000754041373729705</v>
      </c>
      <c r="Z208" s="115" t="n">
        <f aca="false">(K-(L0-Y208*Ldif-alph*Y208^0.5))/R0</f>
        <v>0.74497263106509</v>
      </c>
      <c r="AA208" s="113" t="n">
        <f aca="false">IF(Z208&lt;1,X$14*((1-r_1)-Y$14*(1-r_1^2)+Z$14*(1-r_1^3)),0)</f>
        <v>1138181.7808526</v>
      </c>
      <c r="AB208" s="97" t="n">
        <f aca="false">AB207+AB$15</f>
        <v>0.000754041373729705</v>
      </c>
      <c r="AC208" s="115" t="n">
        <f aca="false">(Kopt-(L0-AB208*Ldif-alph*AB208^0.5))/R0</f>
        <v>0.74497263106509</v>
      </c>
      <c r="AD208" s="113" t="n">
        <f aca="false">IF(AC208&lt;1,X$14*((1-ropt)-Y$14*(1-ropt^2)+Z$14*(1-ropt^3)),0)</f>
        <v>1138181.7808526</v>
      </c>
    </row>
    <row r="209" customFormat="false" ht="12.75" hidden="false" customHeight="false" outlineLevel="0" collapsed="false">
      <c r="J209" s="67"/>
      <c r="K209" s="67"/>
      <c r="L209" s="151"/>
      <c r="M209" s="151"/>
      <c r="N209" s="151"/>
      <c r="O209" s="69"/>
      <c r="P209" s="69"/>
      <c r="Q209" s="69"/>
      <c r="R209" s="69"/>
      <c r="S209" s="69"/>
      <c r="T209" s="69"/>
      <c r="U209" s="69"/>
      <c r="V209" s="69"/>
      <c r="W209" s="159"/>
      <c r="X209" s="102" t="n">
        <v>810</v>
      </c>
      <c r="Y209" s="124" t="n">
        <f aca="false">Y208+Y$16</f>
        <v>0.000758031010627746</v>
      </c>
      <c r="Z209" s="115" t="n">
        <f aca="false">(K-(L0-Y209*Ldif-alph*Y209^0.5))/R0</f>
        <v>0.745490840577362</v>
      </c>
      <c r="AA209" s="113" t="n">
        <f aca="false">IF(Z209&lt;1,X$14*((1-r_1)-Y$14*(1-r_1^2)+Z$14*(1-r_1^3)),0)</f>
        <v>1133560.96402531</v>
      </c>
      <c r="AB209" s="97" t="n">
        <f aca="false">AB208+AB$15</f>
        <v>0.000758031010627746</v>
      </c>
      <c r="AC209" s="115" t="n">
        <f aca="false">(Kopt-(L0-AB209*Ldif-alph*AB209^0.5))/R0</f>
        <v>0.745490840577362</v>
      </c>
      <c r="AD209" s="113" t="n">
        <f aca="false">IF(AC209&lt;1,X$14*((1-ropt)-Y$14*(1-ropt^2)+Z$14*(1-ropt^3)),0)</f>
        <v>1133560.96402531</v>
      </c>
    </row>
    <row r="210" customFormat="false" ht="12.75" hidden="false" customHeight="false" outlineLevel="0" collapsed="false">
      <c r="J210" s="67"/>
      <c r="K210" s="67"/>
      <c r="L210" s="151"/>
      <c r="M210" s="151"/>
      <c r="N210" s="151"/>
      <c r="O210" s="69"/>
      <c r="P210" s="69"/>
      <c r="Q210" s="69"/>
      <c r="R210" s="69"/>
      <c r="S210" s="69"/>
      <c r="T210" s="69"/>
      <c r="U210" s="69"/>
      <c r="V210" s="69"/>
      <c r="W210" s="159"/>
      <c r="X210" s="102" t="n">
        <v>809</v>
      </c>
      <c r="Y210" s="124" t="n">
        <f aca="false">Y209+Y$16</f>
        <v>0.000762020647525787</v>
      </c>
      <c r="Z210" s="115" t="n">
        <f aca="false">(K-(L0-Y210*Ldif-alph*Y210^0.5))/R0</f>
        <v>0.746007688168316</v>
      </c>
      <c r="AA210" s="113" t="n">
        <f aca="false">IF(Z210&lt;1,X$14*((1-r_1)-Y$14*(1-r_1^2)+Z$14*(1-r_1^3)),0)</f>
        <v>1128961.65321806</v>
      </c>
      <c r="AB210" s="97" t="n">
        <f aca="false">AB209+AB$15</f>
        <v>0.000762020647525787</v>
      </c>
      <c r="AC210" s="115" t="n">
        <f aca="false">(Kopt-(L0-AB210*Ldif-alph*AB210^0.5))/R0</f>
        <v>0.746007688168316</v>
      </c>
      <c r="AD210" s="113" t="n">
        <f aca="false">IF(AC210&lt;1,X$14*((1-ropt)-Y$14*(1-ropt^2)+Z$14*(1-ropt^3)),0)</f>
        <v>1128961.65321806</v>
      </c>
    </row>
    <row r="211" customFormat="false" ht="12.75" hidden="false" customHeight="false" outlineLevel="0" collapsed="false">
      <c r="J211" s="67"/>
      <c r="K211" s="67"/>
      <c r="L211" s="151"/>
      <c r="M211" s="151"/>
      <c r="N211" s="151"/>
      <c r="O211" s="69"/>
      <c r="P211" s="69"/>
      <c r="Q211" s="69"/>
      <c r="R211" s="69"/>
      <c r="S211" s="69"/>
      <c r="T211" s="69"/>
      <c r="U211" s="69"/>
      <c r="V211" s="69"/>
      <c r="W211" s="159"/>
      <c r="X211" s="102" t="n">
        <v>808</v>
      </c>
      <c r="Y211" s="124" t="n">
        <f aca="false">Y210+Y$16</f>
        <v>0.000766010284423827</v>
      </c>
      <c r="Z211" s="115" t="n">
        <f aca="false">(K-(L0-Y211*Ldif-alph*Y211^0.5))/R0</f>
        <v>0.746523184519783</v>
      </c>
      <c r="AA211" s="113" t="n">
        <f aca="false">IF(Z211&lt;1,X$14*((1-r_1)-Y$14*(1-r_1^2)+Z$14*(1-r_1^3)),0)</f>
        <v>1124383.67975486</v>
      </c>
      <c r="AB211" s="97" t="n">
        <f aca="false">AB210+AB$15</f>
        <v>0.000766010284423827</v>
      </c>
      <c r="AC211" s="115" t="n">
        <f aca="false">(Kopt-(L0-AB211*Ldif-alph*AB211^0.5))/R0</f>
        <v>0.746523184519783</v>
      </c>
      <c r="AD211" s="113" t="n">
        <f aca="false">IF(AC211&lt;1,X$14*((1-ropt)-Y$14*(1-ropt^2)+Z$14*(1-ropt^3)),0)</f>
        <v>1124383.67975486</v>
      </c>
    </row>
    <row r="212" customFormat="false" ht="12.75" hidden="false" customHeight="false" outlineLevel="0" collapsed="false">
      <c r="J212" s="67"/>
      <c r="K212" s="67"/>
      <c r="L212" s="151"/>
      <c r="M212" s="151"/>
      <c r="N212" s="151"/>
      <c r="O212" s="69"/>
      <c r="P212" s="69"/>
      <c r="Q212" s="69"/>
      <c r="R212" s="69"/>
      <c r="S212" s="69"/>
      <c r="T212" s="69"/>
      <c r="U212" s="69"/>
      <c r="V212" s="69"/>
      <c r="W212" s="159"/>
      <c r="X212" s="102" t="n">
        <v>807</v>
      </c>
      <c r="Y212" s="124" t="n">
        <f aca="false">Y211+Y$16</f>
        <v>0.000769999921321868</v>
      </c>
      <c r="Z212" s="115" t="n">
        <f aca="false">(K-(L0-Y212*Ldif-alph*Y212^0.5))/R0</f>
        <v>0.747037340174683</v>
      </c>
      <c r="AA212" s="113" t="n">
        <f aca="false">IF(Z212&lt;1,X$14*((1-r_1)-Y$14*(1-r_1^2)+Z$14*(1-r_1^3)),0)</f>
        <v>1119826.87715324</v>
      </c>
      <c r="AB212" s="97" t="n">
        <f aca="false">AB211+AB$15</f>
        <v>0.000769999921321868</v>
      </c>
      <c r="AC212" s="115" t="n">
        <f aca="false">(Kopt-(L0-AB212*Ldif-alph*AB212^0.5))/R0</f>
        <v>0.747037340174683</v>
      </c>
      <c r="AD212" s="113" t="n">
        <f aca="false">IF(AC212&lt;1,X$14*((1-ropt)-Y$14*(1-ropt^2)+Z$14*(1-ropt^3)),0)</f>
        <v>1119826.87715324</v>
      </c>
    </row>
    <row r="213" customFormat="false" ht="12.75" hidden="false" customHeight="false" outlineLevel="0" collapsed="false">
      <c r="J213" s="67"/>
      <c r="K213" s="67"/>
      <c r="L213" s="151"/>
      <c r="M213" s="151"/>
      <c r="N213" s="151"/>
      <c r="O213" s="69"/>
      <c r="P213" s="69"/>
      <c r="Q213" s="69"/>
      <c r="R213" s="69"/>
      <c r="S213" s="69"/>
      <c r="T213" s="69"/>
      <c r="U213" s="69"/>
      <c r="V213" s="69"/>
      <c r="W213" s="159"/>
      <c r="X213" s="102" t="n">
        <v>806</v>
      </c>
      <c r="Y213" s="124" t="n">
        <f aca="false">Y212+Y$16</f>
        <v>0.000773989558219909</v>
      </c>
      <c r="Z213" s="115" t="n">
        <f aca="false">(K-(L0-Y213*Ldif-alph*Y213^0.5))/R0</f>
        <v>0.747550165539545</v>
      </c>
      <c r="AA213" s="113" t="n">
        <f aca="false">IF(Z213&lt;1,X$14*((1-r_1)-Y$14*(1-r_1^2)+Z$14*(1-r_1^3)),0)</f>
        <v>1115291.08108445</v>
      </c>
      <c r="AB213" s="97" t="n">
        <f aca="false">AB212+AB$15</f>
        <v>0.000773989558219909</v>
      </c>
      <c r="AC213" s="115" t="n">
        <f aca="false">(Kopt-(L0-AB213*Ldif-alph*AB213^0.5))/R0</f>
        <v>0.747550165539545</v>
      </c>
      <c r="AD213" s="113" t="n">
        <f aca="false">IF(AC213&lt;1,X$14*((1-ropt)-Y$14*(1-ropt^2)+Z$14*(1-ropt^3)),0)</f>
        <v>1115291.08108445</v>
      </c>
    </row>
    <row r="214" customFormat="false" ht="12.75" hidden="false" customHeight="false" outlineLevel="0" collapsed="false">
      <c r="J214" s="67"/>
      <c r="K214" s="67"/>
      <c r="L214" s="151"/>
      <c r="M214" s="151"/>
      <c r="N214" s="151"/>
      <c r="O214" s="69"/>
      <c r="P214" s="69"/>
      <c r="Q214" s="69"/>
      <c r="R214" s="69"/>
      <c r="S214" s="69"/>
      <c r="T214" s="69"/>
      <c r="U214" s="69"/>
      <c r="V214" s="69"/>
      <c r="W214" s="159"/>
      <c r="X214" s="102" t="n">
        <v>805</v>
      </c>
      <c r="Y214" s="124" t="n">
        <f aca="false">Y213+Y$16</f>
        <v>0.00077797919511795</v>
      </c>
      <c r="Z214" s="115" t="n">
        <f aca="false">(K-(L0-Y214*Ldif-alph*Y214^0.5))/R0</f>
        <v>0.748061670886962</v>
      </c>
      <c r="AA214" s="113" t="n">
        <f aca="false">IF(Z214&lt;1,X$14*((1-r_1)-Y$14*(1-r_1^2)+Z$14*(1-r_1^3)),0)</f>
        <v>1110776.12933472</v>
      </c>
      <c r="AB214" s="97" t="n">
        <f aca="false">AB213+AB$15</f>
        <v>0.00077797919511795</v>
      </c>
      <c r="AC214" s="115" t="n">
        <f aca="false">(Kopt-(L0-AB214*Ldif-alph*AB214^0.5))/R0</f>
        <v>0.748061670886962</v>
      </c>
      <c r="AD214" s="113" t="n">
        <f aca="false">IF(AC214&lt;1,X$14*((1-ropt)-Y$14*(1-ropt^2)+Z$14*(1-ropt^3)),0)</f>
        <v>1110776.12933472</v>
      </c>
    </row>
    <row r="215" customFormat="false" ht="12.75" hidden="false" customHeight="false" outlineLevel="0" collapsed="false">
      <c r="J215" s="67"/>
      <c r="K215" s="67"/>
      <c r="L215" s="151"/>
      <c r="M215" s="151"/>
      <c r="N215" s="151"/>
      <c r="O215" s="69"/>
      <c r="P215" s="69"/>
      <c r="Q215" s="69"/>
      <c r="R215" s="69"/>
      <c r="S215" s="69"/>
      <c r="T215" s="69"/>
      <c r="U215" s="69"/>
      <c r="V215" s="69"/>
      <c r="W215" s="159"/>
      <c r="X215" s="102" t="n">
        <v>804</v>
      </c>
      <c r="Y215" s="124" t="n">
        <f aca="false">Y214+Y$16</f>
        <v>0.00078196883201599</v>
      </c>
      <c r="Z215" s="115" t="n">
        <f aca="false">(K-(L0-Y215*Ldif-alph*Y215^0.5))/R0</f>
        <v>0.748571866358</v>
      </c>
      <c r="AA215" s="113" t="n">
        <f aca="false">IF(Z215&lt;1,X$14*((1-r_1)-Y$14*(1-r_1^2)+Z$14*(1-r_1^3)),0)</f>
        <v>1106281.86176724</v>
      </c>
      <c r="AB215" s="97" t="n">
        <f aca="false">AB214+AB$15</f>
        <v>0.00078196883201599</v>
      </c>
      <c r="AC215" s="115" t="n">
        <f aca="false">(Kopt-(L0-AB215*Ldif-alph*AB215^0.5))/R0</f>
        <v>0.748571866358</v>
      </c>
      <c r="AD215" s="113" t="n">
        <f aca="false">IF(AC215&lt;1,X$14*((1-ropt)-Y$14*(1-ropt^2)+Z$14*(1-ropt^3)),0)</f>
        <v>1106281.86176724</v>
      </c>
    </row>
    <row r="216" customFormat="false" ht="12.75" hidden="false" customHeight="false" outlineLevel="0" collapsed="false">
      <c r="J216" s="67"/>
      <c r="K216" s="67"/>
      <c r="L216" s="151"/>
      <c r="M216" s="151"/>
      <c r="N216" s="151"/>
      <c r="O216" s="69"/>
      <c r="P216" s="69"/>
      <c r="Q216" s="69"/>
      <c r="R216" s="69"/>
      <c r="S216" s="69"/>
      <c r="T216" s="69"/>
      <c r="U216" s="69"/>
      <c r="V216" s="69"/>
      <c r="W216" s="159"/>
      <c r="X216" s="102" t="n">
        <v>803</v>
      </c>
      <c r="Y216" s="124" t="n">
        <f aca="false">Y215+Y$16</f>
        <v>0.000785958468914031</v>
      </c>
      <c r="Z216" s="115" t="n">
        <f aca="false">(K-(L0-Y216*Ldif-alph*Y216^0.5))/R0</f>
        <v>0.749080761964533</v>
      </c>
      <c r="AA216" s="113" t="n">
        <f aca="false">IF(Z216&lt;1,X$14*((1-r_1)-Y$14*(1-r_1^2)+Z$14*(1-r_1^3)),0)</f>
        <v>1101808.12028524</v>
      </c>
      <c r="AB216" s="97" t="n">
        <f aca="false">AB215+AB$15</f>
        <v>0.000785958468914031</v>
      </c>
      <c r="AC216" s="115" t="n">
        <f aca="false">(Kopt-(L0-AB216*Ldif-alph*AB216^0.5))/R0</f>
        <v>0.749080761964533</v>
      </c>
      <c r="AD216" s="113" t="n">
        <f aca="false">IF(AC216&lt;1,X$14*((1-ropt)-Y$14*(1-ropt^2)+Z$14*(1-ropt^3)),0)</f>
        <v>1101808.12028524</v>
      </c>
    </row>
    <row r="217" customFormat="false" ht="12.75" hidden="false" customHeight="false" outlineLevel="0" collapsed="false">
      <c r="J217" s="67"/>
      <c r="K217" s="67"/>
      <c r="L217" s="151"/>
      <c r="M217" s="151"/>
      <c r="N217" s="151"/>
      <c r="O217" s="69"/>
      <c r="P217" s="69"/>
      <c r="Q217" s="69"/>
      <c r="R217" s="69"/>
      <c r="S217" s="69"/>
      <c r="T217" s="69"/>
      <c r="U217" s="69"/>
      <c r="V217" s="69"/>
      <c r="W217" s="159"/>
      <c r="X217" s="102" t="n">
        <v>802</v>
      </c>
      <c r="Y217" s="124" t="n">
        <f aca="false">Y216+Y$16</f>
        <v>0.000789948105812072</v>
      </c>
      <c r="Z217" s="115" t="n">
        <f aca="false">(K-(L0-Y217*Ldif-alph*Y217^0.5))/R0</f>
        <v>0.749588367591543</v>
      </c>
      <c r="AA217" s="113" t="n">
        <f aca="false">IF(Z217&lt;1,X$14*((1-r_1)-Y$14*(1-r_1^2)+Z$14*(1-r_1^3)),0)</f>
        <v>1097354.74879569</v>
      </c>
      <c r="AB217" s="97" t="n">
        <f aca="false">AB216+AB$15</f>
        <v>0.000789948105812072</v>
      </c>
      <c r="AC217" s="115" t="n">
        <f aca="false">(Kopt-(L0-AB217*Ldif-alph*AB217^0.5))/R0</f>
        <v>0.749588367591543</v>
      </c>
      <c r="AD217" s="113" t="n">
        <f aca="false">IF(AC217&lt;1,X$14*((1-ropt)-Y$14*(1-ropt^2)+Z$14*(1-ropt^3)),0)</f>
        <v>1097354.74879569</v>
      </c>
    </row>
    <row r="218" customFormat="false" ht="12.75" hidden="false" customHeight="false" outlineLevel="0" collapsed="false">
      <c r="J218" s="67"/>
      <c r="K218" s="67"/>
      <c r="L218" s="151"/>
      <c r="M218" s="151"/>
      <c r="N218" s="151"/>
      <c r="O218" s="69"/>
      <c r="P218" s="69"/>
      <c r="Q218" s="69"/>
      <c r="R218" s="69"/>
      <c r="S218" s="69"/>
      <c r="T218" s="69"/>
      <c r="U218" s="69"/>
      <c r="V218" s="69"/>
      <c r="W218" s="159"/>
      <c r="X218" s="102" t="n">
        <v>801</v>
      </c>
      <c r="Y218" s="124" t="n">
        <f aca="false">Y217+Y$16</f>
        <v>0.000793937742710113</v>
      </c>
      <c r="Z218" s="115" t="n">
        <f aca="false">(K-(L0-Y218*Ldif-alph*Y218^0.5))/R0</f>
        <v>0.750094692999356</v>
      </c>
      <c r="AA218" s="113" t="n">
        <f aca="false">IF(Z218&lt;1,X$14*((1-r_1)-Y$14*(1-r_1^2)+Z$14*(1-r_1^3)),0)</f>
        <v>1092921.59317401</v>
      </c>
      <c r="AB218" s="97" t="n">
        <f aca="false">AB217+AB$15</f>
        <v>0.000793937742710113</v>
      </c>
      <c r="AC218" s="115" t="n">
        <f aca="false">(Kopt-(L0-AB218*Ldif-alph*AB218^0.5))/R0</f>
        <v>0.750094692999356</v>
      </c>
      <c r="AD218" s="113" t="n">
        <f aca="false">IF(AC218&lt;1,X$14*((1-ropt)-Y$14*(1-ropt^2)+Z$14*(1-ropt^3)),0)</f>
        <v>1092921.59317401</v>
      </c>
    </row>
    <row r="219" customFormat="false" ht="12.75" hidden="false" customHeight="false" outlineLevel="0" collapsed="false">
      <c r="J219" s="67"/>
      <c r="K219" s="67"/>
      <c r="L219" s="151"/>
      <c r="M219" s="151"/>
      <c r="N219" s="151"/>
      <c r="O219" s="69"/>
      <c r="P219" s="69"/>
      <c r="Q219" s="69"/>
      <c r="R219" s="69"/>
      <c r="S219" s="69"/>
      <c r="T219" s="69"/>
      <c r="U219" s="69"/>
      <c r="V219" s="69"/>
      <c r="W219" s="159"/>
      <c r="X219" s="102" t="n">
        <v>800</v>
      </c>
      <c r="Y219" s="124" t="n">
        <f aca="false">Y218+Y$16</f>
        <v>0.000797927379608153</v>
      </c>
      <c r="Z219" s="115" t="n">
        <f aca="false">(K-(L0-Y219*Ldif-alph*Y219^0.5))/R0</f>
        <v>0.750599747825832</v>
      </c>
      <c r="AA219" s="113" t="n">
        <f aca="false">IF(Z219&lt;1,X$14*((1-r_1)-Y$14*(1-r_1^2)+Z$14*(1-r_1^3)),0)</f>
        <v>1088508.50122943</v>
      </c>
      <c r="AB219" s="97" t="n">
        <f aca="false">AB218+AB$15</f>
        <v>0.000797927379608153</v>
      </c>
      <c r="AC219" s="115" t="n">
        <f aca="false">(Kopt-(L0-AB219*Ldif-alph*AB219^0.5))/R0</f>
        <v>0.750599747825832</v>
      </c>
      <c r="AD219" s="113" t="n">
        <f aca="false">IF(AC219&lt;1,X$14*((1-ropt)-Y$14*(1-ropt^2)+Z$14*(1-ropt^3)),0)</f>
        <v>1088508.50122943</v>
      </c>
    </row>
    <row r="220" customFormat="false" ht="12.75" hidden="false" customHeight="false" outlineLevel="0" collapsed="false">
      <c r="J220" s="67"/>
      <c r="K220" s="67"/>
      <c r="L220" s="151"/>
      <c r="M220" s="151"/>
      <c r="N220" s="151"/>
      <c r="O220" s="69"/>
      <c r="P220" s="69"/>
      <c r="Q220" s="69"/>
      <c r="R220" s="69"/>
      <c r="S220" s="69"/>
      <c r="T220" s="69"/>
      <c r="U220" s="69"/>
      <c r="V220" s="69"/>
      <c r="W220" s="159"/>
      <c r="X220" s="102" t="n">
        <v>799</v>
      </c>
      <c r="Y220" s="124" t="n">
        <f aca="false">Y219+Y$16</f>
        <v>0.000801917016506194</v>
      </c>
      <c r="Z220" s="115" t="n">
        <f aca="false">(K-(L0-Y220*Ldif-alph*Y220^0.5))/R0</f>
        <v>0.751103541588512</v>
      </c>
      <c r="AA220" s="113" t="n">
        <f aca="false">IF(Z220&lt;1,X$14*((1-r_1)-Y$14*(1-r_1^2)+Z$14*(1-r_1^3)),0)</f>
        <v>1084115.32267117</v>
      </c>
      <c r="AB220" s="97" t="n">
        <f aca="false">AB219+AB$15</f>
        <v>0.000801917016506194</v>
      </c>
      <c r="AC220" s="115" t="n">
        <f aca="false">(Kopt-(L0-AB220*Ldif-alph*AB220^0.5))/R0</f>
        <v>0.751103541588512</v>
      </c>
      <c r="AD220" s="113" t="n">
        <f aca="false">IF(AC220&lt;1,X$14*((1-ropt)-Y$14*(1-ropt^2)+Z$14*(1-ropt^3)),0)</f>
        <v>1084115.32267117</v>
      </c>
    </row>
    <row r="221" customFormat="false" ht="12.75" hidden="false" customHeight="false" outlineLevel="0" collapsed="false">
      <c r="J221" s="67"/>
      <c r="K221" s="67"/>
      <c r="L221" s="151"/>
      <c r="M221" s="151"/>
      <c r="N221" s="151"/>
      <c r="O221" s="69"/>
      <c r="P221" s="69"/>
      <c r="Q221" s="69"/>
      <c r="R221" s="69"/>
      <c r="S221" s="69"/>
      <c r="T221" s="69"/>
      <c r="U221" s="69"/>
      <c r="V221" s="69"/>
      <c r="W221" s="159"/>
      <c r="X221" s="102" t="n">
        <v>798</v>
      </c>
      <c r="Y221" s="124" t="n">
        <f aca="false">Y220+Y$16</f>
        <v>0.000805906653404235</v>
      </c>
      <c r="Z221" s="115" t="n">
        <f aca="false">(K-(L0-Y221*Ldif-alph*Y221^0.5))/R0</f>
        <v>0.751606083686698</v>
      </c>
      <c r="AA221" s="113" t="n">
        <f aca="false">IF(Z221&lt;1,X$14*((1-r_1)-Y$14*(1-r_1^2)+Z$14*(1-r_1^3)),0)</f>
        <v>1079741.90907554</v>
      </c>
      <c r="AB221" s="97" t="n">
        <f aca="false">AB220+AB$15</f>
        <v>0.000805906653404235</v>
      </c>
      <c r="AC221" s="115" t="n">
        <f aca="false">(Kopt-(L0-AB221*Ldif-alph*AB221^0.5))/R0</f>
        <v>0.751606083686698</v>
      </c>
      <c r="AD221" s="113" t="n">
        <f aca="false">IF(AC221&lt;1,X$14*((1-ropt)-Y$14*(1-ropt^2)+Z$14*(1-ropt^3)),0)</f>
        <v>1079741.90907554</v>
      </c>
    </row>
    <row r="222" customFormat="false" ht="12.75" hidden="false" customHeight="false" outlineLevel="0" collapsed="false">
      <c r="J222" s="67"/>
      <c r="K222" s="67"/>
      <c r="L222" s="151"/>
      <c r="M222" s="151"/>
      <c r="N222" s="151"/>
      <c r="O222" s="69"/>
      <c r="P222" s="69"/>
      <c r="Q222" s="69"/>
      <c r="R222" s="69"/>
      <c r="S222" s="69"/>
      <c r="T222" s="69"/>
      <c r="U222" s="69"/>
      <c r="V222" s="69"/>
      <c r="W222" s="159"/>
      <c r="X222" s="102" t="n">
        <v>797</v>
      </c>
      <c r="Y222" s="124" t="n">
        <f aca="false">Y221+Y$16</f>
        <v>0.000809896290302275</v>
      </c>
      <c r="Z222" s="115" t="n">
        <f aca="false">(K-(L0-Y222*Ldif-alph*Y222^0.5))/R0</f>
        <v>0.752107383403513</v>
      </c>
      <c r="AA222" s="113" t="n">
        <f aca="false">IF(Z222&lt;1,X$14*((1-r_1)-Y$14*(1-r_1^2)+Z$14*(1-r_1^3)),0)</f>
        <v>1075388.11385342</v>
      </c>
      <c r="AB222" s="97" t="n">
        <f aca="false">AB221+AB$15</f>
        <v>0.000809896290302275</v>
      </c>
      <c r="AC222" s="115" t="n">
        <f aca="false">(Kopt-(L0-AB222*Ldif-alph*AB222^0.5))/R0</f>
        <v>0.752107383403513</v>
      </c>
      <c r="AD222" s="113" t="n">
        <f aca="false">IF(AC222&lt;1,X$14*((1-ropt)-Y$14*(1-ropt^2)+Z$14*(1-ropt^3)),0)</f>
        <v>1075388.11385342</v>
      </c>
    </row>
    <row r="223" customFormat="false" ht="12.75" hidden="false" customHeight="false" outlineLevel="0" collapsed="false">
      <c r="J223" s="67"/>
      <c r="K223" s="67"/>
      <c r="L223" s="151"/>
      <c r="M223" s="151"/>
      <c r="N223" s="151"/>
      <c r="O223" s="69"/>
      <c r="P223" s="69"/>
      <c r="Q223" s="69"/>
      <c r="R223" s="69"/>
      <c r="S223" s="69"/>
      <c r="T223" s="69"/>
      <c r="U223" s="69"/>
      <c r="V223" s="69"/>
      <c r="W223" s="159"/>
      <c r="X223" s="102" t="n">
        <v>796</v>
      </c>
      <c r="Y223" s="124" t="n">
        <f aca="false">Y222+Y$16</f>
        <v>0.000813885927200316</v>
      </c>
      <c r="Z223" s="115" t="n">
        <f aca="false">(K-(L0-Y223*Ldif-alph*Y223^0.5))/R0</f>
        <v>0.752607449907893</v>
      </c>
      <c r="AA223" s="113" t="n">
        <f aca="false">IF(Z223&lt;1,X$14*((1-r_1)-Y$14*(1-r_1^2)+Z$14*(1-r_1^3)),0)</f>
        <v>1071053.79221883</v>
      </c>
      <c r="AB223" s="97" t="n">
        <f aca="false">AB222+AB$15</f>
        <v>0.000813885927200316</v>
      </c>
      <c r="AC223" s="115" t="n">
        <f aca="false">(Kopt-(L0-AB223*Ldif-alph*AB223^0.5))/R0</f>
        <v>0.752607449907893</v>
      </c>
      <c r="AD223" s="113" t="n">
        <f aca="false">IF(AC223&lt;1,X$14*((1-ropt)-Y$14*(1-ropt^2)+Z$14*(1-ropt^3)),0)</f>
        <v>1071053.79221883</v>
      </c>
    </row>
    <row r="224" customFormat="false" ht="12.75" hidden="false" customHeight="false" outlineLevel="0" collapsed="false">
      <c r="J224" s="67"/>
      <c r="K224" s="67"/>
      <c r="L224" s="151"/>
      <c r="M224" s="151"/>
      <c r="N224" s="151"/>
      <c r="O224" s="69"/>
      <c r="P224" s="69"/>
      <c r="Q224" s="69"/>
      <c r="R224" s="69"/>
      <c r="S224" s="69"/>
      <c r="T224" s="69"/>
      <c r="U224" s="69"/>
      <c r="V224" s="69"/>
      <c r="W224" s="159"/>
      <c r="X224" s="102" t="n">
        <v>795</v>
      </c>
      <c r="Y224" s="124" t="n">
        <f aca="false">Y223+Y$16</f>
        <v>0.000817875564098357</v>
      </c>
      <c r="Z224" s="115" t="n">
        <f aca="false">(K-(L0-Y224*Ldif-alph*Y224^0.5))/R0</f>
        <v>0.753106292256545</v>
      </c>
      <c r="AA224" s="113" t="n">
        <f aca="false">IF(Z224&lt;1,X$14*((1-r_1)-Y$14*(1-r_1^2)+Z$14*(1-r_1^3)),0)</f>
        <v>1066738.80115794</v>
      </c>
      <c r="AB224" s="97" t="n">
        <f aca="false">AB223+AB$15</f>
        <v>0.000817875564098357</v>
      </c>
      <c r="AC224" s="115" t="n">
        <f aca="false">(Kopt-(L0-AB224*Ldif-alph*AB224^0.5))/R0</f>
        <v>0.753106292256545</v>
      </c>
      <c r="AD224" s="113" t="n">
        <f aca="false">IF(AC224&lt;1,X$14*((1-ropt)-Y$14*(1-ropt^2)+Z$14*(1-ropt^3)),0)</f>
        <v>1066738.80115794</v>
      </c>
    </row>
    <row r="225" customFormat="false" ht="12.75" hidden="false" customHeight="false" outlineLevel="0" collapsed="false">
      <c r="J225" s="67"/>
      <c r="K225" s="67"/>
      <c r="L225" s="151"/>
      <c r="M225" s="151"/>
      <c r="N225" s="151"/>
      <c r="O225" s="69"/>
      <c r="P225" s="69"/>
      <c r="Q225" s="69"/>
      <c r="R225" s="69"/>
      <c r="S225" s="69"/>
      <c r="T225" s="69"/>
      <c r="U225" s="69"/>
      <c r="V225" s="69"/>
      <c r="W225" s="159"/>
      <c r="X225" s="102" t="n">
        <v>794</v>
      </c>
      <c r="Y225" s="124" t="n">
        <f aca="false">Y224+Y$16</f>
        <v>0.000821865200996398</v>
      </c>
      <c r="Z225" s="115" t="n">
        <f aca="false">(K-(L0-Y225*Ldif-alph*Y225^0.5))/R0</f>
        <v>0.753603919395861</v>
      </c>
      <c r="AA225" s="113" t="n">
        <f aca="false">IF(Z225&lt;1,X$14*((1-r_1)-Y$14*(1-r_1^2)+Z$14*(1-r_1^3)),0)</f>
        <v>1062442.99939893</v>
      </c>
      <c r="AB225" s="97" t="n">
        <f aca="false">AB224+AB$15</f>
        <v>0.000821865200996398</v>
      </c>
      <c r="AC225" s="115" t="n">
        <f aca="false">(Kopt-(L0-AB225*Ldif-alph*AB225^0.5))/R0</f>
        <v>0.753603919395861</v>
      </c>
      <c r="AD225" s="113" t="n">
        <f aca="false">IF(AC225&lt;1,X$14*((1-ropt)-Y$14*(1-ropt^2)+Z$14*(1-ropt^3)),0)</f>
        <v>1062442.99939893</v>
      </c>
    </row>
    <row r="226" customFormat="false" ht="12.75" hidden="false" customHeight="false" outlineLevel="0" collapsed="false">
      <c r="J226" s="67"/>
      <c r="K226" s="67"/>
      <c r="L226" s="151"/>
      <c r="M226" s="151"/>
      <c r="N226" s="151"/>
      <c r="O226" s="69"/>
      <c r="P226" s="69"/>
      <c r="Q226" s="69"/>
      <c r="R226" s="69"/>
      <c r="S226" s="69"/>
      <c r="T226" s="69"/>
      <c r="U226" s="69"/>
      <c r="V226" s="69"/>
      <c r="W226" s="159"/>
      <c r="X226" s="102" t="n">
        <v>793</v>
      </c>
      <c r="Y226" s="124" t="n">
        <f aca="false">Y225+Y$16</f>
        <v>0.000825854837894438</v>
      </c>
      <c r="Z226" s="115" t="n">
        <f aca="false">(K-(L0-Y226*Ldif-alph*Y226^0.5))/R0</f>
        <v>0.754100340163797</v>
      </c>
      <c r="AA226" s="113" t="n">
        <f aca="false">IF(Z226&lt;1,X$14*((1-r_1)-Y$14*(1-r_1^2)+Z$14*(1-r_1^3)),0)</f>
        <v>1058166.24738231</v>
      </c>
      <c r="AB226" s="97" t="n">
        <f aca="false">AB225+AB$15</f>
        <v>0.000825854837894438</v>
      </c>
      <c r="AC226" s="115" t="n">
        <f aca="false">(Kopt-(L0-AB226*Ldif-alph*AB226^0.5))/R0</f>
        <v>0.754100340163797</v>
      </c>
      <c r="AD226" s="113" t="n">
        <f aca="false">IF(AC226&lt;1,X$14*((1-ropt)-Y$14*(1-ropt^2)+Z$14*(1-ropt^3)),0)</f>
        <v>1058166.24738231</v>
      </c>
    </row>
    <row r="227" customFormat="false" ht="12.75" hidden="false" customHeight="false" outlineLevel="0" collapsed="false">
      <c r="J227" s="67"/>
      <c r="K227" s="67"/>
      <c r="L227" s="151"/>
      <c r="M227" s="151"/>
      <c r="N227" s="151"/>
      <c r="O227" s="69"/>
      <c r="P227" s="69"/>
      <c r="Q227" s="69"/>
      <c r="R227" s="69"/>
      <c r="S227" s="69"/>
      <c r="T227" s="69"/>
      <c r="U227" s="69"/>
      <c r="V227" s="69"/>
      <c r="W227" s="159"/>
      <c r="X227" s="102" t="n">
        <v>792</v>
      </c>
      <c r="Y227" s="124" t="n">
        <f aca="false">Y226+Y$16</f>
        <v>0.000829844474792479</v>
      </c>
      <c r="Z227" s="115" t="n">
        <f aca="false">(K-(L0-Y227*Ldif-alph*Y227^0.5))/R0</f>
        <v>0.754595563291688</v>
      </c>
      <c r="AA227" s="113" t="n">
        <f aca="false">IF(Z227&lt;1,X$14*((1-r_1)-Y$14*(1-r_1^2)+Z$14*(1-r_1^3)),0)</f>
        <v>1053908.40723217</v>
      </c>
      <c r="AB227" s="97" t="n">
        <f aca="false">AB226+AB$15</f>
        <v>0.000829844474792479</v>
      </c>
      <c r="AC227" s="115" t="n">
        <f aca="false">(Kopt-(L0-AB227*Ldif-alph*AB227^0.5))/R0</f>
        <v>0.754595563291688</v>
      </c>
      <c r="AD227" s="113" t="n">
        <f aca="false">IF(AC227&lt;1,X$14*((1-ropt)-Y$14*(1-ropt^2)+Z$14*(1-ropt^3)),0)</f>
        <v>1053908.40723217</v>
      </c>
    </row>
    <row r="228" customFormat="false" ht="12.75" hidden="false" customHeight="false" outlineLevel="0" collapsed="false">
      <c r="J228" s="67"/>
      <c r="K228" s="67"/>
      <c r="L228" s="151"/>
      <c r="M228" s="151"/>
      <c r="N228" s="151"/>
      <c r="O228" s="69"/>
      <c r="P228" s="69"/>
      <c r="Q228" s="69"/>
      <c r="R228" s="69"/>
      <c r="S228" s="69"/>
      <c r="T228" s="69"/>
      <c r="U228" s="69"/>
      <c r="V228" s="69"/>
      <c r="W228" s="159"/>
      <c r="X228" s="102" t="n">
        <v>791</v>
      </c>
      <c r="Y228" s="124" t="n">
        <f aca="false">Y227+Y$16</f>
        <v>0.00083383411169052</v>
      </c>
      <c r="Z228" s="115" t="n">
        <f aca="false">(K-(L0-Y228*Ldif-alph*Y228^0.5))/R0</f>
        <v>0.755089597406059</v>
      </c>
      <c r="AA228" s="113" t="n">
        <f aca="false">IF(Z228&lt;1,X$14*((1-r_1)-Y$14*(1-r_1^2)+Z$14*(1-r_1^3)),0)</f>
        <v>1049669.34272771</v>
      </c>
      <c r="AB228" s="97" t="n">
        <f aca="false">AB227+AB$15</f>
        <v>0.00083383411169052</v>
      </c>
      <c r="AC228" s="115" t="n">
        <f aca="false">(Kopt-(L0-AB228*Ldif-alph*AB228^0.5))/R0</f>
        <v>0.755089597406059</v>
      </c>
      <c r="AD228" s="113" t="n">
        <f aca="false">IF(AC228&lt;1,X$14*((1-ropt)-Y$14*(1-ropt^2)+Z$14*(1-ropt^3)),0)</f>
        <v>1049669.34272771</v>
      </c>
    </row>
    <row r="229" customFormat="false" ht="12.75" hidden="false" customHeight="false" outlineLevel="0" collapsed="false">
      <c r="J229" s="67"/>
      <c r="K229" s="67"/>
      <c r="L229" s="151"/>
      <c r="M229" s="151"/>
      <c r="N229" s="151"/>
      <c r="O229" s="69"/>
      <c r="P229" s="69"/>
      <c r="Q229" s="69"/>
      <c r="R229" s="69"/>
      <c r="S229" s="69"/>
      <c r="T229" s="69"/>
      <c r="U229" s="69"/>
      <c r="V229" s="69"/>
      <c r="W229" s="159"/>
      <c r="X229" s="102" t="n">
        <v>790</v>
      </c>
      <c r="Y229" s="124" t="n">
        <f aca="false">Y228+Y$16</f>
        <v>0.000837823748588561</v>
      </c>
      <c r="Z229" s="115" t="n">
        <f aca="false">(K-(L0-Y229*Ldif-alph*Y229^0.5))/R0</f>
        <v>0.755582451030363</v>
      </c>
      <c r="AA229" s="113" t="n">
        <f aca="false">IF(Z229&lt;1,X$14*((1-r_1)-Y$14*(1-r_1^2)+Z$14*(1-r_1^3)),0)</f>
        <v>1045448.91927569</v>
      </c>
      <c r="AB229" s="97" t="n">
        <f aca="false">AB228+AB$15</f>
        <v>0.000837823748588561</v>
      </c>
      <c r="AC229" s="115" t="n">
        <f aca="false">(Kopt-(L0-AB229*Ldif-alph*AB229^0.5))/R0</f>
        <v>0.755582451030363</v>
      </c>
      <c r="AD229" s="113" t="n">
        <f aca="false">IF(AC229&lt;1,X$14*((1-ropt)-Y$14*(1-ropt^2)+Z$14*(1-ropt^3)),0)</f>
        <v>1045448.91927569</v>
      </c>
    </row>
    <row r="230" customFormat="false" ht="12.75" hidden="false" customHeight="false" outlineLevel="0" collapsed="false">
      <c r="J230" s="67"/>
      <c r="K230" s="67"/>
      <c r="L230" s="151"/>
      <c r="M230" s="151"/>
      <c r="N230" s="151"/>
      <c r="O230" s="69"/>
      <c r="P230" s="69"/>
      <c r="Q230" s="69"/>
      <c r="R230" s="69"/>
      <c r="S230" s="69"/>
      <c r="T230" s="69"/>
      <c r="U230" s="69"/>
      <c r="V230" s="69"/>
      <c r="W230" s="159"/>
      <c r="X230" s="102" t="n">
        <v>789</v>
      </c>
      <c r="Y230" s="124" t="n">
        <f aca="false">Y229+Y$16</f>
        <v>0.000841813385486601</v>
      </c>
      <c r="Z230" s="115" t="n">
        <f aca="false">(K-(L0-Y230*Ldif-alph*Y230^0.5))/R0</f>
        <v>0.756074132586709</v>
      </c>
      <c r="AA230" s="113" t="n">
        <f aca="false">IF(Z230&lt;1,X$14*((1-r_1)-Y$14*(1-r_1^2)+Z$14*(1-r_1^3)),0)</f>
        <v>1041247.00388321</v>
      </c>
      <c r="AB230" s="97" t="n">
        <f aca="false">AB229+AB$15</f>
        <v>0.000841813385486601</v>
      </c>
      <c r="AC230" s="115" t="n">
        <f aca="false">(Kopt-(L0-AB230*Ldif-alph*AB230^0.5))/R0</f>
        <v>0.756074132586709</v>
      </c>
      <c r="AD230" s="113" t="n">
        <f aca="false">IF(AC230&lt;1,X$14*((1-ropt)-Y$14*(1-ropt^2)+Z$14*(1-ropt^3)),0)</f>
        <v>1041247.00388321</v>
      </c>
    </row>
    <row r="231" customFormat="false" ht="12.75" hidden="false" customHeight="false" outlineLevel="0" collapsed="false">
      <c r="J231" s="67"/>
      <c r="K231" s="67"/>
      <c r="L231" s="151"/>
      <c r="M231" s="151"/>
      <c r="N231" s="151"/>
      <c r="O231" s="69"/>
      <c r="P231" s="69"/>
      <c r="Q231" s="69"/>
      <c r="R231" s="69"/>
      <c r="S231" s="69"/>
      <c r="T231" s="69"/>
      <c r="U231" s="69"/>
      <c r="V231" s="69"/>
      <c r="W231" s="159"/>
      <c r="X231" s="102" t="n">
        <v>788</v>
      </c>
      <c r="Y231" s="124" t="n">
        <f aca="false">Y230+Y$16</f>
        <v>0.000845803022384642</v>
      </c>
      <c r="Z231" s="115" t="n">
        <f aca="false">(K-(L0-Y231*Ldif-alph*Y231^0.5))/R0</f>
        <v>0.756564650397525</v>
      </c>
      <c r="AA231" s="113" t="n">
        <f aca="false">IF(Z231&lt;1,X$14*((1-r_1)-Y$14*(1-r_1^2)+Z$14*(1-r_1^3)),0)</f>
        <v>1037063.46513139</v>
      </c>
      <c r="AB231" s="97" t="n">
        <f aca="false">AB230+AB$15</f>
        <v>0.000845803022384642</v>
      </c>
      <c r="AC231" s="115" t="n">
        <f aca="false">(Kopt-(L0-AB231*Ldif-alph*AB231^0.5))/R0</f>
        <v>0.756564650397525</v>
      </c>
      <c r="AD231" s="113" t="n">
        <f aca="false">IF(AC231&lt;1,X$14*((1-ropt)-Y$14*(1-ropt^2)+Z$14*(1-ropt^3)),0)</f>
        <v>1037063.46513139</v>
      </c>
    </row>
    <row r="232" customFormat="false" ht="12.75" hidden="false" customHeight="false" outlineLevel="0" collapsed="false">
      <c r="J232" s="67"/>
      <c r="K232" s="67"/>
      <c r="L232" s="151"/>
      <c r="M232" s="151"/>
      <c r="N232" s="151"/>
      <c r="O232" s="69"/>
      <c r="P232" s="69"/>
      <c r="Q232" s="69"/>
      <c r="R232" s="69"/>
      <c r="S232" s="69"/>
      <c r="T232" s="69"/>
      <c r="U232" s="69"/>
      <c r="V232" s="69"/>
      <c r="W232" s="159"/>
      <c r="X232" s="102" t="n">
        <v>787</v>
      </c>
      <c r="Y232" s="124" t="n">
        <f aca="false">Y231+Y$16</f>
        <v>0.000849792659282683</v>
      </c>
      <c r="Z232" s="115" t="n">
        <f aca="false">(K-(L0-Y232*Ldif-alph*Y232^0.5))/R0</f>
        <v>0.757054012687226</v>
      </c>
      <c r="AA232" s="113" t="n">
        <f aca="false">IF(Z232&lt;1,X$14*((1-r_1)-Y$14*(1-r_1^2)+Z$14*(1-r_1^3)),0)</f>
        <v>1032898.17314912</v>
      </c>
      <c r="AB232" s="97" t="n">
        <f aca="false">AB231+AB$15</f>
        <v>0.000849792659282683</v>
      </c>
      <c r="AC232" s="115" t="n">
        <f aca="false">(Kopt-(L0-AB232*Ldif-alph*AB232^0.5))/R0</f>
        <v>0.757054012687226</v>
      </c>
      <c r="AD232" s="113" t="n">
        <f aca="false">IF(AC232&lt;1,X$14*((1-ropt)-Y$14*(1-ropt^2)+Z$14*(1-ropt^3)),0)</f>
        <v>1032898.17314912</v>
      </c>
    </row>
    <row r="233" customFormat="false" ht="12.75" hidden="false" customHeight="false" outlineLevel="0" collapsed="false">
      <c r="J233" s="67"/>
      <c r="K233" s="67"/>
      <c r="L233" s="151"/>
      <c r="M233" s="151"/>
      <c r="N233" s="151"/>
      <c r="O233" s="69"/>
      <c r="P233" s="69"/>
      <c r="Q233" s="69"/>
      <c r="R233" s="69"/>
      <c r="S233" s="69"/>
      <c r="T233" s="69"/>
      <c r="U233" s="69"/>
      <c r="V233" s="69"/>
      <c r="W233" s="159"/>
      <c r="X233" s="102" t="n">
        <v>786</v>
      </c>
      <c r="Y233" s="124" t="n">
        <f aca="false">Y232+Y$16</f>
        <v>0.000853782296180724</v>
      </c>
      <c r="Z233" s="115" t="n">
        <f aca="false">(K-(L0-Y233*Ldif-alph*Y233^0.5))/R0</f>
        <v>0.757542227583794</v>
      </c>
      <c r="AA233" s="113" t="n">
        <f aca="false">IF(Z233&lt;1,X$14*((1-r_1)-Y$14*(1-r_1^2)+Z$14*(1-r_1^3)),0)</f>
        <v>1028750.999588</v>
      </c>
      <c r="AB233" s="97" t="n">
        <f aca="false">AB232+AB$15</f>
        <v>0.000853782296180724</v>
      </c>
      <c r="AC233" s="115" t="n">
        <f aca="false">(Kopt-(L0-AB233*Ldif-alph*AB233^0.5))/R0</f>
        <v>0.757542227583794</v>
      </c>
      <c r="AD233" s="113" t="n">
        <f aca="false">IF(AC233&lt;1,X$14*((1-ropt)-Y$14*(1-ropt^2)+Z$14*(1-ropt^3)),0)</f>
        <v>1028750.999588</v>
      </c>
    </row>
    <row r="234" customFormat="false" ht="12.75" hidden="false" customHeight="false" outlineLevel="0" collapsed="false">
      <c r="J234" s="67"/>
      <c r="K234" s="67"/>
      <c r="L234" s="151"/>
      <c r="M234" s="151"/>
      <c r="N234" s="151"/>
      <c r="O234" s="69"/>
      <c r="P234" s="69"/>
      <c r="Q234" s="69"/>
      <c r="R234" s="69"/>
      <c r="S234" s="69"/>
      <c r="T234" s="69"/>
      <c r="U234" s="69"/>
      <c r="V234" s="69"/>
      <c r="W234" s="159"/>
      <c r="X234" s="102" t="n">
        <v>785</v>
      </c>
      <c r="Y234" s="124" t="n">
        <f aca="false">Y233+Y$16</f>
        <v>0.000857771933078764</v>
      </c>
      <c r="Z234" s="115" t="n">
        <f aca="false">(K-(L0-Y234*Ldif-alph*Y234^0.5))/R0</f>
        <v>0.758029303120381</v>
      </c>
      <c r="AA234" s="113" t="n">
        <f aca="false">IF(Z234&lt;1,X$14*((1-r_1)-Y$14*(1-r_1^2)+Z$14*(1-r_1^3)),0)</f>
        <v>1024621.81759715</v>
      </c>
      <c r="AB234" s="97" t="n">
        <f aca="false">AB233+AB$15</f>
        <v>0.000857771933078764</v>
      </c>
      <c r="AC234" s="115" t="n">
        <f aca="false">(Kopt-(L0-AB234*Ldif-alph*AB234^0.5))/R0</f>
        <v>0.758029303120381</v>
      </c>
      <c r="AD234" s="113" t="n">
        <f aca="false">IF(AC234&lt;1,X$14*((1-ropt)-Y$14*(1-ropt^2)+Z$14*(1-ropt^3)),0)</f>
        <v>1024621.81759715</v>
      </c>
    </row>
    <row r="235" customFormat="false" ht="12.75" hidden="false" customHeight="false" outlineLevel="0" collapsed="false">
      <c r="J235" s="67"/>
      <c r="K235" s="67"/>
      <c r="L235" s="151"/>
      <c r="M235" s="151"/>
      <c r="N235" s="151"/>
      <c r="O235" s="69"/>
      <c r="P235" s="69"/>
      <c r="Q235" s="69"/>
      <c r="R235" s="69"/>
      <c r="S235" s="69"/>
      <c r="T235" s="69"/>
      <c r="U235" s="69"/>
      <c r="V235" s="69"/>
      <c r="W235" s="159"/>
      <c r="X235" s="102" t="n">
        <v>784</v>
      </c>
      <c r="Y235" s="124" t="n">
        <f aca="false">Y234+Y$16</f>
        <v>0.000861761569976805</v>
      </c>
      <c r="Z235" s="115" t="n">
        <f aca="false">(K-(L0-Y235*Ldif-alph*Y235^0.5))/R0</f>
        <v>0.758515247236825</v>
      </c>
      <c r="AA235" s="113" t="n">
        <f aca="false">IF(Z235&lt;1,X$14*((1-r_1)-Y$14*(1-r_1^2)+Z$14*(1-r_1^3)),0)</f>
        <v>1020510.50179911</v>
      </c>
      <c r="AB235" s="97" t="n">
        <f aca="false">AB234+AB$15</f>
        <v>0.000861761569976805</v>
      </c>
      <c r="AC235" s="115" t="n">
        <f aca="false">(Kopt-(L0-AB235*Ldif-alph*AB235^0.5))/R0</f>
        <v>0.758515247236825</v>
      </c>
      <c r="AD235" s="113" t="n">
        <f aca="false">IF(AC235&lt;1,X$14*((1-ropt)-Y$14*(1-ropt^2)+Z$14*(1-ropt^3)),0)</f>
        <v>1020510.50179911</v>
      </c>
    </row>
    <row r="236" customFormat="false" ht="12.75" hidden="false" customHeight="false" outlineLevel="0" collapsed="false">
      <c r="J236" s="67"/>
      <c r="K236" s="67"/>
      <c r="L236" s="151"/>
      <c r="M236" s="151"/>
      <c r="N236" s="151"/>
      <c r="O236" s="69"/>
      <c r="P236" s="69"/>
      <c r="Q236" s="69"/>
      <c r="R236" s="69"/>
      <c r="S236" s="69"/>
      <c r="T236" s="69"/>
      <c r="U236" s="69"/>
      <c r="V236" s="69"/>
      <c r="W236" s="159"/>
      <c r="X236" s="102" t="n">
        <v>783</v>
      </c>
      <c r="Y236" s="124" t="n">
        <f aca="false">Y235+Y$16</f>
        <v>0.000865751206874846</v>
      </c>
      <c r="Z236" s="115" t="n">
        <f aca="false">(K-(L0-Y236*Ldif-alph*Y236^0.5))/R0</f>
        <v>0.759000067781187</v>
      </c>
      <c r="AA236" s="113" t="n">
        <f aca="false">IF(Z236&lt;1,X$14*((1-r_1)-Y$14*(1-r_1^2)+Z$14*(1-r_1^3)),0)</f>
        <v>1016416.92826577</v>
      </c>
      <c r="AB236" s="97" t="n">
        <f aca="false">AB235+AB$15</f>
        <v>0.000865751206874846</v>
      </c>
      <c r="AC236" s="115" t="n">
        <f aca="false">(Kopt-(L0-AB236*Ldif-alph*AB236^0.5))/R0</f>
        <v>0.759000067781187</v>
      </c>
      <c r="AD236" s="113" t="n">
        <f aca="false">IF(AC236&lt;1,X$14*((1-ropt)-Y$14*(1-ropt^2)+Z$14*(1-ropt^3)),0)</f>
        <v>1016416.92826577</v>
      </c>
    </row>
    <row r="237" customFormat="false" ht="12.75" hidden="false" customHeight="false" outlineLevel="0" collapsed="false">
      <c r="J237" s="67"/>
      <c r="K237" s="67"/>
      <c r="L237" s="151"/>
      <c r="M237" s="151"/>
      <c r="N237" s="151"/>
      <c r="O237" s="69"/>
      <c r="P237" s="69"/>
      <c r="Q237" s="69"/>
      <c r="R237" s="69"/>
      <c r="S237" s="69"/>
      <c r="T237" s="69"/>
      <c r="U237" s="69"/>
      <c r="V237" s="69"/>
      <c r="W237" s="159"/>
      <c r="X237" s="102" t="n">
        <v>782</v>
      </c>
      <c r="Y237" s="124" t="n">
        <f aca="false">Y236+Y$16</f>
        <v>0.000869740843772887</v>
      </c>
      <c r="Z237" s="115" t="n">
        <f aca="false">(K-(L0-Y237*Ldif-alph*Y237^0.5))/R0</f>
        <v>0.759483772511201</v>
      </c>
      <c r="AA237" s="113" t="n">
        <f aca="false">IF(Z237&lt;1,X$14*((1-r_1)-Y$14*(1-r_1^2)+Z$14*(1-r_1^3)),0)</f>
        <v>1012340.97449527</v>
      </c>
      <c r="AB237" s="97" t="n">
        <f aca="false">AB236+AB$15</f>
        <v>0.000869740843772887</v>
      </c>
      <c r="AC237" s="115" t="n">
        <f aca="false">(Kopt-(L0-AB237*Ldif-alph*AB237^0.5))/R0</f>
        <v>0.759483772511201</v>
      </c>
      <c r="AD237" s="113" t="n">
        <f aca="false">IF(AC237&lt;1,X$14*((1-ropt)-Y$14*(1-ropt^2)+Z$14*(1-ropt^3)),0)</f>
        <v>1012340.97449527</v>
      </c>
    </row>
    <row r="238" customFormat="false" ht="12.75" hidden="false" customHeight="false" outlineLevel="0" collapsed="false">
      <c r="J238" s="67"/>
      <c r="K238" s="67"/>
      <c r="L238" s="151"/>
      <c r="M238" s="151"/>
      <c r="N238" s="151"/>
      <c r="O238" s="69"/>
      <c r="P238" s="69"/>
      <c r="Q238" s="69"/>
      <c r="R238" s="69"/>
      <c r="S238" s="69"/>
      <c r="T238" s="69"/>
      <c r="U238" s="69"/>
      <c r="V238" s="69"/>
      <c r="W238" s="159"/>
      <c r="X238" s="102" t="n">
        <v>781</v>
      </c>
      <c r="Y238" s="124" t="n">
        <f aca="false">Y237+Y$16</f>
        <v>0.000873730480670927</v>
      </c>
      <c r="Z238" s="115" t="n">
        <f aca="false">(K-(L0-Y238*Ldif-alph*Y238^0.5))/R0</f>
        <v>0.759966369095749</v>
      </c>
      <c r="AA238" s="113" t="n">
        <f aca="false">IF(Z238&lt;1,X$14*((1-r_1)-Y$14*(1-r_1^2)+Z$14*(1-r_1^3)),0)</f>
        <v>1008282.51938887</v>
      </c>
      <c r="AB238" s="97" t="n">
        <f aca="false">AB237+AB$15</f>
        <v>0.000873730480670927</v>
      </c>
      <c r="AC238" s="115" t="n">
        <f aca="false">(Kopt-(L0-AB238*Ldif-alph*AB238^0.5))/R0</f>
        <v>0.759966369095749</v>
      </c>
      <c r="AD238" s="113" t="n">
        <f aca="false">IF(AC238&lt;1,X$14*((1-ropt)-Y$14*(1-ropt^2)+Z$14*(1-ropt^3)),0)</f>
        <v>1008282.51938887</v>
      </c>
    </row>
    <row r="239" customFormat="false" ht="12.75" hidden="false" customHeight="false" outlineLevel="0" collapsed="false">
      <c r="J239" s="67"/>
      <c r="K239" s="67"/>
      <c r="L239" s="151"/>
      <c r="M239" s="151"/>
      <c r="N239" s="151"/>
      <c r="O239" s="69"/>
      <c r="P239" s="69"/>
      <c r="Q239" s="69"/>
      <c r="R239" s="69"/>
      <c r="S239" s="69"/>
      <c r="T239" s="69"/>
      <c r="U239" s="69"/>
      <c r="V239" s="69"/>
      <c r="W239" s="159"/>
      <c r="X239" s="102" t="n">
        <v>780</v>
      </c>
      <c r="Y239" s="124" t="n">
        <f aca="false">Y238+Y$16</f>
        <v>0.000877720117568968</v>
      </c>
      <c r="Z239" s="115" t="n">
        <f aca="false">(K-(L0-Y239*Ldif-alph*Y239^0.5))/R0</f>
        <v>0.760447865116262</v>
      </c>
      <c r="AA239" s="113" t="n">
        <f aca="false">IF(Z239&lt;1,X$14*((1-r_1)-Y$14*(1-r_1^2)+Z$14*(1-r_1^3)),0)</f>
        <v>1004241.44322874</v>
      </c>
      <c r="AB239" s="97" t="n">
        <f aca="false">AB238+AB$15</f>
        <v>0.000877720117568968</v>
      </c>
      <c r="AC239" s="115" t="n">
        <f aca="false">(Kopt-(L0-AB239*Ldif-alph*AB239^0.5))/R0</f>
        <v>0.760447865116262</v>
      </c>
      <c r="AD239" s="113" t="n">
        <f aca="false">IF(AC239&lt;1,X$14*((1-ropt)-Y$14*(1-ropt^2)+Z$14*(1-ropt^3)),0)</f>
        <v>1004241.44322874</v>
      </c>
    </row>
    <row r="240" customFormat="false" ht="12.75" hidden="false" customHeight="false" outlineLevel="0" collapsed="false">
      <c r="J240" s="67"/>
      <c r="K240" s="67"/>
      <c r="L240" s="151"/>
      <c r="M240" s="151"/>
      <c r="N240" s="151"/>
      <c r="O240" s="69"/>
      <c r="P240" s="69"/>
      <c r="Q240" s="69"/>
      <c r="R240" s="69"/>
      <c r="S240" s="69"/>
      <c r="T240" s="69"/>
      <c r="U240" s="69"/>
      <c r="V240" s="69"/>
      <c r="W240" s="159"/>
      <c r="X240" s="102" t="n">
        <v>779</v>
      </c>
      <c r="Y240" s="124" t="n">
        <f aca="false">Y239+Y$16</f>
        <v>0.000881709754467009</v>
      </c>
      <c r="Z240" s="115" t="n">
        <f aca="false">(K-(L0-Y240*Ldif-alph*Y240^0.5))/R0</f>
        <v>0.760928268068119</v>
      </c>
      <c r="AA240" s="113" t="n">
        <f aca="false">IF(Z240&lt;1,X$14*((1-r_1)-Y$14*(1-r_1^2)+Z$14*(1-r_1^3)),0)</f>
        <v>1000217.62765591</v>
      </c>
      <c r="AB240" s="97" t="n">
        <f aca="false">AB239+AB$15</f>
        <v>0.000881709754467009</v>
      </c>
      <c r="AC240" s="115" t="n">
        <f aca="false">(Kopt-(L0-AB240*Ldif-alph*AB240^0.5))/R0</f>
        <v>0.760928268068119</v>
      </c>
      <c r="AD240" s="113" t="n">
        <f aca="false">IF(AC240&lt;1,X$14*((1-ropt)-Y$14*(1-ropt^2)+Z$14*(1-ropt^3)),0)</f>
        <v>1000217.62765591</v>
      </c>
    </row>
    <row r="241" customFormat="false" ht="12.75" hidden="false" customHeight="false" outlineLevel="0" collapsed="false">
      <c r="J241" s="67"/>
      <c r="K241" s="67"/>
      <c r="L241" s="151"/>
      <c r="M241" s="151"/>
      <c r="N241" s="151"/>
      <c r="O241" s="69"/>
      <c r="P241" s="69"/>
      <c r="Q241" s="69"/>
      <c r="R241" s="69"/>
      <c r="S241" s="69"/>
      <c r="T241" s="69"/>
      <c r="U241" s="69"/>
      <c r="V241" s="69"/>
      <c r="W241" s="159"/>
      <c r="X241" s="102" t="n">
        <v>778</v>
      </c>
      <c r="Y241" s="124" t="n">
        <f aca="false">Y240+Y$16</f>
        <v>0.00088569939136505</v>
      </c>
      <c r="Z241" s="115" t="n">
        <f aca="false">(K-(L0-Y241*Ldif-alph*Y241^0.5))/R0</f>
        <v>0.761407585361997</v>
      </c>
      <c r="AA241" s="113" t="n">
        <f aca="false">IF(Z241&lt;1,X$14*((1-r_1)-Y$14*(1-r_1^2)+Z$14*(1-r_1^3)),0)</f>
        <v>996210.955648872</v>
      </c>
      <c r="AB241" s="97" t="n">
        <f aca="false">AB240+AB$15</f>
        <v>0.00088569939136505</v>
      </c>
      <c r="AC241" s="115" t="n">
        <f aca="false">(Kopt-(L0-AB241*Ldif-alph*AB241^0.5))/R0</f>
        <v>0.761407585361997</v>
      </c>
      <c r="AD241" s="113" t="n">
        <f aca="false">IF(AC241&lt;1,X$14*((1-ropt)-Y$14*(1-ropt^2)+Z$14*(1-ropt^3)),0)</f>
        <v>996210.955648872</v>
      </c>
    </row>
    <row r="242" customFormat="false" ht="12.75" hidden="false" customHeight="false" outlineLevel="0" collapsed="false">
      <c r="J242" s="67"/>
      <c r="K242" s="67"/>
      <c r="L242" s="151"/>
      <c r="M242" s="151"/>
      <c r="N242" s="151"/>
      <c r="O242" s="69"/>
      <c r="P242" s="69"/>
      <c r="Q242" s="69"/>
      <c r="R242" s="69"/>
      <c r="S242" s="69"/>
      <c r="T242" s="69"/>
      <c r="U242" s="69"/>
      <c r="V242" s="69"/>
      <c r="W242" s="159"/>
      <c r="X242" s="102" t="n">
        <v>777</v>
      </c>
      <c r="Y242" s="124" t="n">
        <f aca="false">Y241+Y$16</f>
        <v>0.00088968902826309</v>
      </c>
      <c r="Z242" s="115" t="n">
        <f aca="false">(K-(L0-Y242*Ldif-alph*Y242^0.5))/R0</f>
        <v>0.761885824325224</v>
      </c>
      <c r="AA242" s="113" t="n">
        <f aca="false">IF(Z242&lt;1,X$14*((1-r_1)-Y$14*(1-r_1^2)+Z$14*(1-r_1^3)),0)</f>
        <v>992221.311502366</v>
      </c>
      <c r="AB242" s="97" t="n">
        <f aca="false">AB241+AB$15</f>
        <v>0.00088968902826309</v>
      </c>
      <c r="AC242" s="115" t="n">
        <f aca="false">(Kopt-(L0-AB242*Ldif-alph*AB242^0.5))/R0</f>
        <v>0.761885824325224</v>
      </c>
      <c r="AD242" s="113" t="n">
        <f aca="false">IF(AC242&lt;1,X$14*((1-ropt)-Y$14*(1-ropt^2)+Z$14*(1-ropt^3)),0)</f>
        <v>992221.311502366</v>
      </c>
    </row>
    <row r="243" customFormat="false" ht="12.75" hidden="false" customHeight="false" outlineLevel="0" collapsed="false">
      <c r="J243" s="67"/>
      <c r="K243" s="67"/>
      <c r="L243" s="151"/>
      <c r="M243" s="151"/>
      <c r="N243" s="151"/>
      <c r="O243" s="69"/>
      <c r="P243" s="69"/>
      <c r="Q243" s="69"/>
      <c r="R243" s="69"/>
      <c r="S243" s="69"/>
      <c r="T243" s="69"/>
      <c r="U243" s="69"/>
      <c r="V243" s="69"/>
      <c r="W243" s="159"/>
      <c r="X243" s="102" t="n">
        <v>776</v>
      </c>
      <c r="Y243" s="124" t="n">
        <f aca="false">Y242+Y$16</f>
        <v>0.000893678665161131</v>
      </c>
      <c r="Z243" s="115" t="n">
        <f aca="false">(K-(L0-Y243*Ldif-alph*Y243^0.5))/R0</f>
        <v>0.762362992203065</v>
      </c>
      <c r="AA243" s="113" t="n">
        <f aca="false">IF(Z243&lt;1,X$14*((1-r_1)-Y$14*(1-r_1^2)+Z$14*(1-r_1^3)),0)</f>
        <v>988248.580806913</v>
      </c>
      <c r="AB243" s="97" t="n">
        <f aca="false">AB242+AB$15</f>
        <v>0.000893678665161131</v>
      </c>
      <c r="AC243" s="115" t="n">
        <f aca="false">(Kopt-(L0-AB243*Ldif-alph*AB243^0.5))/R0</f>
        <v>0.762362992203065</v>
      </c>
      <c r="AD243" s="113" t="n">
        <f aca="false">IF(AC243&lt;1,X$14*((1-ropt)-Y$14*(1-ropt^2)+Z$14*(1-ropt^3)),0)</f>
        <v>988248.580806913</v>
      </c>
    </row>
    <row r="244" customFormat="false" ht="12.75" hidden="false" customHeight="false" outlineLevel="0" collapsed="false">
      <c r="J244" s="67"/>
      <c r="K244" s="67"/>
      <c r="L244" s="151"/>
      <c r="M244" s="151"/>
      <c r="N244" s="151"/>
      <c r="O244" s="69"/>
      <c r="P244" s="69"/>
      <c r="Q244" s="69"/>
      <c r="R244" s="69"/>
      <c r="S244" s="69"/>
      <c r="T244" s="69"/>
      <c r="U244" s="69"/>
      <c r="V244" s="69"/>
      <c r="W244" s="159"/>
      <c r="X244" s="102" t="n">
        <v>775</v>
      </c>
      <c r="Y244" s="124" t="n">
        <f aca="false">Y243+Y$16</f>
        <v>0.000897668302059172</v>
      </c>
      <c r="Z244" s="115" t="n">
        <f aca="false">(K-(L0-Y244*Ldif-alph*Y244^0.5))/R0</f>
        <v>0.762839096160017</v>
      </c>
      <c r="AA244" s="113" t="n">
        <f aca="false">IF(Z244&lt;1,X$14*((1-r_1)-Y$14*(1-r_1^2)+Z$14*(1-r_1^3)),0)</f>
        <v>984292.650428459</v>
      </c>
      <c r="AB244" s="97" t="n">
        <f aca="false">AB243+AB$15</f>
        <v>0.000897668302059172</v>
      </c>
      <c r="AC244" s="115" t="n">
        <f aca="false">(Kopt-(L0-AB244*Ldif-alph*AB244^0.5))/R0</f>
        <v>0.762839096160017</v>
      </c>
      <c r="AD244" s="113" t="n">
        <f aca="false">IF(AC244&lt;1,X$14*((1-ropt)-Y$14*(1-ropt^2)+Z$14*(1-ropt^3)),0)</f>
        <v>984292.650428459</v>
      </c>
    </row>
    <row r="245" customFormat="false" ht="12.75" hidden="false" customHeight="false" outlineLevel="0" collapsed="false">
      <c r="J245" s="67"/>
      <c r="K245" s="67"/>
      <c r="L245" s="151"/>
      <c r="M245" s="151"/>
      <c r="N245" s="151"/>
      <c r="O245" s="69"/>
      <c r="P245" s="69"/>
      <c r="Q245" s="69"/>
      <c r="R245" s="69"/>
      <c r="S245" s="69"/>
      <c r="T245" s="69"/>
      <c r="U245" s="69"/>
      <c r="V245" s="69"/>
      <c r="W245" s="159"/>
      <c r="X245" s="102" t="n">
        <v>774</v>
      </c>
      <c r="Y245" s="124" t="n">
        <f aca="false">Y244+Y$16</f>
        <v>0.000901657938957213</v>
      </c>
      <c r="Z245" s="115" t="n">
        <f aca="false">(K-(L0-Y245*Ldif-alph*Y245^0.5))/R0</f>
        <v>0.763314143281058</v>
      </c>
      <c r="AA245" s="113" t="n">
        <f aca="false">IF(Z245&lt;1,X$14*((1-r_1)-Y$14*(1-r_1^2)+Z$14*(1-r_1^3)),0)</f>
        <v>980353.408488643</v>
      </c>
      <c r="AB245" s="97" t="n">
        <f aca="false">AB244+AB$15</f>
        <v>0.000901657938957213</v>
      </c>
      <c r="AC245" s="115" t="n">
        <f aca="false">(Kopt-(L0-AB245*Ldif-alph*AB245^0.5))/R0</f>
        <v>0.763314143281058</v>
      </c>
      <c r="AD245" s="113" t="n">
        <f aca="false">IF(AC245&lt;1,X$14*((1-ropt)-Y$14*(1-ropt^2)+Z$14*(1-ropt^3)),0)</f>
        <v>980353.408488643</v>
      </c>
    </row>
    <row r="246" customFormat="false" ht="12.75" hidden="false" customHeight="false" outlineLevel="0" collapsed="false">
      <c r="J246" s="67"/>
      <c r="K246" s="67"/>
      <c r="L246" s="151"/>
      <c r="M246" s="151"/>
      <c r="N246" s="151"/>
      <c r="O246" s="69"/>
      <c r="P246" s="69"/>
      <c r="Q246" s="69"/>
      <c r="R246" s="69"/>
      <c r="S246" s="69"/>
      <c r="T246" s="69"/>
      <c r="U246" s="69"/>
      <c r="V246" s="69"/>
      <c r="W246" s="159"/>
      <c r="X246" s="102" t="n">
        <v>773</v>
      </c>
      <c r="Y246" s="124" t="n">
        <f aca="false">Y245+Y$16</f>
        <v>0.000905647575855253</v>
      </c>
      <c r="Z246" s="115" t="n">
        <f aca="false">(K-(L0-Y246*Ldif-alph*Y246^0.5))/R0</f>
        <v>0.763788140572874</v>
      </c>
      <c r="AA246" s="113" t="n">
        <f aca="false">IF(Z246&lt;1,X$14*((1-r_1)-Y$14*(1-r_1^2)+Z$14*(1-r_1^3)),0)</f>
        <v>976430.744345361</v>
      </c>
      <c r="AB246" s="97" t="n">
        <f aca="false">AB245+AB$15</f>
        <v>0.000905647575855253</v>
      </c>
      <c r="AC246" s="115" t="n">
        <f aca="false">(Kopt-(L0-AB246*Ldif-alph*AB246^0.5))/R0</f>
        <v>0.763788140572874</v>
      </c>
      <c r="AD246" s="113" t="n">
        <f aca="false">IF(AC246&lt;1,X$14*((1-ropt)-Y$14*(1-ropt^2)+Z$14*(1-ropt^3)),0)</f>
        <v>976430.744345361</v>
      </c>
    </row>
    <row r="247" customFormat="false" ht="12.75" hidden="false" customHeight="false" outlineLevel="0" collapsed="false">
      <c r="J247" s="67"/>
      <c r="K247" s="67"/>
      <c r="L247" s="151"/>
      <c r="M247" s="151"/>
      <c r="N247" s="151"/>
      <c r="O247" s="69"/>
      <c r="P247" s="69"/>
      <c r="Q247" s="69"/>
      <c r="R247" s="69"/>
      <c r="S247" s="69"/>
      <c r="T247" s="69"/>
      <c r="U247" s="69"/>
      <c r="V247" s="69"/>
      <c r="W247" s="159"/>
      <c r="X247" s="102" t="n">
        <v>772</v>
      </c>
      <c r="Y247" s="124" t="n">
        <f aca="false">Y246+Y$16</f>
        <v>0.000909637212753294</v>
      </c>
      <c r="Z247" s="115" t="n">
        <f aca="false">(K-(L0-Y247*Ldif-alph*Y247^0.5))/R0</f>
        <v>0.764261094965078</v>
      </c>
      <c r="AA247" s="113" t="n">
        <f aca="false">IF(Z247&lt;1,X$14*((1-r_1)-Y$14*(1-r_1^2)+Z$14*(1-r_1^3)),0)</f>
        <v>972524.548573619</v>
      </c>
      <c r="AB247" s="97" t="n">
        <f aca="false">AB246+AB$15</f>
        <v>0.000909637212753294</v>
      </c>
      <c r="AC247" s="115" t="n">
        <f aca="false">(Kopt-(L0-AB247*Ldif-alph*AB247^0.5))/R0</f>
        <v>0.764261094965078</v>
      </c>
      <c r="AD247" s="113" t="n">
        <f aca="false">IF(AC247&lt;1,X$14*((1-ropt)-Y$14*(1-ropt^2)+Z$14*(1-ropt^3)),0)</f>
        <v>972524.548573619</v>
      </c>
    </row>
    <row r="248" customFormat="false" ht="12.75" hidden="false" customHeight="false" outlineLevel="0" collapsed="false">
      <c r="J248" s="67"/>
      <c r="K248" s="67"/>
      <c r="L248" s="151"/>
      <c r="M248" s="151"/>
      <c r="N248" s="151"/>
      <c r="O248" s="69"/>
      <c r="P248" s="69"/>
      <c r="Q248" s="69"/>
      <c r="R248" s="69"/>
      <c r="S248" s="69"/>
      <c r="T248" s="69"/>
      <c r="U248" s="69"/>
      <c r="V248" s="69"/>
      <c r="W248" s="159"/>
      <c r="X248" s="102" t="n">
        <v>771</v>
      </c>
      <c r="Y248" s="124" t="n">
        <f aca="false">Y247+Y$16</f>
        <v>0.000913626849651335</v>
      </c>
      <c r="Z248" s="115" t="n">
        <f aca="false">(K-(L0-Y248*Ldif-alph*Y248^0.5))/R0</f>
        <v>0.764733013311372</v>
      </c>
      <c r="AA248" s="113" t="n">
        <f aca="false">IF(Z248&lt;1,X$14*((1-r_1)-Y$14*(1-r_1^2)+Z$14*(1-r_1^3)),0)</f>
        <v>968634.712947076</v>
      </c>
      <c r="AB248" s="97" t="n">
        <f aca="false">AB247+AB$15</f>
        <v>0.000913626849651335</v>
      </c>
      <c r="AC248" s="115" t="n">
        <f aca="false">(Kopt-(L0-AB248*Ldif-alph*AB248^0.5))/R0</f>
        <v>0.764733013311372</v>
      </c>
      <c r="AD248" s="113" t="n">
        <f aca="false">IF(AC248&lt;1,X$14*((1-ropt)-Y$14*(1-ropt^2)+Z$14*(1-ropt^3)),0)</f>
        <v>968634.712947076</v>
      </c>
    </row>
    <row r="249" customFormat="false" ht="12.75" hidden="false" customHeight="false" outlineLevel="0" collapsed="false">
      <c r="J249" s="67"/>
      <c r="K249" s="67"/>
      <c r="L249" s="151"/>
      <c r="M249" s="151"/>
      <c r="N249" s="151"/>
      <c r="O249" s="69"/>
      <c r="P249" s="69"/>
      <c r="Q249" s="69"/>
      <c r="R249" s="69"/>
      <c r="S249" s="69"/>
      <c r="T249" s="69"/>
      <c r="U249" s="69"/>
      <c r="V249" s="69"/>
      <c r="W249" s="159"/>
      <c r="X249" s="102" t="n">
        <v>770</v>
      </c>
      <c r="Y249" s="124" t="n">
        <f aca="false">Y248+Y$16</f>
        <v>0.000917616486549375</v>
      </c>
      <c r="Z249" s="115" t="n">
        <f aca="false">(K-(L0-Y249*Ldif-alph*Y249^0.5))/R0</f>
        <v>0.765203902390729</v>
      </c>
      <c r="AA249" s="113" t="n">
        <f aca="false">IF(Z249&lt;1,X$14*((1-r_1)-Y$14*(1-r_1^2)+Z$14*(1-r_1^3)),0)</f>
        <v>964761.130419488</v>
      </c>
      <c r="AB249" s="97" t="n">
        <f aca="false">AB248+AB$15</f>
        <v>0.000917616486549375</v>
      </c>
      <c r="AC249" s="115" t="n">
        <f aca="false">(Kopt-(L0-AB249*Ldif-alph*AB249^0.5))/R0</f>
        <v>0.765203902390729</v>
      </c>
      <c r="AD249" s="113" t="n">
        <f aca="false">IF(AC249&lt;1,X$14*((1-ropt)-Y$14*(1-ropt^2)+Z$14*(1-ropt^3)),0)</f>
        <v>964761.130419488</v>
      </c>
    </row>
    <row r="250" customFormat="false" ht="12.75" hidden="false" customHeight="false" outlineLevel="0" collapsed="false">
      <c r="J250" s="67"/>
      <c r="K250" s="67"/>
      <c r="L250" s="151"/>
      <c r="M250" s="151"/>
      <c r="N250" s="151"/>
      <c r="O250" s="69"/>
      <c r="P250" s="69"/>
      <c r="Q250" s="69"/>
      <c r="R250" s="69"/>
      <c r="S250" s="69"/>
      <c r="T250" s="69"/>
      <c r="U250" s="69"/>
      <c r="V250" s="69"/>
      <c r="W250" s="159"/>
      <c r="X250" s="102" t="n">
        <v>769</v>
      </c>
      <c r="Y250" s="124" t="n">
        <f aca="false">Y249+Y$16</f>
        <v>0.000921606123447416</v>
      </c>
      <c r="Z250" s="115" t="n">
        <f aca="false">(K-(L0-Y250*Ldif-alph*Y250^0.5))/R0</f>
        <v>0.765673768908507</v>
      </c>
      <c r="AA250" s="113" t="n">
        <f aca="false">IF(Z250&lt;1,X$14*((1-r_1)-Y$14*(1-r_1^2)+Z$14*(1-r_1^3)),0)</f>
        <v>960903.695107019</v>
      </c>
      <c r="AB250" s="97" t="n">
        <f aca="false">AB249+AB$15</f>
        <v>0.000921606123447416</v>
      </c>
      <c r="AC250" s="115" t="n">
        <f aca="false">(Kopt-(L0-AB250*Ldif-alph*AB250^0.5))/R0</f>
        <v>0.765673768908507</v>
      </c>
      <c r="AD250" s="113" t="n">
        <f aca="false">IF(AC250&lt;1,X$14*((1-ropt)-Y$14*(1-ropt^2)+Z$14*(1-ropt^3)),0)</f>
        <v>960903.695107019</v>
      </c>
    </row>
    <row r="251" customFormat="false" ht="12.75" hidden="false" customHeight="false" outlineLevel="0" collapsed="false">
      <c r="J251" s="67"/>
      <c r="K251" s="67"/>
      <c r="L251" s="151"/>
      <c r="M251" s="151"/>
      <c r="N251" s="151"/>
      <c r="O251" s="69"/>
      <c r="P251" s="69"/>
      <c r="Q251" s="69"/>
      <c r="R251" s="69"/>
      <c r="S251" s="69"/>
      <c r="T251" s="69"/>
      <c r="U251" s="69"/>
      <c r="V251" s="69"/>
      <c r="W251" s="159"/>
      <c r="X251" s="102" t="n">
        <v>768</v>
      </c>
      <c r="Y251" s="124" t="n">
        <f aca="false">Y250+Y$16</f>
        <v>0.000925595760345457</v>
      </c>
      <c r="Z251" s="115" t="n">
        <f aca="false">(K-(L0-Y251*Ldif-alph*Y251^0.5))/R0</f>
        <v>0.766142619497579</v>
      </c>
      <c r="AA251" s="113" t="n">
        <f aca="false">IF(Z251&lt;1,X$14*((1-r_1)-Y$14*(1-r_1^2)+Z$14*(1-r_1^3)),0)</f>
        <v>957062.302270446</v>
      </c>
      <c r="AB251" s="97" t="n">
        <f aca="false">AB250+AB$15</f>
        <v>0.000925595760345457</v>
      </c>
      <c r="AC251" s="115" t="n">
        <f aca="false">(Kopt-(L0-AB251*Ldif-alph*AB251^0.5))/R0</f>
        <v>0.766142619497579</v>
      </c>
      <c r="AD251" s="113" t="n">
        <f aca="false">IF(AC251&lt;1,X$14*((1-ropt)-Y$14*(1-ropt^2)+Z$14*(1-ropt^3)),0)</f>
        <v>957062.302270446</v>
      </c>
    </row>
    <row r="252" customFormat="false" ht="12.75" hidden="false" customHeight="false" outlineLevel="0" collapsed="false">
      <c r="J252" s="67"/>
      <c r="K252" s="67"/>
      <c r="L252" s="151"/>
      <c r="M252" s="151"/>
      <c r="N252" s="151"/>
      <c r="O252" s="69"/>
      <c r="P252" s="69"/>
      <c r="Q252" s="69"/>
      <c r="R252" s="69"/>
      <c r="S252" s="69"/>
      <c r="T252" s="69"/>
      <c r="U252" s="69"/>
      <c r="V252" s="69"/>
      <c r="W252" s="159"/>
      <c r="X252" s="102" t="n">
        <v>767</v>
      </c>
      <c r="Y252" s="124" t="n">
        <f aca="false">Y251+Y$16</f>
        <v>0.000929585397243498</v>
      </c>
      <c r="Z252" s="115" t="n">
        <f aca="false">(K-(L0-Y252*Ldif-alph*Y252^0.5))/R0</f>
        <v>0.766610460719414</v>
      </c>
      <c r="AA252" s="113" t="n">
        <f aca="false">IF(Z252&lt;1,X$14*((1-r_1)-Y$14*(1-r_1^2)+Z$14*(1-r_1^3)),0)</f>
        <v>953236.848298075</v>
      </c>
      <c r="AB252" s="97" t="n">
        <f aca="false">AB251+AB$15</f>
        <v>0.000929585397243498</v>
      </c>
      <c r="AC252" s="115" t="n">
        <f aca="false">(Kopt-(L0-AB252*Ldif-alph*AB252^0.5))/R0</f>
        <v>0.766610460719414</v>
      </c>
      <c r="AD252" s="113" t="n">
        <f aca="false">IF(AC252&lt;1,X$14*((1-ropt)-Y$14*(1-ropt^2)+Z$14*(1-ropt^3)),0)</f>
        <v>953236.848298075</v>
      </c>
    </row>
    <row r="253" customFormat="false" ht="12.75" hidden="false" customHeight="false" outlineLevel="0" collapsed="false">
      <c r="J253" s="67"/>
      <c r="K253" s="67"/>
      <c r="L253" s="151"/>
      <c r="M253" s="151"/>
      <c r="N253" s="151"/>
      <c r="O253" s="69"/>
      <c r="P253" s="69"/>
      <c r="Q253" s="69"/>
      <c r="R253" s="69"/>
      <c r="S253" s="69"/>
      <c r="T253" s="69"/>
      <c r="U253" s="69"/>
      <c r="V253" s="69"/>
      <c r="W253" s="159"/>
      <c r="X253" s="102" t="n">
        <v>766</v>
      </c>
      <c r="Y253" s="124" t="n">
        <f aca="false">Y252+Y$16</f>
        <v>0.000933575034141538</v>
      </c>
      <c r="Z253" s="115" t="n">
        <f aca="false">(K-(L0-Y253*Ldif-alph*Y253^0.5))/R0</f>
        <v>0.76707729906516</v>
      </c>
      <c r="AA253" s="113" t="n">
        <f aca="false">IF(Z253&lt;1,X$14*((1-r_1)-Y$14*(1-r_1^2)+Z$14*(1-r_1^3)),0)</f>
        <v>949427.230688666</v>
      </c>
      <c r="AB253" s="97" t="n">
        <f aca="false">AB252+AB$15</f>
        <v>0.000933575034141538</v>
      </c>
      <c r="AC253" s="115" t="n">
        <f aca="false">(Kopt-(L0-AB253*Ldif-alph*AB253^0.5))/R0</f>
        <v>0.76707729906516</v>
      </c>
      <c r="AD253" s="113" t="n">
        <f aca="false">IF(AC253&lt;1,X$14*((1-ropt)-Y$14*(1-ropt^2)+Z$14*(1-ropt^3)),0)</f>
        <v>949427.230688666</v>
      </c>
    </row>
    <row r="254" customFormat="false" ht="12.75" hidden="false" customHeight="false" outlineLevel="0" collapsed="false">
      <c r="J254" s="67"/>
      <c r="K254" s="67"/>
      <c r="L254" s="151"/>
      <c r="M254" s="151"/>
      <c r="N254" s="151"/>
      <c r="O254" s="69"/>
      <c r="P254" s="69"/>
      <c r="Q254" s="69"/>
      <c r="R254" s="69"/>
      <c r="S254" s="69"/>
      <c r="T254" s="69"/>
      <c r="U254" s="69"/>
      <c r="V254" s="69"/>
      <c r="W254" s="159"/>
      <c r="X254" s="102" t="n">
        <v>765</v>
      </c>
      <c r="Y254" s="124" t="n">
        <f aca="false">Y253+Y$16</f>
        <v>0.000937564671039579</v>
      </c>
      <c r="Z254" s="115" t="n">
        <f aca="false">(K-(L0-Y254*Ldif-alph*Y254^0.5))/R0</f>
        <v>0.767543140956683</v>
      </c>
      <c r="AA254" s="113" t="n">
        <f aca="false">IF(Z254&lt;1,X$14*((1-r_1)-Y$14*(1-r_1^2)+Z$14*(1-r_1^3)),0)</f>
        <v>945633.34803498</v>
      </c>
      <c r="AB254" s="97" t="n">
        <f aca="false">AB253+AB$15</f>
        <v>0.000937564671039579</v>
      </c>
      <c r="AC254" s="115" t="n">
        <f aca="false">(Kopt-(L0-AB254*Ldif-alph*AB254^0.5))/R0</f>
        <v>0.767543140956683</v>
      </c>
      <c r="AD254" s="113" t="n">
        <f aca="false">IF(AC254&lt;1,X$14*((1-ropt)-Y$14*(1-ropt^2)+Z$14*(1-ropt^3)),0)</f>
        <v>945633.34803498</v>
      </c>
    </row>
    <row r="255" customFormat="false" ht="12.75" hidden="false" customHeight="false" outlineLevel="0" collapsed="false">
      <c r="J255" s="67"/>
      <c r="K255" s="67"/>
      <c r="L255" s="151"/>
      <c r="M255" s="151"/>
      <c r="N255" s="151"/>
      <c r="O255" s="69"/>
      <c r="P255" s="69"/>
      <c r="Q255" s="69"/>
      <c r="R255" s="69"/>
      <c r="S255" s="69"/>
      <c r="T255" s="69"/>
      <c r="U255" s="69"/>
      <c r="V255" s="69"/>
      <c r="W255" s="159"/>
      <c r="X255" s="102" t="n">
        <v>764</v>
      </c>
      <c r="Y255" s="124" t="n">
        <f aca="false">Y254+Y$16</f>
        <v>0.00094155430793762</v>
      </c>
      <c r="Z255" s="115" t="n">
        <f aca="false">(K-(L0-Y255*Ldif-alph*Y255^0.5))/R0</f>
        <v>0.76800799274761</v>
      </c>
      <c r="AA255" s="113" t="n">
        <f aca="false">IF(Z255&lt;1,X$14*((1-r_1)-Y$14*(1-r_1^2)+Z$14*(1-r_1^3)),0)</f>
        <v>941855.10000738</v>
      </c>
      <c r="AB255" s="97" t="n">
        <f aca="false">AB254+AB$15</f>
        <v>0.00094155430793762</v>
      </c>
      <c r="AC255" s="115" t="n">
        <f aca="false">(Kopt-(L0-AB255*Ldif-alph*AB255^0.5))/R0</f>
        <v>0.76800799274761</v>
      </c>
      <c r="AD255" s="113" t="n">
        <f aca="false">IF(AC255&lt;1,X$14*((1-ropt)-Y$14*(1-ropt^2)+Z$14*(1-ropt^3)),0)</f>
        <v>941855.10000738</v>
      </c>
    </row>
    <row r="256" customFormat="false" ht="12.75" hidden="false" customHeight="false" outlineLevel="0" collapsed="false">
      <c r="J256" s="67"/>
      <c r="K256" s="67"/>
      <c r="L256" s="151"/>
      <c r="M256" s="151"/>
      <c r="N256" s="151"/>
      <c r="O256" s="69"/>
      <c r="P256" s="69"/>
      <c r="Q256" s="69"/>
      <c r="R256" s="69"/>
      <c r="S256" s="69"/>
      <c r="T256" s="69"/>
      <c r="U256" s="69"/>
      <c r="V256" s="69"/>
      <c r="W256" s="159"/>
      <c r="X256" s="102" t="n">
        <v>763</v>
      </c>
      <c r="Y256" s="124" t="n">
        <f aca="false">Y255+Y$16</f>
        <v>0.000945543944835661</v>
      </c>
      <c r="Z256" s="115" t="n">
        <f aca="false">(K-(L0-Y256*Ldif-alph*Y256^0.5))/R0</f>
        <v>0.768471860724325</v>
      </c>
      <c r="AA256" s="113" t="n">
        <f aca="false">IF(Z256&lt;1,X$14*((1-r_1)-Y$14*(1-r_1^2)+Z$14*(1-r_1^3)),0)</f>
        <v>938092.387337991</v>
      </c>
      <c r="AB256" s="97" t="n">
        <f aca="false">AB255+AB$15</f>
        <v>0.000945543944835661</v>
      </c>
      <c r="AC256" s="115" t="n">
        <f aca="false">(Kopt-(L0-AB256*Ldif-alph*AB256^0.5))/R0</f>
        <v>0.768471860724325</v>
      </c>
      <c r="AD256" s="113" t="n">
        <f aca="false">IF(AC256&lt;1,X$14*((1-ropt)-Y$14*(1-ropt^2)+Z$14*(1-ropt^3)),0)</f>
        <v>938092.387337991</v>
      </c>
    </row>
    <row r="257" customFormat="false" ht="12.75" hidden="false" customHeight="false" outlineLevel="0" collapsed="false">
      <c r="J257" s="67"/>
      <c r="K257" s="67"/>
      <c r="L257" s="151"/>
      <c r="M257" s="151"/>
      <c r="N257" s="151"/>
      <c r="O257" s="69"/>
      <c r="P257" s="69"/>
      <c r="Q257" s="69"/>
      <c r="R257" s="69"/>
      <c r="S257" s="69"/>
      <c r="T257" s="69"/>
      <c r="U257" s="69"/>
      <c r="V257" s="69"/>
      <c r="W257" s="159"/>
      <c r="X257" s="102" t="n">
        <v>762</v>
      </c>
      <c r="Y257" s="124" t="n">
        <f aca="false">Y256+Y$16</f>
        <v>0.000949533581733701</v>
      </c>
      <c r="Z257" s="115" t="n">
        <f aca="false">(K-(L0-Y257*Ldif-alph*Y257^0.5))/R0</f>
        <v>0.768934751106977</v>
      </c>
      <c r="AA257" s="113" t="n">
        <f aca="false">IF(Z257&lt;1,X$14*((1-r_1)-Y$14*(1-r_1^2)+Z$14*(1-r_1^3)),0)</f>
        <v>934345.111804906</v>
      </c>
      <c r="AB257" s="97" t="n">
        <f aca="false">AB256+AB$15</f>
        <v>0.000949533581733701</v>
      </c>
      <c r="AC257" s="115" t="n">
        <f aca="false">(Kopt-(L0-AB257*Ldif-alph*AB257^0.5))/R0</f>
        <v>0.768934751106977</v>
      </c>
      <c r="AD257" s="113" t="n">
        <f aca="false">IF(AC257&lt;1,X$14*((1-ropt)-Y$14*(1-ropt^2)+Z$14*(1-ropt^3)),0)</f>
        <v>934345.111804906</v>
      </c>
    </row>
    <row r="258" customFormat="false" ht="12.75" hidden="false" customHeight="false" outlineLevel="0" collapsed="false">
      <c r="J258" s="67"/>
      <c r="K258" s="67"/>
      <c r="L258" s="151"/>
      <c r="M258" s="151"/>
      <c r="N258" s="151"/>
      <c r="O258" s="69"/>
      <c r="P258" s="69"/>
      <c r="Q258" s="69"/>
      <c r="R258" s="69"/>
      <c r="S258" s="69"/>
      <c r="T258" s="69"/>
      <c r="U258" s="69"/>
      <c r="V258" s="69"/>
      <c r="W258" s="159"/>
      <c r="X258" s="102" t="n">
        <v>761</v>
      </c>
      <c r="Y258" s="124" t="n">
        <f aca="false">Y257+Y$16</f>
        <v>0.000953523218631742</v>
      </c>
      <c r="Z258" s="115" t="n">
        <f aca="false">(K-(L0-Y258*Ldif-alph*Y258^0.5))/R0</f>
        <v>0.769396670050437</v>
      </c>
      <c r="AA258" s="113" t="n">
        <f aca="false">IF(Z258&lt;1,X$14*((1-r_1)-Y$14*(1-r_1^2)+Z$14*(1-r_1^3)),0)</f>
        <v>930613.176216975</v>
      </c>
      <c r="AB258" s="97" t="n">
        <f aca="false">AB257+AB$15</f>
        <v>0.000953523218631742</v>
      </c>
      <c r="AC258" s="115" t="n">
        <f aca="false">(Kopt-(L0-AB258*Ldif-alph*AB258^0.5))/R0</f>
        <v>0.769396670050437</v>
      </c>
      <c r="AD258" s="113" t="n">
        <f aca="false">IF(AC258&lt;1,X$14*((1-ropt)-Y$14*(1-ropt^2)+Z$14*(1-ropt^3)),0)</f>
        <v>930613.176216975</v>
      </c>
    </row>
    <row r="259" customFormat="false" ht="12.75" hidden="false" customHeight="false" outlineLevel="0" collapsed="false">
      <c r="J259" s="67"/>
      <c r="K259" s="67"/>
      <c r="L259" s="151"/>
      <c r="M259" s="151"/>
      <c r="N259" s="151"/>
      <c r="O259" s="69"/>
      <c r="P259" s="69"/>
      <c r="Q259" s="69"/>
      <c r="R259" s="69"/>
      <c r="S259" s="69"/>
      <c r="T259" s="69"/>
      <c r="U259" s="69"/>
      <c r="V259" s="69"/>
      <c r="W259" s="159"/>
      <c r="X259" s="102" t="n">
        <v>760</v>
      </c>
      <c r="Y259" s="124" t="n">
        <f aca="false">Y258+Y$16</f>
        <v>0.000957512855529783</v>
      </c>
      <c r="Z259" s="115" t="n">
        <f aca="false">(K-(L0-Y259*Ldif-alph*Y259^0.5))/R0</f>
        <v>0.769857623645273</v>
      </c>
      <c r="AA259" s="113" t="n">
        <f aca="false">IF(Z259&lt;1,X$14*((1-r_1)-Y$14*(1-r_1^2)+Z$14*(1-r_1^3)),0)</f>
        <v>926896.484398515</v>
      </c>
      <c r="AB259" s="97" t="n">
        <f aca="false">AB258+AB$15</f>
        <v>0.000957512855529783</v>
      </c>
      <c r="AC259" s="115" t="n">
        <f aca="false">(Kopt-(L0-AB259*Ldif-alph*AB259^0.5))/R0</f>
        <v>0.769857623645273</v>
      </c>
      <c r="AD259" s="113" t="n">
        <f aca="false">IF(AC259&lt;1,X$14*((1-ropt)-Y$14*(1-ropt^2)+Z$14*(1-ropt^3)),0)</f>
        <v>926896.484398515</v>
      </c>
    </row>
    <row r="260" customFormat="false" ht="12.75" hidden="false" customHeight="false" outlineLevel="0" collapsed="false">
      <c r="J260" s="67"/>
      <c r="K260" s="67"/>
      <c r="L260" s="151"/>
      <c r="M260" s="151"/>
      <c r="N260" s="151"/>
      <c r="O260" s="69"/>
      <c r="P260" s="69"/>
      <c r="Q260" s="69"/>
      <c r="R260" s="69"/>
      <c r="S260" s="69"/>
      <c r="T260" s="69"/>
      <c r="U260" s="69"/>
      <c r="V260" s="69"/>
      <c r="W260" s="159"/>
      <c r="X260" s="102" t="n">
        <v>759</v>
      </c>
      <c r="Y260" s="124" t="n">
        <f aca="false">Y259+Y$16</f>
        <v>0.000961502492427824</v>
      </c>
      <c r="Z260" s="115" t="n">
        <f aca="false">(K-(L0-Y260*Ldif-alph*Y260^0.5))/R0</f>
        <v>0.770317617918664</v>
      </c>
      <c r="AA260" s="113" t="n">
        <f aca="false">IF(Z260&lt;1,X$14*((1-r_1)-Y$14*(1-r_1^2)+Z$14*(1-r_1^3)),0)</f>
        <v>923194.941174745</v>
      </c>
      <c r="AB260" s="97" t="n">
        <f aca="false">AB259+AB$15</f>
        <v>0.000961502492427824</v>
      </c>
      <c r="AC260" s="115" t="n">
        <f aca="false">(Kopt-(L0-AB260*Ldif-alph*AB260^0.5))/R0</f>
        <v>0.770317617918664</v>
      </c>
      <c r="AD260" s="113" t="n">
        <f aca="false">IF(AC260&lt;1,X$14*((1-ropt)-Y$14*(1-ropt^2)+Z$14*(1-ropt^3)),0)</f>
        <v>923194.941174745</v>
      </c>
    </row>
    <row r="261" customFormat="false" ht="12.75" hidden="false" customHeight="false" outlineLevel="0" collapsed="false">
      <c r="J261" s="67"/>
      <c r="K261" s="67"/>
      <c r="L261" s="151"/>
      <c r="M261" s="151"/>
      <c r="N261" s="151"/>
      <c r="O261" s="69"/>
      <c r="P261" s="69"/>
      <c r="Q261" s="69"/>
      <c r="R261" s="69"/>
      <c r="S261" s="69"/>
      <c r="T261" s="69"/>
      <c r="U261" s="69"/>
      <c r="V261" s="69"/>
      <c r="W261" s="159"/>
      <c r="X261" s="102" t="n">
        <v>758</v>
      </c>
      <c r="Y261" s="124" t="n">
        <f aca="false">Y260+Y$16</f>
        <v>0.000965492129325864</v>
      </c>
      <c r="Z261" s="115" t="n">
        <f aca="false">(K-(L0-Y261*Ldif-alph*Y261^0.5))/R0</f>
        <v>0.770776658835336</v>
      </c>
      <c r="AA261" s="113" t="n">
        <f aca="false">IF(Z261&lt;1,X$14*((1-r_1)-Y$14*(1-r_1^2)+Z$14*(1-r_1^3)),0)</f>
        <v>919508.452357106</v>
      </c>
      <c r="AB261" s="97" t="n">
        <f aca="false">AB260+AB$15</f>
        <v>0.000965492129325864</v>
      </c>
      <c r="AC261" s="115" t="n">
        <f aca="false">(Kopt-(L0-AB261*Ldif-alph*AB261^0.5))/R0</f>
        <v>0.770776658835336</v>
      </c>
      <c r="AD261" s="113" t="n">
        <f aca="false">IF(AC261&lt;1,X$14*((1-ropt)-Y$14*(1-ropt^2)+Z$14*(1-ropt^3)),0)</f>
        <v>919508.452357106</v>
      </c>
    </row>
    <row r="262" customFormat="false" ht="12.75" hidden="false" customHeight="false" outlineLevel="0" collapsed="false">
      <c r="J262" s="67"/>
      <c r="K262" s="67"/>
      <c r="L262" s="151"/>
      <c r="M262" s="151"/>
      <c r="N262" s="151"/>
      <c r="O262" s="69"/>
      <c r="P262" s="69"/>
      <c r="Q262" s="69"/>
      <c r="R262" s="69"/>
      <c r="S262" s="69"/>
      <c r="T262" s="69"/>
      <c r="U262" s="69"/>
      <c r="V262" s="69"/>
      <c r="W262" s="159"/>
      <c r="X262" s="102" t="n">
        <v>757</v>
      </c>
      <c r="Y262" s="124" t="n">
        <f aca="false">Y261+Y$16</f>
        <v>0.000969481766223905</v>
      </c>
      <c r="Z262" s="115" t="n">
        <f aca="false">(K-(L0-Y262*Ldif-alph*Y262^0.5))/R0</f>
        <v>0.771234752298457</v>
      </c>
      <c r="AA262" s="113" t="n">
        <f aca="false">IF(Z262&lt;1,X$14*((1-r_1)-Y$14*(1-r_1^2)+Z$14*(1-r_1^3)),0)</f>
        <v>915836.924729093</v>
      </c>
      <c r="AB262" s="97" t="n">
        <f aca="false">AB261+AB$15</f>
        <v>0.000969481766223905</v>
      </c>
      <c r="AC262" s="115" t="n">
        <f aca="false">(Kopt-(L0-AB262*Ldif-alph*AB262^0.5))/R0</f>
        <v>0.771234752298457</v>
      </c>
      <c r="AD262" s="113" t="n">
        <f aca="false">IF(AC262&lt;1,X$14*((1-ropt)-Y$14*(1-ropt^2)+Z$14*(1-ropt^3)),0)</f>
        <v>915836.924729093</v>
      </c>
    </row>
    <row r="263" customFormat="false" ht="12.75" hidden="false" customHeight="false" outlineLevel="0" collapsed="false">
      <c r="J263" s="67"/>
      <c r="K263" s="67"/>
      <c r="L263" s="151"/>
      <c r="M263" s="151"/>
      <c r="N263" s="151"/>
      <c r="O263" s="69"/>
      <c r="P263" s="69"/>
      <c r="Q263" s="69"/>
      <c r="R263" s="69"/>
      <c r="S263" s="69"/>
      <c r="T263" s="69"/>
      <c r="U263" s="69"/>
      <c r="V263" s="69"/>
      <c r="W263" s="159"/>
      <c r="X263" s="102" t="n">
        <v>756</v>
      </c>
      <c r="Y263" s="124" t="n">
        <f aca="false">Y262+Y$16</f>
        <v>0.000973471403121946</v>
      </c>
      <c r="Z263" s="115" t="n">
        <f aca="false">(K-(L0-Y263*Ldif-alph*Y263^0.5))/R0</f>
        <v>0.771691904150527</v>
      </c>
      <c r="AA263" s="113" t="n">
        <f aca="false">IF(Z263&lt;1,X$14*((1-r_1)-Y$14*(1-r_1^2)+Z$14*(1-r_1^3)),0)</f>
        <v>912180.26603221</v>
      </c>
      <c r="AB263" s="97" t="n">
        <f aca="false">AB262+AB$15</f>
        <v>0.000973471403121946</v>
      </c>
      <c r="AC263" s="115" t="n">
        <f aca="false">(Kopt-(L0-AB263*Ldif-alph*AB263^0.5))/R0</f>
        <v>0.771691904150527</v>
      </c>
      <c r="AD263" s="113" t="n">
        <f aca="false">IF(AC263&lt;1,X$14*((1-ropt)-Y$14*(1-ropt^2)+Z$14*(1-ropt^3)),0)</f>
        <v>912180.26603221</v>
      </c>
    </row>
    <row r="264" customFormat="false" ht="12.75" hidden="false" customHeight="false" outlineLevel="0" collapsed="false">
      <c r="J264" s="67"/>
      <c r="K264" s="67"/>
      <c r="L264" s="151"/>
      <c r="M264" s="151"/>
      <c r="N264" s="151"/>
      <c r="O264" s="69"/>
      <c r="P264" s="69"/>
      <c r="Q264" s="69"/>
      <c r="R264" s="69"/>
      <c r="S264" s="69"/>
      <c r="T264" s="69"/>
      <c r="U264" s="69"/>
      <c r="V264" s="69"/>
      <c r="W264" s="159"/>
      <c r="X264" s="102" t="n">
        <v>755</v>
      </c>
      <c r="Y264" s="124" t="n">
        <f aca="false">Y263+Y$16</f>
        <v>0.000977461040019987</v>
      </c>
      <c r="Z264" s="115" t="n">
        <f aca="false">(K-(L0-Y264*Ldif-alph*Y264^0.5))/R0</f>
        <v>0.772148120174245</v>
      </c>
      <c r="AA264" s="113" t="n">
        <f aca="false">IF(Z264&lt;1,X$14*((1-r_1)-Y$14*(1-r_1^2)+Z$14*(1-r_1^3)),0)</f>
        <v>908538.384952283</v>
      </c>
      <c r="AB264" s="97" t="n">
        <f aca="false">AB263+AB$15</f>
        <v>0.000977461040019987</v>
      </c>
      <c r="AC264" s="115" t="n">
        <f aca="false">(Kopt-(L0-AB264*Ldif-alph*AB264^0.5))/R0</f>
        <v>0.772148120174245</v>
      </c>
      <c r="AD264" s="113" t="n">
        <f aca="false">IF(AC264&lt;1,X$14*((1-ropt)-Y$14*(1-ropt^2)+Z$14*(1-ropt^3)),0)</f>
        <v>908538.384952283</v>
      </c>
    </row>
    <row r="265" customFormat="false" ht="12.75" hidden="false" customHeight="false" outlineLevel="0" collapsed="false">
      <c r="J265" s="67"/>
      <c r="K265" s="67"/>
      <c r="L265" s="151"/>
      <c r="M265" s="151"/>
      <c r="N265" s="151"/>
      <c r="O265" s="69"/>
      <c r="P265" s="69"/>
      <c r="Q265" s="69"/>
      <c r="R265" s="69"/>
      <c r="S265" s="69"/>
      <c r="T265" s="69"/>
      <c r="U265" s="69"/>
      <c r="V265" s="69"/>
      <c r="W265" s="159"/>
      <c r="X265" s="102" t="n">
        <v>754</v>
      </c>
      <c r="Y265" s="124" t="n">
        <f aca="false">Y264+Y$16</f>
        <v>0.000981450676918028</v>
      </c>
      <c r="Z265" s="115" t="n">
        <f aca="false">(K-(L0-Y265*Ldif-alph*Y265^0.5))/R0</f>
        <v>0.772603406093362</v>
      </c>
      <c r="AA265" s="113" t="n">
        <f aca="false">IF(Z265&lt;1,X$14*((1-r_1)-Y$14*(1-r_1^2)+Z$14*(1-r_1^3)),0)</f>
        <v>904911.19110596</v>
      </c>
      <c r="AB265" s="97" t="n">
        <f aca="false">AB264+AB$15</f>
        <v>0.000981450676918028</v>
      </c>
      <c r="AC265" s="115" t="n">
        <f aca="false">(Kopt-(L0-AB265*Ldif-alph*AB265^0.5))/R0</f>
        <v>0.772603406093362</v>
      </c>
      <c r="AD265" s="113" t="n">
        <f aca="false">IF(AC265&lt;1,X$14*((1-ropt)-Y$14*(1-ropt^2)+Z$14*(1-ropt^3)),0)</f>
        <v>904911.19110596</v>
      </c>
    </row>
    <row r="266" customFormat="false" ht="12.75" hidden="false" customHeight="false" outlineLevel="0" collapsed="false">
      <c r="J266" s="67"/>
      <c r="K266" s="67"/>
      <c r="L266" s="151"/>
      <c r="M266" s="151"/>
      <c r="N266" s="151"/>
      <c r="O266" s="69"/>
      <c r="P266" s="69"/>
      <c r="Q266" s="69"/>
      <c r="R266" s="69"/>
      <c r="S266" s="69"/>
      <c r="T266" s="69"/>
      <c r="U266" s="69"/>
      <c r="V266" s="69"/>
      <c r="W266" s="159"/>
      <c r="X266" s="102" t="n">
        <v>753</v>
      </c>
      <c r="Y266" s="124" t="n">
        <f aca="false">Y265+Y$16</f>
        <v>0.000985440313816068</v>
      </c>
      <c r="Z266" s="115" t="n">
        <f aca="false">(K-(L0-Y266*Ldif-alph*Y266^0.5))/R0</f>
        <v>0.773057767573515</v>
      </c>
      <c r="AA266" s="113" t="n">
        <f aca="false">IF(Z266&lt;1,X$14*((1-r_1)-Y$14*(1-r_1^2)+Z$14*(1-r_1^3)),0)</f>
        <v>901298.595027541</v>
      </c>
      <c r="AB266" s="97" t="n">
        <f aca="false">AB265+AB$15</f>
        <v>0.000985440313816068</v>
      </c>
      <c r="AC266" s="115" t="n">
        <f aca="false">(Kopt-(L0-AB266*Ldif-alph*AB266^0.5))/R0</f>
        <v>0.773057767573515</v>
      </c>
      <c r="AD266" s="113" t="n">
        <f aca="false">IF(AC266&lt;1,X$14*((1-ropt)-Y$14*(1-ropt^2)+Z$14*(1-ropt^3)),0)</f>
        <v>901298.595027541</v>
      </c>
    </row>
    <row r="267" customFormat="false" ht="12.75" hidden="false" customHeight="false" outlineLevel="0" collapsed="false">
      <c r="J267" s="67"/>
      <c r="K267" s="67"/>
      <c r="L267" s="151"/>
      <c r="M267" s="151"/>
      <c r="N267" s="151"/>
      <c r="O267" s="69"/>
      <c r="P267" s="69"/>
      <c r="Q267" s="69"/>
      <c r="R267" s="69"/>
      <c r="S267" s="69"/>
      <c r="T267" s="69"/>
      <c r="U267" s="69"/>
      <c r="V267" s="69"/>
      <c r="W267" s="159"/>
      <c r="X267" s="102" t="n">
        <v>752</v>
      </c>
      <c r="Y267" s="124" t="n">
        <f aca="false">Y266+Y$16</f>
        <v>0.000989429950714109</v>
      </c>
      <c r="Z267" s="115" t="n">
        <f aca="false">(K-(L0-Y267*Ldif-alph*Y267^0.5))/R0</f>
        <v>0.773511210223063</v>
      </c>
      <c r="AA267" s="113" t="n">
        <f aca="false">IF(Z267&lt;1,X$14*((1-r_1)-Y$14*(1-r_1^2)+Z$14*(1-r_1^3)),0)</f>
        <v>897700.508155876</v>
      </c>
      <c r="AB267" s="97" t="n">
        <f aca="false">AB266+AB$15</f>
        <v>0.000989429950714109</v>
      </c>
      <c r="AC267" s="115" t="n">
        <f aca="false">(Kopt-(L0-AB267*Ldif-alph*AB267^0.5))/R0</f>
        <v>0.773511210223063</v>
      </c>
      <c r="AD267" s="113" t="n">
        <f aca="false">IF(AC267&lt;1,X$14*((1-ropt)-Y$14*(1-ropt^2)+Z$14*(1-ropt^3)),0)</f>
        <v>897700.508155876</v>
      </c>
    </row>
    <row r="268" customFormat="false" ht="12.75" hidden="false" customHeight="false" outlineLevel="0" collapsed="false">
      <c r="J268" s="67"/>
      <c r="K268" s="67"/>
      <c r="L268" s="151"/>
      <c r="M268" s="151"/>
      <c r="N268" s="151"/>
      <c r="O268" s="69"/>
      <c r="P268" s="69"/>
      <c r="Q268" s="69"/>
      <c r="R268" s="69"/>
      <c r="S268" s="69"/>
      <c r="T268" s="69"/>
      <c r="U268" s="69"/>
      <c r="V268" s="69"/>
      <c r="W268" s="159"/>
      <c r="X268" s="102" t="n">
        <v>751</v>
      </c>
      <c r="Y268" s="124" t="n">
        <f aca="false">Y267+Y$16</f>
        <v>0.00099341958761215</v>
      </c>
      <c r="Z268" s="115" t="n">
        <f aca="false">(K-(L0-Y268*Ldif-alph*Y268^0.5))/R0</f>
        <v>0.773963739593875</v>
      </c>
      <c r="AA268" s="113" t="n">
        <f aca="false">IF(Z268&lt;1,X$14*((1-r_1)-Y$14*(1-r_1^2)+Z$14*(1-r_1^3)),0)</f>
        <v>894116.842821748</v>
      </c>
      <c r="AB268" s="97" t="n">
        <f aca="false">AB267+AB$15</f>
        <v>0.00099341958761215</v>
      </c>
      <c r="AC268" s="115" t="n">
        <f aca="false">(Kopt-(L0-AB268*Ldif-alph*AB268^0.5))/R0</f>
        <v>0.773963739593875</v>
      </c>
      <c r="AD268" s="113" t="n">
        <f aca="false">IF(AC268&lt;1,X$14*((1-ropt)-Y$14*(1-ropt^2)+Z$14*(1-ropt^3)),0)</f>
        <v>894116.842821748</v>
      </c>
    </row>
    <row r="269" customFormat="false" ht="12.75" hidden="false" customHeight="false" outlineLevel="0" collapsed="false">
      <c r="J269" s="67"/>
      <c r="K269" s="67"/>
      <c r="L269" s="151"/>
      <c r="M269" s="151"/>
      <c r="N269" s="151"/>
      <c r="O269" s="69"/>
      <c r="P269" s="69"/>
      <c r="Q269" s="69"/>
      <c r="R269" s="69"/>
      <c r="S269" s="69"/>
      <c r="T269" s="69"/>
      <c r="U269" s="69"/>
      <c r="V269" s="69"/>
      <c r="W269" s="159"/>
      <c r="X269" s="102" t="n">
        <v>750</v>
      </c>
      <c r="Y269" s="124" t="n">
        <f aca="false">Y268+Y$16</f>
        <v>0.000997409224510191</v>
      </c>
      <c r="Z269" s="115" t="n">
        <f aca="false">(K-(L0-Y269*Ldif-alph*Y269^0.5))/R0</f>
        <v>0.774415361182147</v>
      </c>
      <c r="AA269" s="113" t="n">
        <f aca="false">IF(Z269&lt;1,X$14*((1-r_1)-Y$14*(1-r_1^2)+Z$14*(1-r_1^3)),0)</f>
        <v>890547.512235174</v>
      </c>
      <c r="AB269" s="97" t="n">
        <f aca="false">AB268+AB$15</f>
        <v>0.000997409224510191</v>
      </c>
      <c r="AC269" s="115" t="n">
        <f aca="false">(Kopt-(L0-AB269*Ldif-alph*AB269^0.5))/R0</f>
        <v>0.774415361182147</v>
      </c>
      <c r="AD269" s="113" t="n">
        <f aca="false">IF(AC269&lt;1,X$14*((1-ropt)-Y$14*(1-ropt^2)+Z$14*(1-ropt^3)),0)</f>
        <v>890547.512235174</v>
      </c>
    </row>
    <row r="270" customFormat="false" ht="12.75" hidden="false" customHeight="false" outlineLevel="0" collapsed="false">
      <c r="J270" s="67"/>
      <c r="K270" s="67"/>
      <c r="L270" s="151"/>
      <c r="M270" s="151"/>
      <c r="N270" s="151"/>
      <c r="O270" s="69"/>
      <c r="P270" s="69"/>
      <c r="Q270" s="69"/>
      <c r="R270" s="69"/>
      <c r="S270" s="69"/>
      <c r="T270" s="69"/>
      <c r="U270" s="69"/>
      <c r="V270" s="69"/>
      <c r="W270" s="159"/>
      <c r="X270" s="102" t="n">
        <v>749</v>
      </c>
      <c r="Y270" s="124" t="n">
        <f aca="false">Y269+Y$16</f>
        <v>0.00100139886140823</v>
      </c>
      <c r="Z270" s="115" t="n">
        <f aca="false">(K-(L0-Y270*Ldif-alph*Y270^0.5))/R0</f>
        <v>0.774866080429158</v>
      </c>
      <c r="AA270" s="113" t="n">
        <f aca="false">IF(Z270&lt;1,X$14*((1-r_1)-Y$14*(1-r_1^2)+Z$14*(1-r_1^3)),0)</f>
        <v>886992.430473285</v>
      </c>
      <c r="AB270" s="97" t="n">
        <f aca="false">AB269+AB$15</f>
        <v>0.00100139886140823</v>
      </c>
      <c r="AC270" s="115" t="n">
        <f aca="false">(Kopt-(L0-AB270*Ldif-alph*AB270^0.5))/R0</f>
        <v>0.774866080429158</v>
      </c>
      <c r="AD270" s="113" t="n">
        <f aca="false">IF(AC270&lt;1,X$14*((1-ropt)-Y$14*(1-ropt^2)+Z$14*(1-ropt^3)),0)</f>
        <v>886992.430473285</v>
      </c>
    </row>
    <row r="271" customFormat="false" ht="12.75" hidden="false" customHeight="false" outlineLevel="0" collapsed="false">
      <c r="J271" s="67"/>
      <c r="K271" s="67"/>
      <c r="L271" s="151"/>
      <c r="M271" s="151"/>
      <c r="N271" s="151"/>
      <c r="O271" s="69"/>
      <c r="P271" s="69"/>
      <c r="Q271" s="69"/>
      <c r="R271" s="69"/>
      <c r="S271" s="69"/>
      <c r="T271" s="69"/>
      <c r="U271" s="69"/>
      <c r="V271" s="69"/>
      <c r="W271" s="159"/>
      <c r="X271" s="102" t="n">
        <v>748</v>
      </c>
      <c r="Y271" s="124" t="n">
        <f aca="false">Y270+Y$16</f>
        <v>0.00100538849830627</v>
      </c>
      <c r="Z271" s="115" t="n">
        <f aca="false">(K-(L0-Y271*Ldif-alph*Y271^0.5))/R0</f>
        <v>0.775315902722041</v>
      </c>
      <c r="AA271" s="113" t="n">
        <f aca="false">IF(Z271&lt;1,X$14*((1-r_1)-Y$14*(1-r_1^2)+Z$14*(1-r_1^3)),0)</f>
        <v>883451.512468199</v>
      </c>
      <c r="AB271" s="97" t="n">
        <f aca="false">AB270+AB$15</f>
        <v>0.00100538849830627</v>
      </c>
      <c r="AC271" s="115" t="n">
        <f aca="false">(Kopt-(L0-AB271*Ldif-alph*AB271^0.5))/R0</f>
        <v>0.775315902722041</v>
      </c>
      <c r="AD271" s="113" t="n">
        <f aca="false">IF(AC271&lt;1,X$14*((1-ropt)-Y$14*(1-ropt^2)+Z$14*(1-ropt^3)),0)</f>
        <v>883451.512468199</v>
      </c>
    </row>
    <row r="272" customFormat="false" ht="12.75" hidden="false" customHeight="false" outlineLevel="0" collapsed="false">
      <c r="J272" s="67"/>
      <c r="K272" s="67"/>
      <c r="L272" s="151"/>
      <c r="M272" s="151"/>
      <c r="N272" s="151"/>
      <c r="O272" s="69"/>
      <c r="P272" s="69"/>
      <c r="Q272" s="69"/>
      <c r="R272" s="69"/>
      <c r="S272" s="69"/>
      <c r="T272" s="69"/>
      <c r="U272" s="69"/>
      <c r="V272" s="69"/>
      <c r="W272" s="159"/>
      <c r="X272" s="102" t="n">
        <v>747</v>
      </c>
      <c r="Y272" s="124" t="n">
        <f aca="false">Y271+Y$16</f>
        <v>0.00100937813520431</v>
      </c>
      <c r="Z272" s="115" t="n">
        <f aca="false">(K-(L0-Y272*Ldif-alph*Y272^0.5))/R0</f>
        <v>0.77576483339455</v>
      </c>
      <c r="AA272" s="113" t="n">
        <f aca="false">IF(Z272&lt;1,X$14*((1-r_1)-Y$14*(1-r_1^2)+Z$14*(1-r_1^3)),0)</f>
        <v>879924.673995042</v>
      </c>
      <c r="AB272" s="97" t="n">
        <f aca="false">AB271+AB$15</f>
        <v>0.00100937813520431</v>
      </c>
      <c r="AC272" s="115" t="n">
        <f aca="false">(Kopt-(L0-AB272*Ldif-alph*AB272^0.5))/R0</f>
        <v>0.77576483339455</v>
      </c>
      <c r="AD272" s="113" t="n">
        <f aca="false">IF(AC272&lt;1,X$14*((1-ropt)-Y$14*(1-ropt^2)+Z$14*(1-ropt^3)),0)</f>
        <v>879924.673995042</v>
      </c>
    </row>
    <row r="273" customFormat="false" ht="12.75" hidden="false" customHeight="false" outlineLevel="0" collapsed="false">
      <c r="J273" s="67"/>
      <c r="K273" s="67"/>
      <c r="L273" s="151"/>
      <c r="M273" s="151"/>
      <c r="N273" s="151"/>
      <c r="O273" s="69"/>
      <c r="P273" s="69"/>
      <c r="Q273" s="69"/>
      <c r="R273" s="69"/>
      <c r="S273" s="69"/>
      <c r="T273" s="69"/>
      <c r="U273" s="69"/>
      <c r="V273" s="69"/>
      <c r="W273" s="159"/>
      <c r="X273" s="102" t="n">
        <v>746</v>
      </c>
      <c r="Y273" s="124" t="n">
        <f aca="false">Y272+Y$16</f>
        <v>0.00101336777210235</v>
      </c>
      <c r="Z273" s="115" t="n">
        <f aca="false">(K-(L0-Y273*Ldif-alph*Y273^0.5))/R0</f>
        <v>0.776212877727775</v>
      </c>
      <c r="AA273" s="113" t="n">
        <f aca="false">IF(Z273&lt;1,X$14*((1-r_1)-Y$14*(1-r_1^2)+Z$14*(1-r_1^3)),0)</f>
        <v>876411.83166047</v>
      </c>
      <c r="AB273" s="97" t="n">
        <f aca="false">AB272+AB$15</f>
        <v>0.00101336777210235</v>
      </c>
      <c r="AC273" s="115" t="n">
        <f aca="false">(Kopt-(L0-AB273*Ldif-alph*AB273^0.5))/R0</f>
        <v>0.776212877727775</v>
      </c>
      <c r="AD273" s="113" t="n">
        <f aca="false">IF(AC273&lt;1,X$14*((1-ropt)-Y$14*(1-ropt^2)+Z$14*(1-ropt^3)),0)</f>
        <v>876411.83166047</v>
      </c>
    </row>
    <row r="274" customFormat="false" ht="12.75" hidden="false" customHeight="false" outlineLevel="0" collapsed="false">
      <c r="J274" s="67"/>
      <c r="K274" s="67"/>
      <c r="L274" s="151"/>
      <c r="M274" s="151"/>
      <c r="N274" s="151"/>
      <c r="O274" s="69"/>
      <c r="P274" s="69"/>
      <c r="Q274" s="69"/>
      <c r="R274" s="69"/>
      <c r="S274" s="69"/>
      <c r="T274" s="69"/>
      <c r="U274" s="69"/>
      <c r="V274" s="69"/>
      <c r="W274" s="159"/>
      <c r="X274" s="102" t="n">
        <v>745</v>
      </c>
      <c r="Y274" s="124" t="n">
        <f aca="false">Y273+Y$16</f>
        <v>0.0010173574090004</v>
      </c>
      <c r="Z274" s="115" t="n">
        <f aca="false">(K-(L0-Y274*Ldif-alph*Y274^0.5))/R0</f>
        <v>0.776660040950885</v>
      </c>
      <c r="AA274" s="113" t="n">
        <f aca="false">IF(Z274&lt;1,X$14*((1-r_1)-Y$14*(1-r_1^2)+Z$14*(1-r_1^3)),0)</f>
        <v>872912.902891058</v>
      </c>
      <c r="AB274" s="97" t="n">
        <f aca="false">AB273+AB$15</f>
        <v>0.0010173574090004</v>
      </c>
      <c r="AC274" s="115" t="n">
        <f aca="false">(Kopt-(L0-AB274*Ldif-alph*AB274^0.5))/R0</f>
        <v>0.776660040950885</v>
      </c>
      <c r="AD274" s="113" t="n">
        <f aca="false">IF(AC274&lt;1,X$14*((1-ropt)-Y$14*(1-ropt^2)+Z$14*(1-ropt^3)),0)</f>
        <v>872912.902891058</v>
      </c>
    </row>
    <row r="275" customFormat="false" ht="12.75" hidden="false" customHeight="false" outlineLevel="0" collapsed="false">
      <c r="J275" s="67"/>
      <c r="K275" s="67"/>
      <c r="L275" s="151"/>
      <c r="M275" s="151"/>
      <c r="N275" s="151"/>
      <c r="O275" s="69"/>
      <c r="P275" s="69"/>
      <c r="Q275" s="69"/>
      <c r="R275" s="69"/>
      <c r="S275" s="69"/>
      <c r="T275" s="69"/>
      <c r="U275" s="69"/>
      <c r="V275" s="69"/>
      <c r="W275" s="159"/>
      <c r="X275" s="102" t="n">
        <v>744</v>
      </c>
      <c r="Y275" s="124" t="n">
        <f aca="false">Y274+Y$16</f>
        <v>0.00102134704589844</v>
      </c>
      <c r="Z275" s="115" t="n">
        <f aca="false">(K-(L0-Y275*Ldif-alph*Y275^0.5))/R0</f>
        <v>0.777106328241826</v>
      </c>
      <c r="AA275" s="113" t="n">
        <f aca="false">IF(Z275&lt;1,X$14*((1-r_1)-Y$14*(1-r_1^2)+Z$14*(1-r_1^3)),0)</f>
        <v>869427.805922208</v>
      </c>
      <c r="AB275" s="97" t="n">
        <f aca="false">AB274+AB$15</f>
        <v>0.00102134704589844</v>
      </c>
      <c r="AC275" s="115" t="n">
        <f aca="false">(Kopt-(L0-AB275*Ldif-alph*AB275^0.5))/R0</f>
        <v>0.777106328241826</v>
      </c>
      <c r="AD275" s="113" t="n">
        <f aca="false">IF(AC275&lt;1,X$14*((1-ropt)-Y$14*(1-ropt^2)+Z$14*(1-ropt^3)),0)</f>
        <v>869427.805922208</v>
      </c>
    </row>
    <row r="276" customFormat="false" ht="12.75" hidden="false" customHeight="false" outlineLevel="0" collapsed="false">
      <c r="J276" s="67"/>
      <c r="K276" s="67"/>
      <c r="L276" s="151"/>
      <c r="M276" s="151"/>
      <c r="N276" s="151"/>
      <c r="O276" s="69"/>
      <c r="P276" s="69"/>
      <c r="Q276" s="69"/>
      <c r="R276" s="69"/>
      <c r="S276" s="69"/>
      <c r="T276" s="69"/>
      <c r="U276" s="69"/>
      <c r="V276" s="69"/>
      <c r="W276" s="159"/>
      <c r="X276" s="102" t="n">
        <v>743</v>
      </c>
      <c r="Y276" s="124" t="n">
        <f aca="false">Y275+Y$16</f>
        <v>0.00102533668279648</v>
      </c>
      <c r="Z276" s="115" t="n">
        <f aca="false">(K-(L0-Y276*Ldif-alph*Y276^0.5))/R0</f>
        <v>0.777551744728035</v>
      </c>
      <c r="AA276" s="113" t="n">
        <f aca="false">IF(Z276&lt;1,X$14*((1-r_1)-Y$14*(1-r_1^2)+Z$14*(1-r_1^3)),0)</f>
        <v>865956.459786973</v>
      </c>
      <c r="AB276" s="97" t="n">
        <f aca="false">AB275+AB$15</f>
        <v>0.00102533668279648</v>
      </c>
      <c r="AC276" s="115" t="n">
        <f aca="false">(Kopt-(L0-AB276*Ldif-alph*AB276^0.5))/R0</f>
        <v>0.777551744728035</v>
      </c>
      <c r="AD276" s="113" t="n">
        <f aca="false">IF(AC276&lt;1,X$14*((1-ropt)-Y$14*(1-ropt^2)+Z$14*(1-ropt^3)),0)</f>
        <v>865956.459786973</v>
      </c>
    </row>
    <row r="277" customFormat="false" ht="12.75" hidden="false" customHeight="false" outlineLevel="0" collapsed="false">
      <c r="J277" s="67"/>
      <c r="K277" s="67"/>
      <c r="L277" s="151"/>
      <c r="M277" s="151"/>
      <c r="N277" s="151"/>
      <c r="O277" s="69"/>
      <c r="P277" s="69"/>
      <c r="Q277" s="69"/>
      <c r="R277" s="69"/>
      <c r="S277" s="69"/>
      <c r="T277" s="69"/>
      <c r="U277" s="69"/>
      <c r="V277" s="69"/>
      <c r="W277" s="159"/>
      <c r="X277" s="102" t="n">
        <v>742</v>
      </c>
      <c r="Y277" s="124" t="n">
        <f aca="false">Y276+Y$16</f>
        <v>0.00102932631969452</v>
      </c>
      <c r="Z277" s="115" t="n">
        <f aca="false">(K-(L0-Y277*Ldif-alph*Y277^0.5))/R0</f>
        <v>0.777996295487111</v>
      </c>
      <c r="AA277" s="113" t="n">
        <f aca="false">IF(Z277&lt;1,X$14*((1-r_1)-Y$14*(1-r_1^2)+Z$14*(1-r_1^3)),0)</f>
        <v>862498.784305307</v>
      </c>
      <c r="AB277" s="97" t="n">
        <f aca="false">AB276+AB$15</f>
        <v>0.00102932631969452</v>
      </c>
      <c r="AC277" s="115" t="n">
        <f aca="false">(Kopt-(L0-AB277*Ldif-alph*AB277^0.5))/R0</f>
        <v>0.777996295487111</v>
      </c>
      <c r="AD277" s="113" t="n">
        <f aca="false">IF(AC277&lt;1,X$14*((1-ropt)-Y$14*(1-ropt^2)+Z$14*(1-ropt^3)),0)</f>
        <v>862498.784305307</v>
      </c>
    </row>
    <row r="278" customFormat="false" ht="12.75" hidden="false" customHeight="false" outlineLevel="0" collapsed="false">
      <c r="J278" s="67"/>
      <c r="K278" s="67"/>
      <c r="L278" s="151"/>
      <c r="M278" s="151"/>
      <c r="N278" s="151"/>
      <c r="O278" s="69"/>
      <c r="P278" s="69"/>
      <c r="Q278" s="69"/>
      <c r="R278" s="69"/>
      <c r="S278" s="69"/>
      <c r="T278" s="69"/>
      <c r="U278" s="69"/>
      <c r="V278" s="69"/>
      <c r="W278" s="159"/>
      <c r="X278" s="102" t="n">
        <v>741</v>
      </c>
      <c r="Y278" s="124" t="n">
        <f aca="false">Y277+Y$16</f>
        <v>0.00103331595659256</v>
      </c>
      <c r="Z278" s="115" t="n">
        <f aca="false">(K-(L0-Y278*Ldif-alph*Y278^0.5))/R0</f>
        <v>0.778439985547504</v>
      </c>
      <c r="AA278" s="113" t="n">
        <f aca="false">IF(Z278&lt;1,X$14*((1-r_1)-Y$14*(1-r_1^2)+Z$14*(1-r_1^3)),0)</f>
        <v>859054.700073333</v>
      </c>
      <c r="AB278" s="97" t="n">
        <f aca="false">AB277+AB$15</f>
        <v>0.00103331595659256</v>
      </c>
      <c r="AC278" s="115" t="n">
        <f aca="false">(Kopt-(L0-AB278*Ldif-alph*AB278^0.5))/R0</f>
        <v>0.778439985547504</v>
      </c>
      <c r="AD278" s="113" t="n">
        <f aca="false">IF(AC278&lt;1,X$14*((1-ropt)-Y$14*(1-ropt^2)+Z$14*(1-ropt^3)),0)</f>
        <v>859054.700073333</v>
      </c>
    </row>
    <row r="279" customFormat="false" ht="12.75" hidden="false" customHeight="false" outlineLevel="0" collapsed="false">
      <c r="J279" s="67"/>
      <c r="K279" s="67"/>
      <c r="L279" s="151"/>
      <c r="M279" s="151"/>
      <c r="N279" s="151"/>
      <c r="O279" s="69"/>
      <c r="P279" s="69"/>
      <c r="Q279" s="69"/>
      <c r="R279" s="69"/>
      <c r="S279" s="69"/>
      <c r="T279" s="69"/>
      <c r="U279" s="69"/>
      <c r="V279" s="69"/>
      <c r="W279" s="159"/>
      <c r="X279" s="102" t="n">
        <v>740</v>
      </c>
      <c r="Y279" s="124" t="n">
        <f aca="false">Y278+Y$16</f>
        <v>0.0010373055934906</v>
      </c>
      <c r="Z279" s="115" t="n">
        <f aca="false">(K-(L0-Y279*Ldif-alph*Y279^0.5))/R0</f>
        <v>0.778882819889167</v>
      </c>
      <c r="AA279" s="113" t="n">
        <f aca="false">IF(Z279&lt;1,X$14*((1-r_1)-Y$14*(1-r_1^2)+Z$14*(1-r_1^3)),0)</f>
        <v>855624.128452913</v>
      </c>
      <c r="AB279" s="97" t="n">
        <f aca="false">AB278+AB$15</f>
        <v>0.0010373055934906</v>
      </c>
      <c r="AC279" s="115" t="n">
        <f aca="false">(Kopt-(L0-AB279*Ldif-alph*AB279^0.5))/R0</f>
        <v>0.778882819889167</v>
      </c>
      <c r="AD279" s="113" t="n">
        <f aca="false">IF(AC279&lt;1,X$14*((1-ropt)-Y$14*(1-ropt^2)+Z$14*(1-ropt^3)),0)</f>
        <v>855624.128452913</v>
      </c>
    </row>
    <row r="280" customFormat="false" ht="12.75" hidden="false" customHeight="false" outlineLevel="0" collapsed="false">
      <c r="J280" s="67"/>
      <c r="K280" s="67"/>
      <c r="L280" s="151"/>
      <c r="M280" s="151"/>
      <c r="N280" s="151"/>
      <c r="O280" s="69"/>
      <c r="P280" s="69"/>
      <c r="Q280" s="69"/>
      <c r="R280" s="69"/>
      <c r="S280" s="69"/>
      <c r="T280" s="69"/>
      <c r="U280" s="69"/>
      <c r="V280" s="69"/>
      <c r="W280" s="159"/>
      <c r="X280" s="102" t="n">
        <v>739</v>
      </c>
      <c r="Y280" s="124" t="n">
        <f aca="false">Y279+Y$16</f>
        <v>0.00104129523038864</v>
      </c>
      <c r="Z280" s="115" t="n">
        <f aca="false">(K-(L0-Y280*Ldif-alph*Y280^0.5))/R0</f>
        <v>0.779324803444226</v>
      </c>
      <c r="AA280" s="113" t="n">
        <f aca="false">IF(Z280&lt;1,X$14*((1-r_1)-Y$14*(1-r_1^2)+Z$14*(1-r_1^3)),0)</f>
        <v>852206.991561265</v>
      </c>
      <c r="AB280" s="97" t="n">
        <f aca="false">AB279+AB$15</f>
        <v>0.00104129523038864</v>
      </c>
      <c r="AC280" s="115" t="n">
        <f aca="false">(Kopt-(L0-AB280*Ldif-alph*AB280^0.5))/R0</f>
        <v>0.779324803444226</v>
      </c>
      <c r="AD280" s="113" t="n">
        <f aca="false">IF(AC280&lt;1,X$14*((1-ropt)-Y$14*(1-ropt^2)+Z$14*(1-ropt^3)),0)</f>
        <v>852206.991561265</v>
      </c>
    </row>
    <row r="281" customFormat="false" ht="12.75" hidden="false" customHeight="false" outlineLevel="0" collapsed="false">
      <c r="J281" s="67"/>
      <c r="K281" s="67"/>
      <c r="L281" s="151"/>
      <c r="M281" s="151"/>
      <c r="N281" s="151"/>
      <c r="O281" s="69"/>
      <c r="P281" s="69"/>
      <c r="Q281" s="69"/>
      <c r="R281" s="69"/>
      <c r="S281" s="69"/>
      <c r="T281" s="69"/>
      <c r="U281" s="69"/>
      <c r="V281" s="69"/>
      <c r="W281" s="159"/>
      <c r="X281" s="102" t="n">
        <v>738</v>
      </c>
      <c r="Y281" s="124" t="n">
        <f aca="false">Y280+Y$16</f>
        <v>0.00104528486728668</v>
      </c>
      <c r="Z281" s="115" t="n">
        <f aca="false">(K-(L0-Y281*Ldif-alph*Y281^0.5))/R0</f>
        <v>0.779765941097598</v>
      </c>
      <c r="AA281" s="113" t="n">
        <f aca="false">IF(Z281&lt;1,X$14*((1-r_1)-Y$14*(1-r_1^2)+Z$14*(1-r_1^3)),0)</f>
        <v>848803.212260964</v>
      </c>
      <c r="AB281" s="97" t="n">
        <f aca="false">AB280+AB$15</f>
        <v>0.00104528486728668</v>
      </c>
      <c r="AC281" s="115" t="n">
        <f aca="false">(Kopt-(L0-AB281*Ldif-alph*AB281^0.5))/R0</f>
        <v>0.779765941097598</v>
      </c>
      <c r="AD281" s="113" t="n">
        <f aca="false">IF(AC281&lt;1,X$14*((1-ropt)-Y$14*(1-ropt^2)+Z$14*(1-ropt^3)),0)</f>
        <v>848803.212260964</v>
      </c>
    </row>
    <row r="282" customFormat="false" ht="12.75" hidden="false" customHeight="false" outlineLevel="0" collapsed="false">
      <c r="J282" s="67"/>
      <c r="K282" s="67"/>
      <c r="L282" s="151"/>
      <c r="M282" s="151"/>
      <c r="N282" s="151"/>
      <c r="O282" s="69"/>
      <c r="P282" s="69"/>
      <c r="Q282" s="69"/>
      <c r="R282" s="69"/>
      <c r="S282" s="69"/>
      <c r="T282" s="69"/>
      <c r="U282" s="69"/>
      <c r="V282" s="69"/>
      <c r="W282" s="159"/>
      <c r="X282" s="102" t="n">
        <v>737</v>
      </c>
      <c r="Y282" s="124" t="n">
        <f aca="false">Y281+Y$16</f>
        <v>0.00104927450418472</v>
      </c>
      <c r="Z282" s="115" t="n">
        <f aca="false">(K-(L0-Y282*Ldif-alph*Y282^0.5))/R0</f>
        <v>0.780206237687642</v>
      </c>
      <c r="AA282" s="113" t="n">
        <f aca="false">IF(Z282&lt;1,X$14*((1-r_1)-Y$14*(1-r_1^2)+Z$14*(1-r_1^3)),0)</f>
        <v>845412.714149874</v>
      </c>
      <c r="AB282" s="97" t="n">
        <f aca="false">AB281+AB$15</f>
        <v>0.00104927450418472</v>
      </c>
      <c r="AC282" s="115" t="n">
        <f aca="false">(Kopt-(L0-AB282*Ldif-alph*AB282^0.5))/R0</f>
        <v>0.780206237687642</v>
      </c>
      <c r="AD282" s="113" t="n">
        <f aca="false">IF(AC282&lt;1,X$14*((1-ropt)-Y$14*(1-ropt^2)+Z$14*(1-ropt^3)),0)</f>
        <v>845412.714149874</v>
      </c>
    </row>
    <row r="283" customFormat="false" ht="12.75" hidden="false" customHeight="false" outlineLevel="0" collapsed="false">
      <c r="J283" s="67"/>
      <c r="K283" s="67"/>
      <c r="L283" s="151"/>
      <c r="M283" s="151"/>
      <c r="N283" s="151"/>
      <c r="O283" s="69"/>
      <c r="P283" s="69"/>
      <c r="Q283" s="69"/>
      <c r="R283" s="69"/>
      <c r="S283" s="69"/>
      <c r="T283" s="69"/>
      <c r="U283" s="69"/>
      <c r="V283" s="69"/>
      <c r="W283" s="159"/>
      <c r="X283" s="102" t="n">
        <v>736</v>
      </c>
      <c r="Y283" s="124" t="n">
        <f aca="false">Y282+Y$16</f>
        <v>0.00105326414108276</v>
      </c>
      <c r="Z283" s="115" t="n">
        <f aca="false">(K-(L0-Y283*Ldif-alph*Y283^0.5))/R0</f>
        <v>0.780645698006757</v>
      </c>
      <c r="AA283" s="113" t="n">
        <f aca="false">IF(Z283&lt;1,X$14*((1-r_1)-Y$14*(1-r_1^2)+Z$14*(1-r_1^3)),0)</f>
        <v>842035.421551497</v>
      </c>
      <c r="AB283" s="97" t="n">
        <f aca="false">AB282+AB$15</f>
        <v>0.00105326414108276</v>
      </c>
      <c r="AC283" s="115" t="n">
        <f aca="false">(Kopt-(L0-AB283*Ldif-alph*AB283^0.5))/R0</f>
        <v>0.780645698006757</v>
      </c>
      <c r="AD283" s="113" t="n">
        <f aca="false">IF(AC283&lt;1,X$14*((1-ropt)-Y$14*(1-ropt^2)+Z$14*(1-ropt^3)),0)</f>
        <v>842035.421551497</v>
      </c>
    </row>
    <row r="284" customFormat="false" ht="12.75" hidden="false" customHeight="false" outlineLevel="0" collapsed="false">
      <c r="J284" s="67"/>
      <c r="K284" s="67"/>
      <c r="L284" s="151"/>
      <c r="M284" s="151"/>
      <c r="N284" s="151"/>
      <c r="O284" s="69"/>
      <c r="P284" s="69"/>
      <c r="Q284" s="69"/>
      <c r="R284" s="69"/>
      <c r="S284" s="69"/>
      <c r="T284" s="69"/>
      <c r="U284" s="69"/>
      <c r="V284" s="69"/>
      <c r="W284" s="159"/>
      <c r="X284" s="102" t="n">
        <v>735</v>
      </c>
      <c r="Y284" s="124" t="n">
        <f aca="false">Y283+Y$16</f>
        <v>0.0010572537779808</v>
      </c>
      <c r="Z284" s="115" t="n">
        <f aca="false">(K-(L0-Y284*Ldif-alph*Y284^0.5))/R0</f>
        <v>0.781084326802015</v>
      </c>
      <c r="AA284" s="113" t="n">
        <f aca="false">IF(Z284&lt;1,X$14*((1-r_1)-Y$14*(1-r_1^2)+Z$14*(1-r_1^3)),0)</f>
        <v>838671.259505224</v>
      </c>
      <c r="AB284" s="97" t="n">
        <f aca="false">AB283+AB$15</f>
        <v>0.0010572537779808</v>
      </c>
      <c r="AC284" s="115" t="n">
        <f aca="false">(Kopt-(L0-AB284*Ldif-alph*AB284^0.5))/R0</f>
        <v>0.781084326802015</v>
      </c>
      <c r="AD284" s="113" t="n">
        <f aca="false">IF(AC284&lt;1,X$14*((1-ropt)-Y$14*(1-ropt^2)+Z$14*(1-ropt^3)),0)</f>
        <v>838671.259505224</v>
      </c>
    </row>
    <row r="285" customFormat="false" ht="12.75" hidden="false" customHeight="false" outlineLevel="0" collapsed="false">
      <c r="J285" s="67"/>
      <c r="K285" s="67"/>
      <c r="L285" s="151"/>
      <c r="M285" s="151"/>
      <c r="N285" s="151"/>
      <c r="O285" s="69"/>
      <c r="P285" s="69"/>
      <c r="Q285" s="69"/>
      <c r="R285" s="69"/>
      <c r="S285" s="69"/>
      <c r="T285" s="69"/>
      <c r="U285" s="69"/>
      <c r="V285" s="69"/>
      <c r="W285" s="159"/>
      <c r="X285" s="102" t="n">
        <v>734</v>
      </c>
      <c r="Y285" s="124" t="n">
        <f aca="false">Y284+Y$16</f>
        <v>0.00106124341487884</v>
      </c>
      <c r="Z285" s="115" t="n">
        <f aca="false">(K-(L0-Y285*Ldif-alph*Y285^0.5))/R0</f>
        <v>0.78152212877573</v>
      </c>
      <c r="AA285" s="113" t="n">
        <f aca="false">IF(Z285&lt;1,X$14*((1-r_1)-Y$14*(1-r_1^2)+Z$14*(1-r_1^3)),0)</f>
        <v>835320.153757051</v>
      </c>
      <c r="AB285" s="97" t="n">
        <f aca="false">AB284+AB$15</f>
        <v>0.00106124341487884</v>
      </c>
      <c r="AC285" s="115" t="n">
        <f aca="false">(Kopt-(L0-AB285*Ldif-alph*AB285^0.5))/R0</f>
        <v>0.78152212877573</v>
      </c>
      <c r="AD285" s="113" t="n">
        <f aca="false">IF(AC285&lt;1,X$14*((1-ropt)-Y$14*(1-ropt^2)+Z$14*(1-ropt^3)),0)</f>
        <v>835320.153757051</v>
      </c>
    </row>
    <row r="286" customFormat="false" ht="12.75" hidden="false" customHeight="false" outlineLevel="0" collapsed="false">
      <c r="J286" s="67"/>
      <c r="K286" s="67"/>
      <c r="L286" s="151"/>
      <c r="M286" s="151"/>
      <c r="N286" s="151"/>
      <c r="O286" s="69"/>
      <c r="P286" s="69"/>
      <c r="Q286" s="69"/>
      <c r="R286" s="69"/>
      <c r="S286" s="69"/>
      <c r="T286" s="69"/>
      <c r="U286" s="69"/>
      <c r="V286" s="69"/>
      <c r="W286" s="159"/>
      <c r="X286" s="102" t="n">
        <v>733</v>
      </c>
      <c r="Y286" s="124" t="n">
        <f aca="false">Y285+Y$16</f>
        <v>0.00106523305177689</v>
      </c>
      <c r="Z286" s="115" t="n">
        <f aca="false">(K-(L0-Y286*Ldif-alph*Y286^0.5))/R0</f>
        <v>0.781959108586084</v>
      </c>
      <c r="AA286" s="113" t="n">
        <f aca="false">IF(Z286&lt;1,X$14*((1-r_1)-Y$14*(1-r_1^2)+Z$14*(1-r_1^3)),0)</f>
        <v>831982.030750064</v>
      </c>
      <c r="AB286" s="97" t="n">
        <f aca="false">AB285+AB$15</f>
        <v>0.00106523305177689</v>
      </c>
      <c r="AC286" s="115" t="n">
        <f aca="false">(Kopt-(L0-AB286*Ldif-alph*AB286^0.5))/R0</f>
        <v>0.781959108586084</v>
      </c>
      <c r="AD286" s="113" t="n">
        <f aca="false">IF(AC286&lt;1,X$14*((1-ropt)-Y$14*(1-ropt^2)+Z$14*(1-ropt^3)),0)</f>
        <v>831982.030750064</v>
      </c>
    </row>
    <row r="287" customFormat="false" ht="12.75" hidden="false" customHeight="false" outlineLevel="0" collapsed="false">
      <c r="J287" s="67"/>
      <c r="K287" s="67"/>
      <c r="L287" s="151"/>
      <c r="M287" s="151"/>
      <c r="N287" s="151"/>
      <c r="O287" s="69"/>
      <c r="P287" s="69"/>
      <c r="Q287" s="69"/>
      <c r="R287" s="69"/>
      <c r="S287" s="69"/>
      <c r="T287" s="69"/>
      <c r="U287" s="69"/>
      <c r="V287" s="69"/>
      <c r="W287" s="159"/>
      <c r="X287" s="102" t="n">
        <v>732</v>
      </c>
      <c r="Y287" s="124" t="n">
        <f aca="false">Y286+Y$16</f>
        <v>0.00106922268867493</v>
      </c>
      <c r="Z287" s="115" t="n">
        <f aca="false">(K-(L0-Y287*Ldif-alph*Y287^0.5))/R0</f>
        <v>0.782395270847661</v>
      </c>
      <c r="AA287" s="113" t="n">
        <f aca="false">IF(Z287&lt;1,X$14*((1-r_1)-Y$14*(1-r_1^2)+Z$14*(1-r_1^3)),0)</f>
        <v>828656.817615597</v>
      </c>
      <c r="AB287" s="97" t="n">
        <f aca="false">AB286+AB$15</f>
        <v>0.00106922268867493</v>
      </c>
      <c r="AC287" s="115" t="n">
        <f aca="false">(Kopt-(L0-AB287*Ldif-alph*AB287^0.5))/R0</f>
        <v>0.782395270847661</v>
      </c>
      <c r="AD287" s="113" t="n">
        <f aca="false">IF(AC287&lt;1,X$14*((1-ropt)-Y$14*(1-ropt^2)+Z$14*(1-ropt^3)),0)</f>
        <v>828656.817615597</v>
      </c>
    </row>
    <row r="288" customFormat="false" ht="12.75" hidden="false" customHeight="false" outlineLevel="0" collapsed="false">
      <c r="J288" s="67"/>
      <c r="K288" s="67"/>
      <c r="L288" s="151"/>
      <c r="M288" s="151"/>
      <c r="N288" s="151"/>
      <c r="O288" s="69"/>
      <c r="P288" s="69"/>
      <c r="Q288" s="69"/>
      <c r="R288" s="69"/>
      <c r="S288" s="69"/>
      <c r="T288" s="69"/>
      <c r="U288" s="69"/>
      <c r="V288" s="69"/>
      <c r="W288" s="159"/>
      <c r="X288" s="102" t="n">
        <v>731</v>
      </c>
      <c r="Y288" s="124" t="n">
        <f aca="false">Y287+Y$16</f>
        <v>0.00107321232557297</v>
      </c>
      <c r="Z288" s="115" t="n">
        <f aca="false">(K-(L0-Y288*Ldif-alph*Y288^0.5))/R0</f>
        <v>0.782830620132058</v>
      </c>
      <c r="AA288" s="113" t="n">
        <f aca="false">IF(Z288&lt;1,X$14*((1-r_1)-Y$14*(1-r_1^2)+Z$14*(1-r_1^3)),0)</f>
        <v>825344.442163962</v>
      </c>
      <c r="AB288" s="97" t="n">
        <f aca="false">AB287+AB$15</f>
        <v>0.00107321232557297</v>
      </c>
      <c r="AC288" s="115" t="n">
        <f aca="false">(Kopt-(L0-AB288*Ldif-alph*AB288^0.5))/R0</f>
        <v>0.782830620132058</v>
      </c>
      <c r="AD288" s="113" t="n">
        <f aca="false">IF(AC288&lt;1,X$14*((1-ropt)-Y$14*(1-ropt^2)+Z$14*(1-ropt^3)),0)</f>
        <v>825344.442163962</v>
      </c>
    </row>
    <row r="289" customFormat="false" ht="12.75" hidden="false" customHeight="false" outlineLevel="0" collapsed="false">
      <c r="J289" s="67"/>
      <c r="K289" s="67"/>
      <c r="L289" s="151"/>
      <c r="M289" s="151"/>
      <c r="N289" s="151"/>
      <c r="O289" s="69"/>
      <c r="P289" s="69"/>
      <c r="Q289" s="69"/>
      <c r="R289" s="69"/>
      <c r="S289" s="69"/>
      <c r="T289" s="69"/>
      <c r="U289" s="69"/>
      <c r="V289" s="69"/>
      <c r="W289" s="159"/>
      <c r="X289" s="102" t="n">
        <v>730</v>
      </c>
      <c r="Y289" s="124" t="n">
        <f aca="false">Y288+Y$16</f>
        <v>0.00107720196247101</v>
      </c>
      <c r="Z289" s="115" t="n">
        <f aca="false">(K-(L0-Y289*Ldif-alph*Y289^0.5))/R0</f>
        <v>0.783265160968409</v>
      </c>
      <c r="AA289" s="113" t="n">
        <f aca="false">IF(Z289&lt;1,X$14*((1-r_1)-Y$14*(1-r_1^2)+Z$14*(1-r_1^3)),0)</f>
        <v>822044.832875872</v>
      </c>
      <c r="AB289" s="97" t="n">
        <f aca="false">AB288+AB$15</f>
        <v>0.00107720196247101</v>
      </c>
      <c r="AC289" s="115" t="n">
        <f aca="false">(Kopt-(L0-AB289*Ldif-alph*AB289^0.5))/R0</f>
        <v>0.783265160968409</v>
      </c>
      <c r="AD289" s="113" t="n">
        <f aca="false">IF(AC289&lt;1,X$14*((1-ropt)-Y$14*(1-ropt^2)+Z$14*(1-ropt^3)),0)</f>
        <v>822044.832875872</v>
      </c>
    </row>
    <row r="290" customFormat="false" ht="12.75" hidden="false" customHeight="false" outlineLevel="0" collapsed="false">
      <c r="J290" s="67"/>
      <c r="K290" s="67"/>
      <c r="L290" s="151"/>
      <c r="M290" s="151"/>
      <c r="N290" s="151"/>
      <c r="O290" s="69"/>
      <c r="P290" s="69"/>
      <c r="Q290" s="69"/>
      <c r="R290" s="69"/>
      <c r="S290" s="69"/>
      <c r="T290" s="69"/>
      <c r="U290" s="69"/>
      <c r="V290" s="69"/>
      <c r="W290" s="159"/>
      <c r="X290" s="102" t="n">
        <v>729</v>
      </c>
      <c r="Y290" s="124" t="n">
        <f aca="false">Y289+Y$16</f>
        <v>0.00108119159936905</v>
      </c>
      <c r="Z290" s="115" t="n">
        <f aca="false">(K-(L0-Y290*Ldif-alph*Y290^0.5))/R0</f>
        <v>0.78369889784396</v>
      </c>
      <c r="AA290" s="113" t="n">
        <f aca="false">IF(Z290&lt;1,X$14*((1-r_1)-Y$14*(1-r_1^2)+Z$14*(1-r_1^3)),0)</f>
        <v>818757.91889356</v>
      </c>
      <c r="AB290" s="97" t="n">
        <f aca="false">AB289+AB$15</f>
        <v>0.00108119159936905</v>
      </c>
      <c r="AC290" s="115" t="n">
        <f aca="false">(Kopt-(L0-AB290*Ldif-alph*AB290^0.5))/R0</f>
        <v>0.78369889784396</v>
      </c>
      <c r="AD290" s="113" t="n">
        <f aca="false">IF(AC290&lt;1,X$14*((1-ropt)-Y$14*(1-ropt^2)+Z$14*(1-ropt^3)),0)</f>
        <v>818757.91889356</v>
      </c>
    </row>
    <row r="291" customFormat="false" ht="12.75" hidden="false" customHeight="false" outlineLevel="0" collapsed="false">
      <c r="J291" s="67"/>
      <c r="K291" s="67"/>
      <c r="L291" s="151"/>
      <c r="M291" s="151"/>
      <c r="N291" s="151"/>
      <c r="O291" s="69"/>
      <c r="P291" s="69"/>
      <c r="Q291" s="69"/>
      <c r="R291" s="69"/>
      <c r="S291" s="69"/>
      <c r="T291" s="69"/>
      <c r="U291" s="69"/>
      <c r="V291" s="69"/>
      <c r="W291" s="159"/>
      <c r="X291" s="102" t="n">
        <v>728</v>
      </c>
      <c r="Y291" s="124" t="n">
        <f aca="false">Y290+Y$16</f>
        <v>0.00108518123626709</v>
      </c>
      <c r="Z291" s="115" t="n">
        <f aca="false">(K-(L0-Y291*Ldif-alph*Y291^0.5))/R0</f>
        <v>0.784131835204593</v>
      </c>
      <c r="AA291" s="113" t="n">
        <f aca="false">IF(Z291&lt;1,X$14*((1-r_1)-Y$14*(1-r_1^2)+Z$14*(1-r_1^3)),0)</f>
        <v>815483.6300124</v>
      </c>
      <c r="AB291" s="97" t="n">
        <f aca="false">AB290+AB$15</f>
        <v>0.00108518123626709</v>
      </c>
      <c r="AC291" s="115" t="n">
        <f aca="false">(Kopt-(L0-AB291*Ldif-alph*AB291^0.5))/R0</f>
        <v>0.784131835204593</v>
      </c>
      <c r="AD291" s="113" t="n">
        <f aca="false">IF(AC291&lt;1,X$14*((1-ropt)-Y$14*(1-ropt^2)+Z$14*(1-ropt^3)),0)</f>
        <v>815483.6300124</v>
      </c>
    </row>
    <row r="292" customFormat="false" ht="12.75" hidden="false" customHeight="false" outlineLevel="0" collapsed="false">
      <c r="J292" s="67"/>
      <c r="K292" s="67"/>
      <c r="L292" s="151"/>
      <c r="M292" s="151"/>
      <c r="N292" s="151"/>
      <c r="O292" s="69"/>
      <c r="P292" s="69"/>
      <c r="Q292" s="69"/>
      <c r="R292" s="69"/>
      <c r="S292" s="69"/>
      <c r="T292" s="69"/>
      <c r="U292" s="69"/>
      <c r="V292" s="69"/>
      <c r="W292" s="159"/>
      <c r="X292" s="102" t="n">
        <v>727</v>
      </c>
      <c r="Y292" s="124" t="n">
        <f aca="false">Y291+Y$16</f>
        <v>0.00108917087316513</v>
      </c>
      <c r="Z292" s="115" t="n">
        <f aca="false">(K-(L0-Y292*Ldif-alph*Y292^0.5))/R0</f>
        <v>0.784563977455371</v>
      </c>
      <c r="AA292" s="113" t="n">
        <f aca="false">IF(Z292&lt;1,X$14*((1-r_1)-Y$14*(1-r_1^2)+Z$14*(1-r_1^3)),0)</f>
        <v>812221.896672373</v>
      </c>
      <c r="AB292" s="97" t="n">
        <f aca="false">AB291+AB$15</f>
        <v>0.00108917087316513</v>
      </c>
      <c r="AC292" s="115" t="n">
        <f aca="false">(Kopt-(L0-AB292*Ldif-alph*AB292^0.5))/R0</f>
        <v>0.784563977455371</v>
      </c>
      <c r="AD292" s="113" t="n">
        <f aca="false">IF(AC292&lt;1,X$14*((1-ropt)-Y$14*(1-ropt^2)+Z$14*(1-ropt^3)),0)</f>
        <v>812221.896672373</v>
      </c>
    </row>
    <row r="293" customFormat="false" ht="12.75" hidden="false" customHeight="false" outlineLevel="0" collapsed="false">
      <c r="J293" s="67"/>
      <c r="K293" s="67"/>
      <c r="L293" s="151"/>
      <c r="M293" s="151"/>
      <c r="N293" s="151"/>
      <c r="O293" s="69"/>
      <c r="P293" s="69"/>
      <c r="Q293" s="69"/>
      <c r="R293" s="69"/>
      <c r="S293" s="69"/>
      <c r="T293" s="69"/>
      <c r="U293" s="69"/>
      <c r="V293" s="69"/>
      <c r="W293" s="159"/>
      <c r="X293" s="102" t="n">
        <v>726</v>
      </c>
      <c r="Y293" s="124" t="n">
        <f aca="false">Y292+Y$16</f>
        <v>0.00109316051006317</v>
      </c>
      <c r="Z293" s="115" t="n">
        <f aca="false">(K-(L0-Y293*Ldif-alph*Y293^0.5))/R0</f>
        <v>0.784995328961048</v>
      </c>
      <c r="AA293" s="113" t="n">
        <f aca="false">IF(Z293&lt;1,X$14*((1-r_1)-Y$14*(1-r_1^2)+Z$14*(1-r_1^3)),0)</f>
        <v>808972.649949938</v>
      </c>
      <c r="AB293" s="97" t="n">
        <f aca="false">AB292+AB$15</f>
        <v>0.00109316051006317</v>
      </c>
      <c r="AC293" s="115" t="n">
        <f aca="false">(Kopt-(L0-AB293*Ldif-alph*AB293^0.5))/R0</f>
        <v>0.784995328961048</v>
      </c>
      <c r="AD293" s="113" t="n">
        <f aca="false">IF(AC293&lt;1,X$14*((1-ropt)-Y$14*(1-ropt^2)+Z$14*(1-ropt^3)),0)</f>
        <v>808972.649949938</v>
      </c>
    </row>
    <row r="294" customFormat="false" ht="12.75" hidden="false" customHeight="false" outlineLevel="0" collapsed="false">
      <c r="J294" s="67"/>
      <c r="K294" s="67"/>
      <c r="L294" s="151"/>
      <c r="M294" s="151"/>
      <c r="N294" s="151"/>
      <c r="O294" s="69"/>
      <c r="P294" s="69"/>
      <c r="Q294" s="69"/>
      <c r="R294" s="69"/>
      <c r="S294" s="69"/>
      <c r="T294" s="69"/>
      <c r="U294" s="69"/>
      <c r="V294" s="69"/>
      <c r="W294" s="159"/>
      <c r="X294" s="102" t="n">
        <v>725</v>
      </c>
      <c r="Y294" s="124" t="n">
        <f aca="false">Y293+Y$16</f>
        <v>0.00109715014696121</v>
      </c>
      <c r="Z294" s="115" t="n">
        <f aca="false">(K-(L0-Y294*Ldif-alph*Y294^0.5))/R0</f>
        <v>0.785425894046595</v>
      </c>
      <c r="AA294" s="113" t="n">
        <f aca="false">IF(Z294&lt;1,X$14*((1-r_1)-Y$14*(1-r_1^2)+Z$14*(1-r_1^3)),0)</f>
        <v>805735.821549803</v>
      </c>
      <c r="AB294" s="97" t="n">
        <f aca="false">AB293+AB$15</f>
        <v>0.00109715014696121</v>
      </c>
      <c r="AC294" s="115" t="n">
        <f aca="false">(Kopt-(L0-AB294*Ldif-alph*AB294^0.5))/R0</f>
        <v>0.785425894046595</v>
      </c>
      <c r="AD294" s="113" t="n">
        <f aca="false">IF(AC294&lt;1,X$14*((1-ropt)-Y$14*(1-ropt^2)+Z$14*(1-ropt^3)),0)</f>
        <v>805735.821549803</v>
      </c>
    </row>
    <row r="295" customFormat="false" ht="12.75" hidden="false" customHeight="false" outlineLevel="0" collapsed="false">
      <c r="J295" s="67"/>
      <c r="K295" s="67"/>
      <c r="L295" s="151"/>
      <c r="M295" s="151"/>
      <c r="N295" s="151"/>
      <c r="O295" s="69"/>
      <c r="P295" s="69"/>
      <c r="Q295" s="69"/>
      <c r="R295" s="69"/>
      <c r="S295" s="69"/>
      <c r="T295" s="69"/>
      <c r="U295" s="69"/>
      <c r="V295" s="69"/>
      <c r="W295" s="159"/>
      <c r="X295" s="102" t="n">
        <v>724</v>
      </c>
      <c r="Y295" s="124" t="n">
        <f aca="false">Y294+Y$16</f>
        <v>0.00110113978385925</v>
      </c>
      <c r="Z295" s="115" t="n">
        <f aca="false">(K-(L0-Y295*Ldif-alph*Y295^0.5))/R0</f>
        <v>0.785855676997698</v>
      </c>
      <c r="AA295" s="113" t="n">
        <f aca="false">IF(Z295&lt;1,X$14*((1-r_1)-Y$14*(1-r_1^2)+Z$14*(1-r_1^3)),0)</f>
        <v>802511.343796998</v>
      </c>
      <c r="AB295" s="97" t="n">
        <f aca="false">AB294+AB$15</f>
        <v>0.00110113978385925</v>
      </c>
      <c r="AC295" s="115" t="n">
        <f aca="false">(Kopt-(L0-AB295*Ldif-alph*AB295^0.5))/R0</f>
        <v>0.785855676997698</v>
      </c>
      <c r="AD295" s="113" t="n">
        <f aca="false">IF(AC295&lt;1,X$14*((1-ropt)-Y$14*(1-ropt^2)+Z$14*(1-ropt^3)),0)</f>
        <v>802511.343796998</v>
      </c>
    </row>
    <row r="296" customFormat="false" ht="12.75" hidden="false" customHeight="false" outlineLevel="0" collapsed="false">
      <c r="J296" s="67"/>
      <c r="K296" s="67"/>
      <c r="L296" s="151"/>
      <c r="M296" s="151"/>
      <c r="N296" s="151"/>
      <c r="O296" s="69"/>
      <c r="P296" s="69"/>
      <c r="Q296" s="69"/>
      <c r="R296" s="69"/>
      <c r="S296" s="69"/>
      <c r="T296" s="69"/>
      <c r="U296" s="69"/>
      <c r="V296" s="69"/>
      <c r="W296" s="159"/>
      <c r="X296" s="102" t="n">
        <v>723</v>
      </c>
      <c r="Y296" s="124" t="n">
        <f aca="false">Y295+Y$16</f>
        <v>0.00110512942075729</v>
      </c>
      <c r="Z296" s="115" t="n">
        <f aca="false">(K-(L0-Y296*Ldif-alph*Y296^0.5))/R0</f>
        <v>0.786284682061253</v>
      </c>
      <c r="AA296" s="113" t="n">
        <f aca="false">IF(Z296&lt;1,X$14*((1-r_1)-Y$14*(1-r_1^2)+Z$14*(1-r_1^3)),0)</f>
        <v>799299.149629048</v>
      </c>
      <c r="AB296" s="97" t="n">
        <f aca="false">AB295+AB$15</f>
        <v>0.00110512942075729</v>
      </c>
      <c r="AC296" s="115" t="n">
        <f aca="false">(Kopt-(L0-AB296*Ldif-alph*AB296^0.5))/R0</f>
        <v>0.786284682061253</v>
      </c>
      <c r="AD296" s="113" t="n">
        <f aca="false">IF(AC296&lt;1,X$14*((1-ropt)-Y$14*(1-ropt^2)+Z$14*(1-ropt^3)),0)</f>
        <v>799299.149629048</v>
      </c>
    </row>
    <row r="297" customFormat="false" ht="12.75" hidden="false" customHeight="false" outlineLevel="0" collapsed="false">
      <c r="J297" s="67"/>
      <c r="K297" s="67"/>
      <c r="L297" s="151"/>
      <c r="M297" s="151"/>
      <c r="N297" s="151"/>
      <c r="O297" s="69"/>
      <c r="P297" s="69"/>
      <c r="Q297" s="69"/>
      <c r="R297" s="69"/>
      <c r="S297" s="69"/>
      <c r="T297" s="69"/>
      <c r="U297" s="69"/>
      <c r="V297" s="69"/>
      <c r="W297" s="159"/>
      <c r="X297" s="102" t="n">
        <v>722</v>
      </c>
      <c r="Y297" s="124" t="n">
        <f aca="false">Y296+Y$16</f>
        <v>0.00110911905765533</v>
      </c>
      <c r="Z297" s="115" t="n">
        <f aca="false">(K-(L0-Y297*Ldif-alph*Y297^0.5))/R0</f>
        <v>0.786712913445873</v>
      </c>
      <c r="AA297" s="113" t="n">
        <f aca="false">IF(Z297&lt;1,X$14*((1-r_1)-Y$14*(1-r_1^2)+Z$14*(1-r_1^3)),0)</f>
        <v>796099.172588087</v>
      </c>
      <c r="AB297" s="97" t="n">
        <f aca="false">AB296+AB$15</f>
        <v>0.00110911905765533</v>
      </c>
      <c r="AC297" s="115" t="n">
        <f aca="false">(Kopt-(L0-AB297*Ldif-alph*AB297^0.5))/R0</f>
        <v>0.786712913445873</v>
      </c>
      <c r="AD297" s="113" t="n">
        <f aca="false">IF(AC297&lt;1,X$14*((1-ropt)-Y$14*(1-ropt^2)+Z$14*(1-ropt^3)),0)</f>
        <v>796099.172588087</v>
      </c>
    </row>
    <row r="298" customFormat="false" ht="12.75" hidden="false" customHeight="false" outlineLevel="0" collapsed="false">
      <c r="J298" s="67"/>
      <c r="K298" s="67"/>
      <c r="L298" s="151"/>
      <c r="M298" s="151"/>
      <c r="N298" s="151"/>
      <c r="O298" s="69"/>
      <c r="P298" s="69"/>
      <c r="Q298" s="69"/>
      <c r="R298" s="69"/>
      <c r="S298" s="69"/>
      <c r="T298" s="69"/>
      <c r="U298" s="69"/>
      <c r="V298" s="69"/>
      <c r="W298" s="159"/>
      <c r="X298" s="102" t="n">
        <v>721</v>
      </c>
      <c r="Y298" s="124" t="n">
        <f aca="false">Y297+Y$16</f>
        <v>0.00111310869455338</v>
      </c>
      <c r="Z298" s="115" t="n">
        <f aca="false">(K-(L0-Y298*Ldif-alph*Y298^0.5))/R0</f>
        <v>0.787140375322346</v>
      </c>
      <c r="AA298" s="113" t="n">
        <f aca="false">IF(Z298&lt;1,X$14*((1-r_1)-Y$14*(1-r_1^2)+Z$14*(1-r_1^3)),0)</f>
        <v>792911.346813455</v>
      </c>
      <c r="AB298" s="97" t="n">
        <f aca="false">AB297+AB$15</f>
        <v>0.00111310869455338</v>
      </c>
      <c r="AC298" s="115" t="n">
        <f aca="false">(Kopt-(L0-AB298*Ldif-alph*AB298^0.5))/R0</f>
        <v>0.787140375322346</v>
      </c>
      <c r="AD298" s="113" t="n">
        <f aca="false">IF(AC298&lt;1,X$14*((1-ropt)-Y$14*(1-ropt^2)+Z$14*(1-ropt^3)),0)</f>
        <v>792911.346813455</v>
      </c>
    </row>
    <row r="299" customFormat="false" ht="12.75" hidden="false" customHeight="false" outlineLevel="0" collapsed="false">
      <c r="J299" s="67"/>
      <c r="K299" s="67"/>
      <c r="L299" s="151"/>
      <c r="M299" s="151"/>
      <c r="N299" s="151"/>
      <c r="O299" s="69"/>
      <c r="P299" s="69"/>
      <c r="Q299" s="69"/>
      <c r="R299" s="69"/>
      <c r="S299" s="69"/>
      <c r="T299" s="69"/>
      <c r="U299" s="69"/>
      <c r="V299" s="69"/>
      <c r="W299" s="159"/>
      <c r="X299" s="102" t="n">
        <v>720</v>
      </c>
      <c r="Y299" s="124" t="n">
        <f aca="false">Y298+Y$16</f>
        <v>0.00111709833145142</v>
      </c>
      <c r="Z299" s="115" t="n">
        <f aca="false">(K-(L0-Y299*Ldif-alph*Y299^0.5))/R0</f>
        <v>0.787567071824129</v>
      </c>
      <c r="AA299" s="113" t="n">
        <f aca="false">IF(Z299&lt;1,X$14*((1-r_1)-Y$14*(1-r_1^2)+Z$14*(1-r_1^3)),0)</f>
        <v>789735.607034061</v>
      </c>
      <c r="AB299" s="97" t="n">
        <f aca="false">AB298+AB$15</f>
        <v>0.00111709833145142</v>
      </c>
      <c r="AC299" s="115" t="n">
        <f aca="false">(Kopt-(L0-AB299*Ldif-alph*AB299^0.5))/R0</f>
        <v>0.787567071824129</v>
      </c>
      <c r="AD299" s="113" t="n">
        <f aca="false">IF(AC299&lt;1,X$14*((1-ropt)-Y$14*(1-ropt^2)+Z$14*(1-ropt^3)),0)</f>
        <v>789735.607034061</v>
      </c>
    </row>
    <row r="300" customFormat="false" ht="12.75" hidden="false" customHeight="false" outlineLevel="0" collapsed="false">
      <c r="J300" s="67"/>
      <c r="K300" s="67"/>
      <c r="L300" s="151"/>
      <c r="M300" s="151"/>
      <c r="N300" s="151"/>
      <c r="O300" s="69"/>
      <c r="P300" s="69"/>
      <c r="Q300" s="69"/>
      <c r="R300" s="69"/>
      <c r="S300" s="69"/>
      <c r="T300" s="69"/>
      <c r="U300" s="69"/>
      <c r="V300" s="69"/>
      <c r="W300" s="159"/>
      <c r="X300" s="102" t="n">
        <v>719</v>
      </c>
      <c r="Y300" s="124" t="n">
        <f aca="false">Y299+Y$16</f>
        <v>0.00112108796834946</v>
      </c>
      <c r="Z300" s="115" t="n">
        <f aca="false">(K-(L0-Y300*Ldif-alph*Y300^0.5))/R0</f>
        <v>0.787993007047798</v>
      </c>
      <c r="AA300" s="113" t="n">
        <f aca="false">IF(Z300&lt;1,X$14*((1-r_1)-Y$14*(1-r_1^2)+Z$14*(1-r_1^3)),0)</f>
        <v>786571.888561113</v>
      </c>
      <c r="AB300" s="97" t="n">
        <f aca="false">AB299+AB$15</f>
        <v>0.00112108796834946</v>
      </c>
      <c r="AC300" s="115" t="n">
        <f aca="false">(Kopt-(L0-AB300*Ldif-alph*AB300^0.5))/R0</f>
        <v>0.787993007047798</v>
      </c>
      <c r="AD300" s="113" t="n">
        <f aca="false">IF(AC300&lt;1,X$14*((1-ropt)-Y$14*(1-ropt^2)+Z$14*(1-ropt^3)),0)</f>
        <v>786571.888561113</v>
      </c>
    </row>
    <row r="301" customFormat="false" ht="12.75" hidden="false" customHeight="false" outlineLevel="0" collapsed="false">
      <c r="J301" s="67"/>
      <c r="K301" s="67"/>
      <c r="L301" s="151"/>
      <c r="M301" s="151"/>
      <c r="N301" s="151"/>
      <c r="O301" s="69"/>
      <c r="P301" s="69"/>
      <c r="Q301" s="69"/>
      <c r="R301" s="69"/>
      <c r="S301" s="69"/>
      <c r="T301" s="69"/>
      <c r="U301" s="69"/>
      <c r="V301" s="69"/>
      <c r="W301" s="159"/>
      <c r="X301" s="102" t="n">
        <v>718</v>
      </c>
      <c r="Y301" s="124" t="n">
        <f aca="false">Y300+Y$16</f>
        <v>0.0011250776052475</v>
      </c>
      <c r="Z301" s="115" t="n">
        <f aca="false">(K-(L0-Y301*Ldif-alph*Y301^0.5))/R0</f>
        <v>0.788418185053524</v>
      </c>
      <c r="AA301" s="113" t="n">
        <f aca="false">IF(Z301&lt;1,X$14*((1-r_1)-Y$14*(1-r_1^2)+Z$14*(1-r_1^3)),0)</f>
        <v>783420.127280783</v>
      </c>
      <c r="AB301" s="97" t="n">
        <f aca="false">AB300+AB$15</f>
        <v>0.0011250776052475</v>
      </c>
      <c r="AC301" s="115" t="n">
        <f aca="false">(Kopt-(L0-AB301*Ldif-alph*AB301^0.5))/R0</f>
        <v>0.788418185053524</v>
      </c>
      <c r="AD301" s="113" t="n">
        <f aca="false">IF(AC301&lt;1,X$14*((1-ropt)-Y$14*(1-ropt^2)+Z$14*(1-ropt^3)),0)</f>
        <v>783420.127280783</v>
      </c>
    </row>
    <row r="302" customFormat="false" ht="12.75" hidden="false" customHeight="false" outlineLevel="0" collapsed="false">
      <c r="J302" s="67"/>
      <c r="K302" s="67"/>
      <c r="L302" s="151"/>
      <c r="M302" s="151"/>
      <c r="N302" s="151"/>
      <c r="O302" s="69"/>
      <c r="P302" s="69"/>
      <c r="Q302" s="69"/>
      <c r="R302" s="69"/>
      <c r="S302" s="69"/>
      <c r="T302" s="69"/>
      <c r="U302" s="69"/>
      <c r="V302" s="69"/>
      <c r="W302" s="159"/>
      <c r="X302" s="102" t="n">
        <v>717</v>
      </c>
      <c r="Y302" s="124" t="n">
        <f aca="false">Y301+Y$16</f>
        <v>0.00112906724214554</v>
      </c>
      <c r="Z302" s="115" t="n">
        <f aca="false">(K-(L0-Y302*Ldif-alph*Y302^0.5))/R0</f>
        <v>0.788842609865506</v>
      </c>
      <c r="AA302" s="113" t="n">
        <f aca="false">IF(Z302&lt;1,X$14*((1-r_1)-Y$14*(1-r_1^2)+Z$14*(1-r_1^3)),0)</f>
        <v>780280.259647193</v>
      </c>
      <c r="AB302" s="97" t="n">
        <f aca="false">AB301+AB$15</f>
        <v>0.00112906724214554</v>
      </c>
      <c r="AC302" s="115" t="n">
        <f aca="false">(Kopt-(L0-AB302*Ldif-alph*AB302^0.5))/R0</f>
        <v>0.788842609865506</v>
      </c>
      <c r="AD302" s="113" t="n">
        <f aca="false">IF(AC302&lt;1,X$14*((1-ropt)-Y$14*(1-ropt^2)+Z$14*(1-ropt^3)),0)</f>
        <v>780280.259647193</v>
      </c>
    </row>
    <row r="303" customFormat="false" ht="12.75" hidden="false" customHeight="false" outlineLevel="0" collapsed="false">
      <c r="J303" s="67"/>
      <c r="K303" s="67"/>
      <c r="L303" s="151"/>
      <c r="M303" s="151"/>
      <c r="N303" s="151"/>
      <c r="O303" s="69"/>
      <c r="P303" s="69"/>
      <c r="Q303" s="69"/>
      <c r="R303" s="69"/>
      <c r="S303" s="69"/>
      <c r="T303" s="69"/>
      <c r="U303" s="69"/>
      <c r="V303" s="69"/>
      <c r="W303" s="159"/>
      <c r="X303" s="102" t="n">
        <v>716</v>
      </c>
      <c r="Y303" s="124" t="n">
        <f aca="false">Y302+Y$16</f>
        <v>0.00113305687904358</v>
      </c>
      <c r="Z303" s="115" t="n">
        <f aca="false">(K-(L0-Y303*Ldif-alph*Y303^0.5))/R0</f>
        <v>0.789266285472433</v>
      </c>
      <c r="AA303" s="113" t="n">
        <f aca="false">IF(Z303&lt;1,X$14*((1-r_1)-Y$14*(1-r_1^2)+Z$14*(1-r_1^3)),0)</f>
        <v>777152.222675257</v>
      </c>
      <c r="AB303" s="97" t="n">
        <f aca="false">AB302+AB$15</f>
        <v>0.00113305687904358</v>
      </c>
      <c r="AC303" s="115" t="n">
        <f aca="false">(Kopt-(L0-AB303*Ldif-alph*AB303^0.5))/R0</f>
        <v>0.789266285472433</v>
      </c>
      <c r="AD303" s="113" t="n">
        <f aca="false">IF(AC303&lt;1,X$14*((1-ropt)-Y$14*(1-ropt^2)+Z$14*(1-ropt^3)),0)</f>
        <v>777152.222675257</v>
      </c>
    </row>
    <row r="304" customFormat="false" ht="12.75" hidden="false" customHeight="false" outlineLevel="0" collapsed="false">
      <c r="J304" s="67"/>
      <c r="K304" s="67"/>
      <c r="L304" s="151"/>
      <c r="M304" s="151"/>
      <c r="N304" s="151"/>
      <c r="O304" s="69"/>
      <c r="P304" s="69"/>
      <c r="Q304" s="69"/>
      <c r="R304" s="69"/>
      <c r="S304" s="69"/>
      <c r="T304" s="69"/>
      <c r="U304" s="69"/>
      <c r="V304" s="69"/>
      <c r="W304" s="159"/>
      <c r="X304" s="102" t="n">
        <v>715</v>
      </c>
      <c r="Y304" s="124" t="n">
        <f aca="false">Y303+Y$16</f>
        <v>0.00113704651594162</v>
      </c>
      <c r="Z304" s="115" t="n">
        <f aca="false">(K-(L0-Y304*Ldif-alph*Y304^0.5))/R0</f>
        <v>0.789689215827906</v>
      </c>
      <c r="AA304" s="113" t="n">
        <f aca="false">IF(Z304&lt;1,X$14*((1-r_1)-Y$14*(1-r_1^2)+Z$14*(1-r_1^3)),0)</f>
        <v>774035.953933922</v>
      </c>
      <c r="AB304" s="97" t="n">
        <f aca="false">AB303+AB$15</f>
        <v>0.00113704651594162</v>
      </c>
      <c r="AC304" s="115" t="n">
        <f aca="false">(Kopt-(L0-AB304*Ldif-alph*AB304^0.5))/R0</f>
        <v>0.789689215827906</v>
      </c>
      <c r="AD304" s="113" t="n">
        <f aca="false">IF(AC304&lt;1,X$14*((1-ropt)-Y$14*(1-ropt^2)+Z$14*(1-ropt^3)),0)</f>
        <v>774035.953933922</v>
      </c>
    </row>
    <row r="305" customFormat="false" ht="12.75" hidden="false" customHeight="false" outlineLevel="0" collapsed="false">
      <c r="J305" s="67"/>
      <c r="K305" s="67"/>
      <c r="L305" s="151"/>
      <c r="M305" s="151"/>
      <c r="N305" s="151"/>
      <c r="O305" s="69"/>
      <c r="P305" s="69"/>
      <c r="Q305" s="69"/>
      <c r="R305" s="69"/>
      <c r="S305" s="69"/>
      <c r="T305" s="69"/>
      <c r="U305" s="69"/>
      <c r="V305" s="69"/>
      <c r="W305" s="159"/>
      <c r="X305" s="102" t="n">
        <v>714</v>
      </c>
      <c r="Y305" s="124" t="n">
        <f aca="false">Y304+Y$16</f>
        <v>0.00114103615283966</v>
      </c>
      <c r="Z305" s="115" t="n">
        <f aca="false">(K-(L0-Y305*Ldif-alph*Y305^0.5))/R0</f>
        <v>0.790111404850879</v>
      </c>
      <c r="AA305" s="113" t="n">
        <f aca="false">IF(Z305&lt;1,X$14*((1-r_1)-Y$14*(1-r_1^2)+Z$14*(1-r_1^3)),0)</f>
        <v>770931.391539251</v>
      </c>
      <c r="AB305" s="97" t="n">
        <f aca="false">AB304+AB$15</f>
        <v>0.00114103615283966</v>
      </c>
      <c r="AC305" s="115" t="n">
        <f aca="false">(Kopt-(L0-AB305*Ldif-alph*AB305^0.5))/R0</f>
        <v>0.790111404850879</v>
      </c>
      <c r="AD305" s="113" t="n">
        <f aca="false">IF(AC305&lt;1,X$14*((1-ropt)-Y$14*(1-ropt^2)+Z$14*(1-ropt^3)),0)</f>
        <v>770931.391539251</v>
      </c>
    </row>
    <row r="306" customFormat="false" ht="12.75" hidden="false" customHeight="false" outlineLevel="0" collapsed="false">
      <c r="J306" s="67"/>
      <c r="K306" s="67"/>
      <c r="L306" s="151"/>
      <c r="M306" s="151"/>
      <c r="N306" s="151"/>
      <c r="O306" s="69"/>
      <c r="P306" s="69"/>
      <c r="Q306" s="69"/>
      <c r="R306" s="69"/>
      <c r="S306" s="69"/>
      <c r="T306" s="69"/>
      <c r="U306" s="69"/>
      <c r="V306" s="69"/>
      <c r="W306" s="159"/>
      <c r="X306" s="102" t="n">
        <v>713</v>
      </c>
      <c r="Y306" s="124" t="n">
        <f aca="false">Y305+Y$16</f>
        <v>0.0011450257897377</v>
      </c>
      <c r="Z306" s="115" t="n">
        <f aca="false">(K-(L0-Y306*Ldif-alph*Y306^0.5))/R0</f>
        <v>0.790532856426079</v>
      </c>
      <c r="AA306" s="113" t="n">
        <f aca="false">IF(Z306&lt;1,X$14*((1-r_1)-Y$14*(1-r_1^2)+Z$14*(1-r_1^3)),0)</f>
        <v>767838.474147809</v>
      </c>
      <c r="AB306" s="97" t="n">
        <f aca="false">AB305+AB$15</f>
        <v>0.0011450257897377</v>
      </c>
      <c r="AC306" s="115" t="n">
        <f aca="false">(Kopt-(L0-AB306*Ldif-alph*AB306^0.5))/R0</f>
        <v>0.790532856426079</v>
      </c>
      <c r="AD306" s="113" t="n">
        <f aca="false">IF(AC306&lt;1,X$14*((1-ropt)-Y$14*(1-ropt^2)+Z$14*(1-ropt^3)),0)</f>
        <v>767838.474147809</v>
      </c>
    </row>
    <row r="307" customFormat="false" ht="12.75" hidden="false" customHeight="false" outlineLevel="0" collapsed="false">
      <c r="J307" s="67"/>
      <c r="K307" s="67"/>
      <c r="L307" s="151"/>
      <c r="M307" s="151"/>
      <c r="N307" s="151"/>
      <c r="O307" s="69"/>
      <c r="P307" s="69"/>
      <c r="Q307" s="69"/>
      <c r="R307" s="69"/>
      <c r="S307" s="69"/>
      <c r="T307" s="69"/>
      <c r="U307" s="69"/>
      <c r="V307" s="69"/>
      <c r="W307" s="159"/>
      <c r="X307" s="102" t="n">
        <v>712</v>
      </c>
      <c r="Y307" s="124" t="n">
        <f aca="false">Y306+Y$16</f>
        <v>0.00114901542663574</v>
      </c>
      <c r="Z307" s="115" t="n">
        <f aca="false">(K-(L0-Y307*Ldif-alph*Y307^0.5))/R0</f>
        <v>0.790953574404424</v>
      </c>
      <c r="AA307" s="113" t="n">
        <f aca="false">IF(Z307&lt;1,X$14*((1-r_1)-Y$14*(1-r_1^2)+Z$14*(1-r_1^3)),0)</f>
        <v>764757.140950019</v>
      </c>
      <c r="AB307" s="97" t="n">
        <f aca="false">AB306+AB$15</f>
        <v>0.00114901542663574</v>
      </c>
      <c r="AC307" s="115" t="n">
        <f aca="false">(Kopt-(L0-AB307*Ldif-alph*AB307^0.5))/R0</f>
        <v>0.790953574404424</v>
      </c>
      <c r="AD307" s="113" t="n">
        <f aca="false">IF(AC307&lt;1,X$14*((1-ropt)-Y$14*(1-ropt^2)+Z$14*(1-ropt^3)),0)</f>
        <v>764757.140950019</v>
      </c>
    </row>
    <row r="308" customFormat="false" ht="12.75" hidden="false" customHeight="false" outlineLevel="0" collapsed="false">
      <c r="J308" s="67"/>
      <c r="K308" s="67"/>
      <c r="L308" s="151"/>
      <c r="M308" s="151"/>
      <c r="N308" s="151"/>
      <c r="O308" s="69"/>
      <c r="P308" s="69"/>
      <c r="Q308" s="69"/>
      <c r="R308" s="69"/>
      <c r="S308" s="69"/>
      <c r="T308" s="69"/>
      <c r="U308" s="69"/>
      <c r="V308" s="69"/>
      <c r="W308" s="159"/>
      <c r="X308" s="102" t="n">
        <v>711</v>
      </c>
      <c r="Y308" s="124" t="n">
        <f aca="false">Y307+Y$16</f>
        <v>0.00115300506353378</v>
      </c>
      <c r="Z308" s="115" t="n">
        <f aca="false">(K-(L0-Y308*Ldif-alph*Y308^0.5))/R0</f>
        <v>0.791373562603428</v>
      </c>
      <c r="AA308" s="113" t="n">
        <f aca="false">IF(Z308&lt;1,X$14*((1-r_1)-Y$14*(1-r_1^2)+Z$14*(1-r_1^3)),0)</f>
        <v>761687.331663752</v>
      </c>
      <c r="AB308" s="97" t="n">
        <f aca="false">AB307+AB$15</f>
        <v>0.00115300506353378</v>
      </c>
      <c r="AC308" s="115" t="n">
        <f aca="false">(Kopt-(L0-AB308*Ldif-alph*AB308^0.5))/R0</f>
        <v>0.791373562603428</v>
      </c>
      <c r="AD308" s="113" t="n">
        <f aca="false">IF(AC308&lt;1,X$14*((1-ropt)-Y$14*(1-ropt^2)+Z$14*(1-ropt^3)),0)</f>
        <v>761687.331663752</v>
      </c>
    </row>
    <row r="309" customFormat="false" ht="12.75" hidden="false" customHeight="false" outlineLevel="0" collapsed="false">
      <c r="J309" s="67"/>
      <c r="K309" s="67"/>
      <c r="L309" s="151"/>
      <c r="M309" s="151"/>
      <c r="N309" s="151"/>
      <c r="O309" s="69"/>
      <c r="P309" s="69"/>
      <c r="Q309" s="69"/>
      <c r="R309" s="69"/>
      <c r="S309" s="69"/>
      <c r="T309" s="69"/>
      <c r="U309" s="69"/>
      <c r="V309" s="69"/>
      <c r="W309" s="159"/>
      <c r="X309" s="102" t="n">
        <v>710</v>
      </c>
      <c r="Y309" s="124" t="n">
        <f aca="false">Y308+Y$16</f>
        <v>0.00115699470043183</v>
      </c>
      <c r="Z309" s="115" t="n">
        <f aca="false">(K-(L0-Y309*Ldif-alph*Y309^0.5))/R0</f>
        <v>0.79179282480762</v>
      </c>
      <c r="AA309" s="113" t="n">
        <f aca="false">IF(Z309&lt;1,X$14*((1-r_1)-Y$14*(1-r_1^2)+Z$14*(1-r_1^3)),0)</f>
        <v>758628.98652783</v>
      </c>
      <c r="AB309" s="97" t="n">
        <f aca="false">AB308+AB$15</f>
        <v>0.00115699470043183</v>
      </c>
      <c r="AC309" s="115" t="n">
        <f aca="false">(Kopt-(L0-AB309*Ldif-alph*AB309^0.5))/R0</f>
        <v>0.79179282480762</v>
      </c>
      <c r="AD309" s="113" t="n">
        <f aca="false">IF(AC309&lt;1,X$14*((1-ropt)-Y$14*(1-ropt^2)+Z$14*(1-ropt^3)),0)</f>
        <v>758628.98652783</v>
      </c>
    </row>
    <row r="310" customFormat="false" ht="12.75" hidden="false" customHeight="false" outlineLevel="0" collapsed="false">
      <c r="J310" s="67"/>
      <c r="K310" s="67"/>
      <c r="L310" s="151"/>
      <c r="M310" s="151"/>
      <c r="N310" s="151"/>
      <c r="O310" s="69"/>
      <c r="P310" s="69"/>
      <c r="Q310" s="69"/>
      <c r="R310" s="69"/>
      <c r="S310" s="69"/>
      <c r="T310" s="69"/>
      <c r="U310" s="69"/>
      <c r="V310" s="69"/>
      <c r="W310" s="159"/>
      <c r="X310" s="102" t="n">
        <v>709</v>
      </c>
      <c r="Y310" s="124" t="n">
        <f aca="false">Y309+Y$16</f>
        <v>0.00116098433732987</v>
      </c>
      <c r="Z310" s="115" t="n">
        <f aca="false">(K-(L0-Y310*Ldif-alph*Y310^0.5))/R0</f>
        <v>0.792211364768917</v>
      </c>
      <c r="AA310" s="113" t="n">
        <f aca="false">IF(Z310&lt;1,X$14*((1-r_1)-Y$14*(1-r_1^2)+Z$14*(1-r_1^3)),0)</f>
        <v>755582.046295929</v>
      </c>
      <c r="AB310" s="97" t="n">
        <f aca="false">AB309+AB$15</f>
        <v>0.00116098433732987</v>
      </c>
      <c r="AC310" s="115" t="n">
        <f aca="false">(Kopt-(L0-AB310*Ldif-alph*AB310^0.5))/R0</f>
        <v>0.792211364768917</v>
      </c>
      <c r="AD310" s="113" t="n">
        <f aca="false">IF(AC310&lt;1,X$14*((1-ropt)-Y$14*(1-ropt^2)+Z$14*(1-ropt^3)),0)</f>
        <v>755582.046295929</v>
      </c>
    </row>
    <row r="311" customFormat="false" ht="12.75" hidden="false" customHeight="false" outlineLevel="0" collapsed="false">
      <c r="J311" s="67"/>
      <c r="K311" s="67"/>
      <c r="L311" s="151"/>
      <c r="M311" s="151"/>
      <c r="N311" s="151"/>
      <c r="O311" s="69"/>
      <c r="P311" s="69"/>
      <c r="Q311" s="69"/>
      <c r="R311" s="69"/>
      <c r="S311" s="69"/>
      <c r="T311" s="69"/>
      <c r="U311" s="69"/>
      <c r="V311" s="69"/>
      <c r="W311" s="159"/>
      <c r="X311" s="102" t="n">
        <v>708</v>
      </c>
      <c r="Y311" s="124" t="n">
        <f aca="false">Y310+Y$16</f>
        <v>0.00116497397422791</v>
      </c>
      <c r="Z311" s="115" t="n">
        <f aca="false">(K-(L0-Y311*Ldif-alph*Y311^0.5))/R0</f>
        <v>0.792629186207046</v>
      </c>
      <c r="AA311" s="113" t="n">
        <f aca="false">IF(Z311&lt;1,X$14*((1-r_1)-Y$14*(1-r_1^2)+Z$14*(1-r_1^3)),0)</f>
        <v>752546.45223016</v>
      </c>
      <c r="AB311" s="97" t="n">
        <f aca="false">AB310+AB$15</f>
        <v>0.00116497397422791</v>
      </c>
      <c r="AC311" s="115" t="n">
        <f aca="false">(Kopt-(L0-AB311*Ldif-alph*AB311^0.5))/R0</f>
        <v>0.792629186207046</v>
      </c>
      <c r="AD311" s="113" t="n">
        <f aca="false">IF(AC311&lt;1,X$14*((1-ropt)-Y$14*(1-ropt^2)+Z$14*(1-ropt^3)),0)</f>
        <v>752546.45223016</v>
      </c>
    </row>
    <row r="312" customFormat="false" ht="12.75" hidden="false" customHeight="false" outlineLevel="0" collapsed="false">
      <c r="J312" s="67"/>
      <c r="K312" s="67"/>
      <c r="L312" s="151"/>
      <c r="M312" s="151"/>
      <c r="N312" s="151"/>
      <c r="O312" s="69"/>
      <c r="P312" s="69"/>
      <c r="Q312" s="69"/>
      <c r="R312" s="69"/>
      <c r="S312" s="69"/>
      <c r="T312" s="69"/>
      <c r="U312" s="69"/>
      <c r="V312" s="69"/>
      <c r="W312" s="159"/>
      <c r="X312" s="102" t="n">
        <v>707</v>
      </c>
      <c r="Y312" s="124" t="n">
        <f aca="false">Y311+Y$16</f>
        <v>0.00116896361112595</v>
      </c>
      <c r="Z312" s="115" t="n">
        <f aca="false">(K-(L0-Y312*Ldif-alph*Y312^0.5))/R0</f>
        <v>0.7930462928099</v>
      </c>
      <c r="AA312" s="113" t="n">
        <f aca="false">IF(Z312&lt;1,X$14*((1-r_1)-Y$14*(1-r_1^2)+Z$14*(1-r_1^3)),0)</f>
        <v>749522.146095197</v>
      </c>
      <c r="AB312" s="97" t="n">
        <f aca="false">AB311+AB$15</f>
        <v>0.00116896361112595</v>
      </c>
      <c r="AC312" s="115" t="n">
        <f aca="false">(Kopt-(L0-AB312*Ldif-alph*AB312^0.5))/R0</f>
        <v>0.7930462928099</v>
      </c>
      <c r="AD312" s="113" t="n">
        <f aca="false">IF(AC312&lt;1,X$14*((1-ropt)-Y$14*(1-ropt^2)+Z$14*(1-ropt^3)),0)</f>
        <v>749522.146095197</v>
      </c>
    </row>
    <row r="313" customFormat="false" ht="12.75" hidden="false" customHeight="false" outlineLevel="0" collapsed="false">
      <c r="J313" s="67"/>
      <c r="K313" s="67"/>
      <c r="L313" s="151"/>
      <c r="M313" s="151"/>
      <c r="N313" s="151"/>
      <c r="O313" s="69"/>
      <c r="P313" s="69"/>
      <c r="Q313" s="69"/>
      <c r="R313" s="69"/>
      <c r="S313" s="69"/>
      <c r="T313" s="69"/>
      <c r="U313" s="69"/>
      <c r="V313" s="69"/>
      <c r="W313" s="159"/>
      <c r="X313" s="102" t="n">
        <v>706</v>
      </c>
      <c r="Y313" s="124" t="n">
        <f aca="false">Y312+Y$16</f>
        <v>0.00117295324802399</v>
      </c>
      <c r="Z313" s="115" t="n">
        <f aca="false">(K-(L0-Y313*Ldif-alph*Y313^0.5))/R0</f>
        <v>0.793462688233944</v>
      </c>
      <c r="AA313" s="113" t="n">
        <f aca="false">IF(Z313&lt;1,X$14*((1-r_1)-Y$14*(1-r_1^2)+Z$14*(1-r_1^3)),0)</f>
        <v>746509.070152106</v>
      </c>
      <c r="AB313" s="97" t="n">
        <f aca="false">AB312+AB$15</f>
        <v>0.00117295324802399</v>
      </c>
      <c r="AC313" s="115" t="n">
        <f aca="false">(Kopt-(L0-AB313*Ldif-alph*AB313^0.5))/R0</f>
        <v>0.793462688233944</v>
      </c>
      <c r="AD313" s="113" t="n">
        <f aca="false">IF(AC313&lt;1,X$14*((1-ropt)-Y$14*(1-ropt^2)+Z$14*(1-ropt^3)),0)</f>
        <v>746509.070152106</v>
      </c>
    </row>
    <row r="314" customFormat="false" ht="12.75" hidden="false" customHeight="false" outlineLevel="0" collapsed="false">
      <c r="J314" s="67"/>
      <c r="K314" s="67"/>
      <c r="L314" s="151"/>
      <c r="M314" s="151"/>
      <c r="N314" s="151"/>
      <c r="O314" s="69"/>
      <c r="P314" s="69"/>
      <c r="Q314" s="69"/>
      <c r="R314" s="69"/>
      <c r="S314" s="69"/>
      <c r="T314" s="69"/>
      <c r="U314" s="69"/>
      <c r="V314" s="69"/>
      <c r="W314" s="159"/>
      <c r="X314" s="102" t="n">
        <v>705</v>
      </c>
      <c r="Y314" s="124" t="n">
        <f aca="false">Y313+Y$16</f>
        <v>0.00117694288492203</v>
      </c>
      <c r="Z314" s="115" t="n">
        <f aca="false">(K-(L0-Y314*Ldif-alph*Y314^0.5))/R0</f>
        <v>0.793878376104568</v>
      </c>
      <c r="AA314" s="113" t="n">
        <f aca="false">IF(Z314&lt;1,X$14*((1-r_1)-Y$14*(1-r_1^2)+Z$14*(1-r_1^3)),0)</f>
        <v>743507.167152577</v>
      </c>
      <c r="AB314" s="97" t="n">
        <f aca="false">AB313+AB$15</f>
        <v>0.00117694288492203</v>
      </c>
      <c r="AC314" s="115" t="n">
        <f aca="false">(Kopt-(L0-AB314*Ldif-alph*AB314^0.5))/R0</f>
        <v>0.793878376104568</v>
      </c>
      <c r="AD314" s="113" t="n">
        <f aca="false">IF(AC314&lt;1,X$14*((1-ropt)-Y$14*(1-ropt^2)+Z$14*(1-ropt^3)),0)</f>
        <v>743507.167152577</v>
      </c>
    </row>
    <row r="315" customFormat="false" ht="12.75" hidden="false" customHeight="false" outlineLevel="0" collapsed="false">
      <c r="J315" s="67"/>
      <c r="K315" s="67"/>
      <c r="L315" s="151"/>
      <c r="M315" s="151"/>
      <c r="N315" s="151"/>
      <c r="O315" s="69"/>
      <c r="P315" s="69"/>
      <c r="Q315" s="69"/>
      <c r="R315" s="69"/>
      <c r="S315" s="69"/>
      <c r="T315" s="69"/>
      <c r="U315" s="69"/>
      <c r="V315" s="69"/>
      <c r="W315" s="159"/>
      <c r="X315" s="102" t="n">
        <v>704</v>
      </c>
      <c r="Y315" s="124" t="n">
        <f aca="false">Y314+Y$16</f>
        <v>0.00118093252182007</v>
      </c>
      <c r="Z315" s="115" t="n">
        <f aca="false">(K-(L0-Y315*Ldif-alph*Y315^0.5))/R0</f>
        <v>0.794293360016473</v>
      </c>
      <c r="AA315" s="113" t="n">
        <f aca="false">IF(Z315&lt;1,X$14*((1-r_1)-Y$14*(1-r_1^2)+Z$14*(1-r_1^3)),0)</f>
        <v>740516.380332969</v>
      </c>
      <c r="AB315" s="97" t="n">
        <f aca="false">AB314+AB$15</f>
        <v>0.00118093252182007</v>
      </c>
      <c r="AC315" s="115" t="n">
        <f aca="false">(Kopt-(L0-AB315*Ldif-alph*AB315^0.5))/R0</f>
        <v>0.794293360016473</v>
      </c>
      <c r="AD315" s="113" t="n">
        <f aca="false">IF(AC315&lt;1,X$14*((1-ropt)-Y$14*(1-ropt^2)+Z$14*(1-ropt^3)),0)</f>
        <v>740516.380332969</v>
      </c>
    </row>
    <row r="316" customFormat="false" ht="12.75" hidden="false" customHeight="false" outlineLevel="0" collapsed="false">
      <c r="J316" s="67"/>
      <c r="K316" s="67"/>
      <c r="L316" s="151"/>
      <c r="M316" s="151"/>
      <c r="N316" s="151"/>
      <c r="O316" s="69"/>
      <c r="P316" s="69"/>
      <c r="Q316" s="69"/>
      <c r="R316" s="69"/>
      <c r="S316" s="69"/>
      <c r="T316" s="69"/>
      <c r="U316" s="69"/>
      <c r="V316" s="69"/>
      <c r="W316" s="159"/>
      <c r="X316" s="102" t="n">
        <v>703</v>
      </c>
      <c r="Y316" s="124" t="n">
        <f aca="false">Y315+Y$16</f>
        <v>0.00118492215871811</v>
      </c>
      <c r="Z316" s="115" t="n">
        <f aca="false">(K-(L0-Y316*Ldif-alph*Y316^0.5))/R0</f>
        <v>0.794707643534013</v>
      </c>
      <c r="AA316" s="113" t="n">
        <f aca="false">IF(Z316&lt;1,X$14*((1-r_1)-Y$14*(1-r_1^2)+Z$14*(1-r_1^3)),0)</f>
        <v>737536.653408763</v>
      </c>
      <c r="AB316" s="97" t="n">
        <f aca="false">AB315+AB$15</f>
        <v>0.00118492215871811</v>
      </c>
      <c r="AC316" s="115" t="n">
        <f aca="false">(Kopt-(L0-AB316*Ldif-alph*AB316^0.5))/R0</f>
        <v>0.794707643534013</v>
      </c>
      <c r="AD316" s="113" t="n">
        <f aca="false">IF(AC316&lt;1,X$14*((1-ropt)-Y$14*(1-ropt^2)+Z$14*(1-ropt^3)),0)</f>
        <v>737536.653408763</v>
      </c>
    </row>
    <row r="317" customFormat="false" ht="12.75" hidden="false" customHeight="false" outlineLevel="0" collapsed="false">
      <c r="J317" s="67"/>
      <c r="K317" s="67"/>
      <c r="L317" s="151"/>
      <c r="M317" s="151"/>
      <c r="N317" s="151"/>
      <c r="O317" s="69"/>
      <c r="P317" s="69"/>
      <c r="Q317" s="69"/>
      <c r="R317" s="69"/>
      <c r="S317" s="69"/>
      <c r="T317" s="69"/>
      <c r="U317" s="69"/>
      <c r="V317" s="69"/>
      <c r="W317" s="159"/>
      <c r="X317" s="102" t="n">
        <v>702</v>
      </c>
      <c r="Y317" s="124" t="n">
        <f aca="false">Y316+Y$16</f>
        <v>0.00118891179561615</v>
      </c>
      <c r="Z317" s="115" t="n">
        <f aca="false">(K-(L0-Y317*Ldif-alph*Y317^0.5))/R0</f>
        <v>0.795121230191576</v>
      </c>
      <c r="AA317" s="113" t="n">
        <f aca="false">IF(Z317&lt;1,X$14*((1-r_1)-Y$14*(1-r_1^2)+Z$14*(1-r_1^3)),0)</f>
        <v>734567.930568732</v>
      </c>
      <c r="AB317" s="97" t="n">
        <f aca="false">AB316+AB$15</f>
        <v>0.00118891179561615</v>
      </c>
      <c r="AC317" s="115" t="n">
        <f aca="false">(Kopt-(L0-AB317*Ldif-alph*AB317^0.5))/R0</f>
        <v>0.795121230191576</v>
      </c>
      <c r="AD317" s="113" t="n">
        <f aca="false">IF(AC317&lt;1,X$14*((1-ropt)-Y$14*(1-ropt^2)+Z$14*(1-ropt^3)),0)</f>
        <v>734567.930568732</v>
      </c>
    </row>
    <row r="318" customFormat="false" ht="12.75" hidden="false" customHeight="false" outlineLevel="0" collapsed="false">
      <c r="J318" s="67"/>
      <c r="K318" s="67"/>
      <c r="L318" s="151"/>
      <c r="M318" s="151"/>
      <c r="N318" s="151"/>
      <c r="O318" s="69"/>
      <c r="P318" s="69"/>
      <c r="Q318" s="69"/>
      <c r="R318" s="69"/>
      <c r="S318" s="69"/>
      <c r="T318" s="69"/>
      <c r="U318" s="69"/>
      <c r="V318" s="69"/>
      <c r="W318" s="159"/>
      <c r="X318" s="102" t="n">
        <v>701</v>
      </c>
      <c r="Y318" s="124" t="n">
        <f aca="false">Y317+Y$16</f>
        <v>0.00119290143251419</v>
      </c>
      <c r="Z318" s="115" t="n">
        <f aca="false">(K-(L0-Y318*Ldif-alph*Y318^0.5))/R0</f>
        <v>0.795534123493913</v>
      </c>
      <c r="AA318" s="113" t="n">
        <f aca="false">IF(Z318&lt;1,X$14*((1-r_1)-Y$14*(1-r_1^2)+Z$14*(1-r_1^3)),0)</f>
        <v>731610.156469541</v>
      </c>
      <c r="AB318" s="97" t="n">
        <f aca="false">AB317+AB$15</f>
        <v>0.00119290143251419</v>
      </c>
      <c r="AC318" s="115" t="n">
        <f aca="false">(Kopt-(L0-AB318*Ldif-alph*AB318^0.5))/R0</f>
        <v>0.795534123493913</v>
      </c>
      <c r="AD318" s="113" t="n">
        <f aca="false">IF(AC318&lt;1,X$14*((1-ropt)-Y$14*(1-ropt^2)+Z$14*(1-ropt^3)),0)</f>
        <v>731610.156469541</v>
      </c>
    </row>
    <row r="319" customFormat="false" ht="12.75" hidden="false" customHeight="false" outlineLevel="0" collapsed="false">
      <c r="J319" s="67"/>
      <c r="K319" s="67"/>
      <c r="L319" s="151"/>
      <c r="M319" s="151"/>
      <c r="N319" s="151"/>
      <c r="O319" s="69"/>
      <c r="P319" s="69"/>
      <c r="Q319" s="69"/>
      <c r="R319" s="69"/>
      <c r="S319" s="69"/>
      <c r="T319" s="69"/>
      <c r="U319" s="69"/>
      <c r="V319" s="69"/>
      <c r="W319" s="159"/>
      <c r="X319" s="102" t="n">
        <v>700</v>
      </c>
      <c r="Y319" s="124" t="n">
        <f aca="false">Y318+Y$16</f>
        <v>0.00119689106941223</v>
      </c>
      <c r="Z319" s="115" t="n">
        <f aca="false">(K-(L0-Y319*Ldif-alph*Y319^0.5))/R0</f>
        <v>0.795946326916509</v>
      </c>
      <c r="AA319" s="113" t="n">
        <f aca="false">IF(Z319&lt;1,X$14*((1-r_1)-Y$14*(1-r_1^2)+Z$14*(1-r_1^3)),0)</f>
        <v>728663.276230123</v>
      </c>
      <c r="AB319" s="97" t="n">
        <f aca="false">AB318+AB$15</f>
        <v>0.00119689106941223</v>
      </c>
      <c r="AC319" s="115" t="n">
        <f aca="false">(Kopt-(L0-AB319*Ldif-alph*AB319^0.5))/R0</f>
        <v>0.795946326916509</v>
      </c>
      <c r="AD319" s="113" t="n">
        <f aca="false">IF(AC319&lt;1,X$14*((1-ropt)-Y$14*(1-ropt^2)+Z$14*(1-ropt^3)),0)</f>
        <v>728663.276230123</v>
      </c>
    </row>
    <row r="320" customFormat="false" ht="12.75" hidden="false" customHeight="false" outlineLevel="0" collapsed="false">
      <c r="J320" s="67"/>
      <c r="K320" s="67"/>
      <c r="L320" s="151"/>
      <c r="M320" s="151"/>
      <c r="N320" s="151"/>
      <c r="O320" s="69"/>
      <c r="P320" s="69"/>
      <c r="Q320" s="69"/>
      <c r="R320" s="69"/>
      <c r="S320" s="69"/>
      <c r="T320" s="69"/>
      <c r="U320" s="69"/>
      <c r="V320" s="69"/>
      <c r="W320" s="159"/>
      <c r="X320" s="102" t="n">
        <v>699</v>
      </c>
      <c r="Y320" s="124" t="n">
        <f aca="false">Y319+Y$16</f>
        <v>0.00120088070631027</v>
      </c>
      <c r="Z320" s="115" t="n">
        <f aca="false">(K-(L0-Y320*Ldif-alph*Y320^0.5))/R0</f>
        <v>0.796357843905897</v>
      </c>
      <c r="AA320" s="113" t="n">
        <f aca="false">IF(Z320&lt;1,X$14*((1-r_1)-Y$14*(1-r_1^2)+Z$14*(1-r_1^3)),0)</f>
        <v>725727.235426463</v>
      </c>
      <c r="AB320" s="97" t="n">
        <f aca="false">AB319+AB$15</f>
        <v>0.00120088070631027</v>
      </c>
      <c r="AC320" s="115" t="n">
        <f aca="false">(Kopt-(L0-AB320*Ldif-alph*AB320^0.5))/R0</f>
        <v>0.796357843905897</v>
      </c>
      <c r="AD320" s="113" t="n">
        <f aca="false">IF(AC320&lt;1,X$14*((1-ropt)-Y$14*(1-ropt^2)+Z$14*(1-ropt^3)),0)</f>
        <v>725727.235426463</v>
      </c>
    </row>
    <row r="321" customFormat="false" ht="12.75" hidden="false" customHeight="false" outlineLevel="0" collapsed="false">
      <c r="J321" s="67"/>
      <c r="K321" s="67"/>
      <c r="L321" s="151"/>
      <c r="M321" s="151"/>
      <c r="N321" s="151"/>
      <c r="O321" s="69"/>
      <c r="P321" s="69"/>
      <c r="Q321" s="69"/>
      <c r="R321" s="69"/>
      <c r="S321" s="69"/>
      <c r="T321" s="69"/>
      <c r="U321" s="69"/>
      <c r="V321" s="69"/>
      <c r="W321" s="159"/>
      <c r="X321" s="102" t="n">
        <v>698</v>
      </c>
      <c r="Y321" s="124" t="n">
        <f aca="false">Y320+Y$16</f>
        <v>0.00120487034320832</v>
      </c>
      <c r="Z321" s="115" t="n">
        <f aca="false">(K-(L0-Y321*Ldif-alph*Y321^0.5))/R0</f>
        <v>0.796768677880015</v>
      </c>
      <c r="AA321" s="113" t="n">
        <f aca="false">IF(Z321&lt;1,X$14*((1-r_1)-Y$14*(1-r_1^2)+Z$14*(1-r_1^3)),0)</f>
        <v>722801.980086154</v>
      </c>
      <c r="AB321" s="97" t="n">
        <f aca="false">AB320+AB$15</f>
        <v>0.00120487034320832</v>
      </c>
      <c r="AC321" s="115" t="n">
        <f aca="false">(Kopt-(L0-AB321*Ldif-alph*AB321^0.5))/R0</f>
        <v>0.796768677880015</v>
      </c>
      <c r="AD321" s="113" t="n">
        <f aca="false">IF(AC321&lt;1,X$14*((1-ropt)-Y$14*(1-ropt^2)+Z$14*(1-ropt^3)),0)</f>
        <v>722801.980086154</v>
      </c>
    </row>
    <row r="322" customFormat="false" ht="12.75" hidden="false" customHeight="false" outlineLevel="0" collapsed="false">
      <c r="J322" s="67"/>
      <c r="K322" s="67"/>
      <c r="L322" s="151"/>
      <c r="M322" s="151"/>
      <c r="N322" s="151"/>
      <c r="O322" s="69"/>
      <c r="P322" s="69"/>
      <c r="Q322" s="69"/>
      <c r="R322" s="69"/>
      <c r="S322" s="69"/>
      <c r="T322" s="69"/>
      <c r="U322" s="69"/>
      <c r="V322" s="69"/>
      <c r="W322" s="159"/>
      <c r="X322" s="102" t="n">
        <v>697</v>
      </c>
      <c r="Y322" s="124" t="n">
        <f aca="false">Y321+Y$16</f>
        <v>0.00120885998010636</v>
      </c>
      <c r="Z322" s="115" t="n">
        <f aca="false">(K-(L0-Y322*Ldif-alph*Y322^0.5))/R0</f>
        <v>0.797178832228526</v>
      </c>
      <c r="AA322" s="113" t="n">
        <f aca="false">IF(Z322&lt;1,X$14*((1-r_1)-Y$14*(1-r_1^2)+Z$14*(1-r_1^3)),0)</f>
        <v>719887.456683227</v>
      </c>
      <c r="AB322" s="97" t="n">
        <f aca="false">AB321+AB$15</f>
        <v>0.00120885998010636</v>
      </c>
      <c r="AC322" s="115" t="n">
        <f aca="false">(Kopt-(L0-AB322*Ldif-alph*AB322^0.5))/R0</f>
        <v>0.797178832228526</v>
      </c>
      <c r="AD322" s="113" t="n">
        <f aca="false">IF(AC322&lt;1,X$14*((1-ropt)-Y$14*(1-ropt^2)+Z$14*(1-ropt^3)),0)</f>
        <v>719887.456683227</v>
      </c>
    </row>
    <row r="323" customFormat="false" ht="12.75" hidden="false" customHeight="false" outlineLevel="0" collapsed="false">
      <c r="J323" s="67"/>
      <c r="K323" s="67"/>
      <c r="L323" s="151"/>
      <c r="M323" s="151"/>
      <c r="N323" s="151"/>
      <c r="O323" s="69"/>
      <c r="P323" s="69"/>
      <c r="Q323" s="69"/>
      <c r="R323" s="69"/>
      <c r="S323" s="69"/>
      <c r="T323" s="69"/>
      <c r="U323" s="69"/>
      <c r="V323" s="69"/>
      <c r="W323" s="159"/>
      <c r="X323" s="102" t="n">
        <v>696</v>
      </c>
      <c r="Y323" s="124" t="n">
        <f aca="false">Y322+Y$16</f>
        <v>0.0012128496170044</v>
      </c>
      <c r="Z323" s="115" t="n">
        <f aca="false">(K-(L0-Y323*Ldif-alph*Y323^0.5))/R0</f>
        <v>0.797588310313153</v>
      </c>
      <c r="AA323" s="113" t="n">
        <f aca="false">IF(Z323&lt;1,X$14*((1-r_1)-Y$14*(1-r_1^2)+Z$14*(1-r_1^3)),0)</f>
        <v>716983.612132978</v>
      </c>
      <c r="AB323" s="97" t="n">
        <f aca="false">AB322+AB$15</f>
        <v>0.0012128496170044</v>
      </c>
      <c r="AC323" s="115" t="n">
        <f aca="false">(Kopt-(L0-AB323*Ldif-alph*AB323^0.5))/R0</f>
        <v>0.797588310313153</v>
      </c>
      <c r="AD323" s="113" t="n">
        <f aca="false">IF(AC323&lt;1,X$14*((1-ropt)-Y$14*(1-ropt^2)+Z$14*(1-ropt^3)),0)</f>
        <v>716983.612132978</v>
      </c>
    </row>
    <row r="324" customFormat="false" ht="12.75" hidden="false" customHeight="false" outlineLevel="0" collapsed="false">
      <c r="J324" s="67"/>
      <c r="K324" s="67"/>
      <c r="L324" s="151"/>
      <c r="M324" s="151"/>
      <c r="N324" s="151"/>
      <c r="O324" s="69"/>
      <c r="P324" s="69"/>
      <c r="Q324" s="69"/>
      <c r="R324" s="69"/>
      <c r="S324" s="69"/>
      <c r="T324" s="69"/>
      <c r="U324" s="69"/>
      <c r="V324" s="69"/>
      <c r="W324" s="159"/>
      <c r="X324" s="102" t="n">
        <v>695</v>
      </c>
      <c r="Y324" s="124" t="n">
        <f aca="false">Y323+Y$16</f>
        <v>0.00121683925390244</v>
      </c>
      <c r="Z324" s="115" t="n">
        <f aca="false">(K-(L0-Y324*Ldif-alph*Y324^0.5))/R0</f>
        <v>0.797997115467997</v>
      </c>
      <c r="AA324" s="113" t="n">
        <f aca="false">IF(Z324&lt;1,X$14*((1-r_1)-Y$14*(1-r_1^2)+Z$14*(1-r_1^3)),0)</f>
        <v>714090.39378687</v>
      </c>
      <c r="AB324" s="97" t="n">
        <f aca="false">AB323+AB$15</f>
        <v>0.00121683925390244</v>
      </c>
      <c r="AC324" s="115" t="n">
        <f aca="false">(Kopt-(L0-AB324*Ldif-alph*AB324^0.5))/R0</f>
        <v>0.797997115467997</v>
      </c>
      <c r="AD324" s="113" t="n">
        <f aca="false">IF(AC324&lt;1,X$14*((1-ropt)-Y$14*(1-ropt^2)+Z$14*(1-ropt^3)),0)</f>
        <v>714090.39378687</v>
      </c>
    </row>
    <row r="325" customFormat="false" ht="12.75" hidden="false" customHeight="false" outlineLevel="0" collapsed="false">
      <c r="J325" s="67"/>
      <c r="K325" s="67"/>
      <c r="L325" s="151"/>
      <c r="M325" s="151"/>
      <c r="N325" s="151"/>
      <c r="O325" s="69"/>
      <c r="P325" s="69"/>
      <c r="Q325" s="69"/>
      <c r="R325" s="69"/>
      <c r="S325" s="69"/>
      <c r="T325" s="69"/>
      <c r="U325" s="69"/>
      <c r="V325" s="69"/>
      <c r="W325" s="159"/>
      <c r="X325" s="102" t="n">
        <v>694</v>
      </c>
      <c r="Y325" s="124" t="n">
        <f aca="false">Y324+Y$16</f>
        <v>0.00122082889080048</v>
      </c>
      <c r="Z325" s="115" t="n">
        <f aca="false">(K-(L0-Y325*Ldif-alph*Y325^0.5))/R0</f>
        <v>0.798405250999844</v>
      </c>
      <c r="AA325" s="113" t="n">
        <f aca="false">IF(Z325&lt;1,X$14*((1-r_1)-Y$14*(1-r_1^2)+Z$14*(1-r_1^3)),0)</f>
        <v>711207.74942763</v>
      </c>
      <c r="AB325" s="97" t="n">
        <f aca="false">AB324+AB$15</f>
        <v>0.00122082889080048</v>
      </c>
      <c r="AC325" s="115" t="n">
        <f aca="false">(Kopt-(L0-AB325*Ldif-alph*AB325^0.5))/R0</f>
        <v>0.798405250999844</v>
      </c>
      <c r="AD325" s="113" t="n">
        <f aca="false">IF(AC325&lt;1,X$14*((1-ropt)-Y$14*(1-ropt^2)+Z$14*(1-ropt^3)),0)</f>
        <v>711207.74942763</v>
      </c>
    </row>
    <row r="326" customFormat="false" ht="12.75" hidden="false" customHeight="false" outlineLevel="0" collapsed="false">
      <c r="J326" s="67"/>
      <c r="K326" s="67"/>
      <c r="L326" s="151"/>
      <c r="M326" s="151"/>
      <c r="N326" s="151"/>
      <c r="O326" s="69"/>
      <c r="P326" s="69"/>
      <c r="Q326" s="69"/>
      <c r="R326" s="69"/>
      <c r="S326" s="69"/>
      <c r="T326" s="69"/>
      <c r="U326" s="69"/>
      <c r="V326" s="69"/>
      <c r="W326" s="159"/>
      <c r="X326" s="102" t="n">
        <v>693</v>
      </c>
      <c r="Y326" s="124" t="n">
        <f aca="false">Y325+Y$16</f>
        <v>0.00122481852769852</v>
      </c>
      <c r="Z326" s="115" t="n">
        <f aca="false">(K-(L0-Y326*Ldif-alph*Y326^0.5))/R0</f>
        <v>0.798812720188495</v>
      </c>
      <c r="AA326" s="113" t="n">
        <f aca="false">IF(Z326&lt;1,X$14*((1-r_1)-Y$14*(1-r_1^2)+Z$14*(1-r_1^3)),0)</f>
        <v>708335.627264176</v>
      </c>
      <c r="AB326" s="97" t="n">
        <f aca="false">AB325+AB$15</f>
        <v>0.00122481852769852</v>
      </c>
      <c r="AC326" s="115" t="n">
        <f aca="false">(Kopt-(L0-AB326*Ldif-alph*AB326^0.5))/R0</f>
        <v>0.798812720188495</v>
      </c>
      <c r="AD326" s="113" t="n">
        <f aca="false">IF(AC326&lt;1,X$14*((1-ropt)-Y$14*(1-ropt^2)+Z$14*(1-ropt^3)),0)</f>
        <v>708335.627264176</v>
      </c>
    </row>
    <row r="327" customFormat="false" ht="12.75" hidden="false" customHeight="false" outlineLevel="0" collapsed="false">
      <c r="J327" s="67"/>
      <c r="K327" s="67"/>
      <c r="L327" s="151"/>
      <c r="M327" s="151"/>
      <c r="N327" s="151"/>
      <c r="O327" s="69"/>
      <c r="P327" s="69"/>
      <c r="Q327" s="69"/>
      <c r="R327" s="69"/>
      <c r="S327" s="69"/>
      <c r="T327" s="69"/>
      <c r="U327" s="69"/>
      <c r="V327" s="69"/>
      <c r="W327" s="159"/>
      <c r="X327" s="102" t="n">
        <v>692</v>
      </c>
      <c r="Y327" s="124" t="n">
        <f aca="false">Y326+Y$16</f>
        <v>0.00122880816459656</v>
      </c>
      <c r="Z327" s="115" t="n">
        <f aca="false">(K-(L0-Y327*Ldif-alph*Y327^0.5))/R0</f>
        <v>0.799219526287056</v>
      </c>
      <c r="AA327" s="113" t="n">
        <f aca="false">IF(Z327&lt;1,X$14*((1-r_1)-Y$14*(1-r_1^2)+Z$14*(1-r_1^3)),0)</f>
        <v>705473.975926898</v>
      </c>
      <c r="AB327" s="97" t="n">
        <f aca="false">AB326+AB$15</f>
        <v>0.00122880816459656</v>
      </c>
      <c r="AC327" s="115" t="n">
        <f aca="false">(Kopt-(L0-AB327*Ldif-alph*AB327^0.5))/R0</f>
        <v>0.799219526287056</v>
      </c>
      <c r="AD327" s="113" t="n">
        <f aca="false">IF(AC327&lt;1,X$14*((1-ropt)-Y$14*(1-ropt^2)+Z$14*(1-ropt^3)),0)</f>
        <v>705473.975926898</v>
      </c>
    </row>
    <row r="328" customFormat="false" ht="12.75" hidden="false" customHeight="false" outlineLevel="0" collapsed="false">
      <c r="J328" s="67"/>
      <c r="K328" s="67"/>
      <c r="L328" s="151"/>
      <c r="M328" s="151"/>
      <c r="N328" s="151"/>
      <c r="O328" s="69"/>
      <c r="P328" s="69"/>
      <c r="Q328" s="69"/>
      <c r="R328" s="69"/>
      <c r="S328" s="69"/>
      <c r="T328" s="69"/>
      <c r="U328" s="69"/>
      <c r="V328" s="69"/>
      <c r="W328" s="159"/>
      <c r="X328" s="102" t="n">
        <v>691</v>
      </c>
      <c r="Y328" s="124" t="n">
        <f aca="false">Y327+Y$16</f>
        <v>0.0012327978014946</v>
      </c>
      <c r="Z328" s="115" t="n">
        <f aca="false">(K-(L0-Y328*Ldif-alph*Y328^0.5))/R0</f>
        <v>0.799625672522259</v>
      </c>
      <c r="AA328" s="113" t="n">
        <f aca="false">IF(Z328&lt;1,X$14*((1-r_1)-Y$14*(1-r_1^2)+Z$14*(1-r_1^3)),0)</f>
        <v>702622.744462749</v>
      </c>
      <c r="AB328" s="97" t="n">
        <f aca="false">AB327+AB$15</f>
        <v>0.0012327978014946</v>
      </c>
      <c r="AC328" s="115" t="n">
        <f aca="false">(Kopt-(L0-AB328*Ldif-alph*AB328^0.5))/R0</f>
        <v>0.799625672522259</v>
      </c>
      <c r="AD328" s="113" t="n">
        <f aca="false">IF(AC328&lt;1,X$14*((1-ropt)-Y$14*(1-ropt^2)+Z$14*(1-ropt^3)),0)</f>
        <v>702622.744462749</v>
      </c>
    </row>
    <row r="329" customFormat="false" ht="12.75" hidden="false" customHeight="false" outlineLevel="0" collapsed="false">
      <c r="J329" s="67"/>
      <c r="K329" s="67"/>
      <c r="L329" s="151"/>
      <c r="M329" s="151"/>
      <c r="N329" s="151"/>
      <c r="O329" s="69"/>
      <c r="P329" s="69"/>
      <c r="Q329" s="69"/>
      <c r="R329" s="69"/>
      <c r="S329" s="69"/>
      <c r="T329" s="69"/>
      <c r="U329" s="69"/>
      <c r="V329" s="69"/>
      <c r="W329" s="159"/>
      <c r="X329" s="102" t="n">
        <v>690</v>
      </c>
      <c r="Y329" s="124" t="n">
        <f aca="false">Y328+Y$16</f>
        <v>0.00123678743839264</v>
      </c>
      <c r="Z329" s="115" t="n">
        <f aca="false">(K-(L0-Y329*Ldif-alph*Y329^0.5))/R0</f>
        <v>0.800031162094739</v>
      </c>
      <c r="AA329" s="113" t="n">
        <f aca="false">IF(Z329&lt;1,X$14*((1-r_1)-Y$14*(1-r_1^2)+Z$14*(1-r_1^3)),0)</f>
        <v>699781.882330663</v>
      </c>
      <c r="AB329" s="97" t="n">
        <f aca="false">AB328+AB$15</f>
        <v>0.00123678743839264</v>
      </c>
      <c r="AC329" s="115" t="n">
        <f aca="false">(Kopt-(L0-AB329*Ldif-alph*AB329^0.5))/R0</f>
        <v>0.800031162094739</v>
      </c>
      <c r="AD329" s="113" t="n">
        <f aca="false">IF(AC329&lt;1,X$14*((1-ropt)-Y$14*(1-ropt^2)+Z$14*(1-ropt^3)),0)</f>
        <v>699781.882330663</v>
      </c>
    </row>
    <row r="330" customFormat="false" ht="12.75" hidden="false" customHeight="false" outlineLevel="0" collapsed="false">
      <c r="J330" s="67"/>
      <c r="K330" s="67"/>
      <c r="L330" s="151"/>
      <c r="M330" s="151"/>
      <c r="N330" s="151"/>
      <c r="O330" s="69"/>
      <c r="P330" s="69"/>
      <c r="Q330" s="69"/>
      <c r="R330" s="69"/>
      <c r="S330" s="69"/>
      <c r="T330" s="69"/>
      <c r="U330" s="69"/>
      <c r="V330" s="69"/>
      <c r="W330" s="159"/>
      <c r="X330" s="102" t="n">
        <v>689</v>
      </c>
      <c r="Y330" s="124" t="n">
        <f aca="false">Y329+Y$16</f>
        <v>0.00124077707529068</v>
      </c>
      <c r="Z330" s="115" t="n">
        <f aca="false">(K-(L0-Y330*Ldif-alph*Y330^0.5))/R0</f>
        <v>0.800435998179351</v>
      </c>
      <c r="AA330" s="113" t="n">
        <f aca="false">IF(Z330&lt;1,X$14*((1-r_1)-Y$14*(1-r_1^2)+Z$14*(1-r_1^3)),0)</f>
        <v>696951.33939676</v>
      </c>
      <c r="AB330" s="97" t="n">
        <f aca="false">AB329+AB$15</f>
        <v>0.00124077707529068</v>
      </c>
      <c r="AC330" s="115" t="n">
        <f aca="false">(Kopt-(L0-AB330*Ldif-alph*AB330^0.5))/R0</f>
        <v>0.800435998179351</v>
      </c>
      <c r="AD330" s="113" t="n">
        <f aca="false">IF(AC330&lt;1,X$14*((1-ropt)-Y$14*(1-ropt^2)+Z$14*(1-ropt^3)),0)</f>
        <v>696951.33939676</v>
      </c>
    </row>
    <row r="331" customFormat="false" ht="12.75" hidden="false" customHeight="false" outlineLevel="0" collapsed="false">
      <c r="J331" s="67"/>
      <c r="K331" s="67"/>
      <c r="L331" s="151"/>
      <c r="M331" s="151"/>
      <c r="N331" s="151"/>
      <c r="O331" s="69"/>
      <c r="P331" s="69"/>
      <c r="Q331" s="69"/>
      <c r="R331" s="69"/>
      <c r="S331" s="69"/>
      <c r="T331" s="69"/>
      <c r="U331" s="69"/>
      <c r="V331" s="69"/>
      <c r="W331" s="159"/>
      <c r="X331" s="102" t="n">
        <v>688</v>
      </c>
      <c r="Y331" s="124" t="n">
        <f aca="false">Y330+Y$16</f>
        <v>0.00124476671218872</v>
      </c>
      <c r="Z331" s="115" t="n">
        <f aca="false">(K-(L0-Y331*Ldif-alph*Y331^0.5))/R0</f>
        <v>0.800840183925443</v>
      </c>
      <c r="AA331" s="113" t="n">
        <f aca="false">IF(Z331&lt;1,X$14*((1-r_1)-Y$14*(1-r_1^2)+Z$14*(1-r_1^3)),0)</f>
        <v>694131.0659299</v>
      </c>
      <c r="AB331" s="97" t="n">
        <f aca="false">AB330+AB$15</f>
        <v>0.00124476671218872</v>
      </c>
      <c r="AC331" s="115" t="n">
        <f aca="false">(Kopt-(L0-AB331*Ldif-alph*AB331^0.5))/R0</f>
        <v>0.800840183925443</v>
      </c>
      <c r="AD331" s="113" t="n">
        <f aca="false">IF(AC331&lt;1,X$14*((1-ropt)-Y$14*(1-ropt^2)+Z$14*(1-ropt^3)),0)</f>
        <v>694131.0659299</v>
      </c>
    </row>
    <row r="332" customFormat="false" ht="12.75" hidden="false" customHeight="false" outlineLevel="0" collapsed="false">
      <c r="J332" s="67"/>
      <c r="K332" s="67"/>
      <c r="L332" s="151"/>
      <c r="M332" s="151"/>
      <c r="N332" s="151"/>
      <c r="O332" s="69"/>
      <c r="P332" s="69"/>
      <c r="Q332" s="69"/>
      <c r="R332" s="69"/>
      <c r="S332" s="69"/>
      <c r="T332" s="69"/>
      <c r="U332" s="69"/>
      <c r="V332" s="69"/>
      <c r="W332" s="159"/>
      <c r="X332" s="102" t="n">
        <v>687</v>
      </c>
      <c r="Y332" s="124" t="n">
        <f aca="false">Y331+Y$16</f>
        <v>0.00124875634908676</v>
      </c>
      <c r="Z332" s="115" t="n">
        <f aca="false">(K-(L0-Y332*Ldif-alph*Y332^0.5))/R0</f>
        <v>0.801243722457148</v>
      </c>
      <c r="AA332" s="113" t="n">
        <f aca="false">IF(Z332&lt;1,X$14*((1-r_1)-Y$14*(1-r_1^2)+Z$14*(1-r_1^3)),0)</f>
        <v>691321.0125971</v>
      </c>
      <c r="AB332" s="97" t="n">
        <f aca="false">AB331+AB$15</f>
        <v>0.00124875634908676</v>
      </c>
      <c r="AC332" s="115" t="n">
        <f aca="false">(Kopt-(L0-AB332*Ldif-alph*AB332^0.5))/R0</f>
        <v>0.801243722457148</v>
      </c>
      <c r="AD332" s="113" t="n">
        <f aca="false">IF(AC332&lt;1,X$14*((1-ropt)-Y$14*(1-ropt^2)+Z$14*(1-ropt^3)),0)</f>
        <v>691321.0125971</v>
      </c>
    </row>
    <row r="333" customFormat="false" ht="12.75" hidden="false" customHeight="false" outlineLevel="0" collapsed="false">
      <c r="J333" s="67"/>
      <c r="K333" s="67"/>
      <c r="L333" s="151"/>
      <c r="M333" s="151"/>
      <c r="N333" s="151"/>
      <c r="O333" s="69"/>
      <c r="P333" s="69"/>
      <c r="Q333" s="69"/>
      <c r="R333" s="69"/>
      <c r="S333" s="69"/>
      <c r="T333" s="69"/>
      <c r="U333" s="69"/>
      <c r="V333" s="69"/>
      <c r="W333" s="159"/>
      <c r="X333" s="102" t="n">
        <v>686</v>
      </c>
      <c r="Y333" s="124" t="n">
        <f aca="false">Y332+Y$16</f>
        <v>0.00125274598598481</v>
      </c>
      <c r="Z333" s="115" t="n">
        <f aca="false">(K-(L0-Y333*Ldif-alph*Y333^0.5))/R0</f>
        <v>0.801646616873668</v>
      </c>
      <c r="AA333" s="113" t="n">
        <f aca="false">IF(Z333&lt;1,X$14*((1-r_1)-Y$14*(1-r_1^2)+Z$14*(1-r_1^3)),0)</f>
        <v>688521.130459076</v>
      </c>
      <c r="AB333" s="97" t="n">
        <f aca="false">AB332+AB$15</f>
        <v>0.00125274598598481</v>
      </c>
      <c r="AC333" s="115" t="n">
        <f aca="false">(Kopt-(L0-AB333*Ldif-alph*AB333^0.5))/R0</f>
        <v>0.801646616873668</v>
      </c>
      <c r="AD333" s="113" t="n">
        <f aca="false">IF(AC333&lt;1,X$14*((1-ropt)-Y$14*(1-ropt^2)+Z$14*(1-ropt^3)),0)</f>
        <v>688521.130459076</v>
      </c>
    </row>
    <row r="334" customFormat="false" ht="12.75" hidden="false" customHeight="false" outlineLevel="0" collapsed="false">
      <c r="J334" s="67"/>
      <c r="K334" s="67"/>
      <c r="L334" s="151"/>
      <c r="M334" s="151"/>
      <c r="N334" s="151"/>
      <c r="O334" s="69"/>
      <c r="P334" s="69"/>
      <c r="Q334" s="69"/>
      <c r="R334" s="69"/>
      <c r="S334" s="69"/>
      <c r="T334" s="69"/>
      <c r="U334" s="69"/>
      <c r="V334" s="69"/>
      <c r="W334" s="159"/>
      <c r="X334" s="102" t="n">
        <v>685</v>
      </c>
      <c r="Y334" s="124" t="n">
        <f aca="false">Y333+Y$16</f>
        <v>0.00125673562288285</v>
      </c>
      <c r="Z334" s="115" t="n">
        <f aca="false">(K-(L0-Y334*Ldif-alph*Y334^0.5))/R0</f>
        <v>0.802048870249549</v>
      </c>
      <c r="AA334" s="113" t="n">
        <f aca="false">IF(Z334&lt;1,X$14*((1-r_1)-Y$14*(1-r_1^2)+Z$14*(1-r_1^3)),0)</f>
        <v>685731.370965896</v>
      </c>
      <c r="AB334" s="97" t="n">
        <f aca="false">AB333+AB$15</f>
        <v>0.00125673562288285</v>
      </c>
      <c r="AC334" s="115" t="n">
        <f aca="false">(Kopt-(L0-AB334*Ldif-alph*AB334^0.5))/R0</f>
        <v>0.802048870249549</v>
      </c>
      <c r="AD334" s="113" t="n">
        <f aca="false">IF(AC334&lt;1,X$14*((1-ropt)-Y$14*(1-ropt^2)+Z$14*(1-ropt^3)),0)</f>
        <v>685731.370965896</v>
      </c>
    </row>
    <row r="335" customFormat="false" ht="12.75" hidden="false" customHeight="false" outlineLevel="0" collapsed="false">
      <c r="J335" s="67"/>
      <c r="K335" s="67"/>
      <c r="L335" s="151"/>
      <c r="M335" s="151"/>
      <c r="N335" s="151"/>
      <c r="O335" s="69"/>
      <c r="P335" s="69"/>
      <c r="Q335" s="69"/>
      <c r="R335" s="69"/>
      <c r="S335" s="69"/>
      <c r="T335" s="69"/>
      <c r="U335" s="69"/>
      <c r="V335" s="69"/>
      <c r="W335" s="159"/>
      <c r="X335" s="102" t="n">
        <v>684</v>
      </c>
      <c r="Y335" s="124" t="n">
        <f aca="false">Y334+Y$16</f>
        <v>0.00126072525978089</v>
      </c>
      <c r="Z335" s="115" t="n">
        <f aca="false">(K-(L0-Y335*Ldif-alph*Y335^0.5))/R0</f>
        <v>0.802450485634952</v>
      </c>
      <c r="AA335" s="113" t="n">
        <f aca="false">IF(Z335&lt;1,X$14*((1-r_1)-Y$14*(1-r_1^2)+Z$14*(1-r_1^3)),0)</f>
        <v>682951.68595266</v>
      </c>
      <c r="AB335" s="97" t="n">
        <f aca="false">AB334+AB$15</f>
        <v>0.00126072525978089</v>
      </c>
      <c r="AC335" s="115" t="n">
        <f aca="false">(Kopt-(L0-AB335*Ldif-alph*AB335^0.5))/R0</f>
        <v>0.802450485634952</v>
      </c>
      <c r="AD335" s="113" t="n">
        <f aca="false">IF(AC335&lt;1,X$14*((1-ropt)-Y$14*(1-ropt^2)+Z$14*(1-ropt^3)),0)</f>
        <v>682951.68595266</v>
      </c>
    </row>
    <row r="336" customFormat="false" ht="12.75" hidden="false" customHeight="false" outlineLevel="0" collapsed="false">
      <c r="J336" s="67"/>
      <c r="K336" s="67"/>
      <c r="L336" s="151"/>
      <c r="M336" s="151"/>
      <c r="N336" s="151"/>
      <c r="O336" s="69"/>
      <c r="P336" s="69"/>
      <c r="Q336" s="69"/>
      <c r="R336" s="69"/>
      <c r="S336" s="69"/>
      <c r="T336" s="69"/>
      <c r="U336" s="69"/>
      <c r="V336" s="69"/>
      <c r="W336" s="159"/>
      <c r="X336" s="102" t="n">
        <v>683</v>
      </c>
      <c r="Y336" s="124" t="n">
        <f aca="false">Y335+Y$16</f>
        <v>0.00126471489667893</v>
      </c>
      <c r="Z336" s="115" t="n">
        <f aca="false">(K-(L0-Y336*Ldif-alph*Y336^0.5))/R0</f>
        <v>0.802851466055932</v>
      </c>
      <c r="AA336" s="113" t="n">
        <f aca="false">IF(Z336&lt;1,X$14*((1-r_1)-Y$14*(1-r_1^2)+Z$14*(1-r_1^3)),0)</f>
        <v>680182.027635165</v>
      </c>
      <c r="AB336" s="97" t="n">
        <f aca="false">AB335+AB$15</f>
        <v>0.00126471489667893</v>
      </c>
      <c r="AC336" s="115" t="n">
        <f aca="false">(Kopt-(L0-AB336*Ldif-alph*AB336^0.5))/R0</f>
        <v>0.802851466055932</v>
      </c>
      <c r="AD336" s="113" t="n">
        <f aca="false">IF(AC336&lt;1,X$14*((1-ropt)-Y$14*(1-ropt^2)+Z$14*(1-ropt^3)),0)</f>
        <v>680182.027635165</v>
      </c>
    </row>
    <row r="337" customFormat="false" ht="12.75" hidden="false" customHeight="false" outlineLevel="0" collapsed="false">
      <c r="J337" s="67"/>
      <c r="K337" s="67"/>
      <c r="L337" s="151"/>
      <c r="M337" s="151"/>
      <c r="N337" s="151"/>
      <c r="O337" s="69"/>
      <c r="P337" s="69"/>
      <c r="Q337" s="69"/>
      <c r="R337" s="69"/>
      <c r="S337" s="69"/>
      <c r="T337" s="69"/>
      <c r="U337" s="69"/>
      <c r="V337" s="69"/>
      <c r="W337" s="159"/>
      <c r="X337" s="102" t="n">
        <v>682</v>
      </c>
      <c r="Y337" s="124" t="n">
        <f aca="false">Y336+Y$16</f>
        <v>0.00126870453357697</v>
      </c>
      <c r="Z337" s="115" t="n">
        <f aca="false">(K-(L0-Y337*Ldif-alph*Y337^0.5))/R0</f>
        <v>0.80325181451469</v>
      </c>
      <c r="AA337" s="113" t="n">
        <f aca="false">IF(Z337&lt;1,X$14*((1-r_1)-Y$14*(1-r_1^2)+Z$14*(1-r_1^3)),0)</f>
        <v>677422.348605838</v>
      </c>
      <c r="AB337" s="97" t="n">
        <f aca="false">AB336+AB$15</f>
        <v>0.00126870453357697</v>
      </c>
      <c r="AC337" s="115" t="n">
        <f aca="false">(Kopt-(L0-AB337*Ldif-alph*AB337^0.5))/R0</f>
        <v>0.80325181451469</v>
      </c>
      <c r="AD337" s="113" t="n">
        <f aca="false">IF(AC337&lt;1,X$14*((1-ropt)-Y$14*(1-ropt^2)+Z$14*(1-ropt^3)),0)</f>
        <v>677422.348605838</v>
      </c>
    </row>
    <row r="338" customFormat="false" ht="12.75" hidden="false" customHeight="false" outlineLevel="0" collapsed="false">
      <c r="J338" s="67"/>
      <c r="K338" s="67"/>
      <c r="L338" s="151"/>
      <c r="M338" s="151"/>
      <c r="N338" s="151"/>
      <c r="O338" s="69"/>
      <c r="P338" s="69"/>
      <c r="Q338" s="69"/>
      <c r="R338" s="69"/>
      <c r="S338" s="69"/>
      <c r="T338" s="69"/>
      <c r="U338" s="69"/>
      <c r="V338" s="69"/>
      <c r="W338" s="159"/>
      <c r="X338" s="102" t="n">
        <v>681</v>
      </c>
      <c r="Y338" s="124" t="n">
        <f aca="false">Y337+Y$16</f>
        <v>0.00127269417047501</v>
      </c>
      <c r="Z338" s="115" t="n">
        <f aca="false">(K-(L0-Y338*Ldif-alph*Y338^0.5))/R0</f>
        <v>0.803651533989849</v>
      </c>
      <c r="AA338" s="113" t="n">
        <f aca="false">IF(Z338&lt;1,X$14*((1-r_1)-Y$14*(1-r_1^2)+Z$14*(1-r_1^3)),0)</f>
        <v>674672.601829441</v>
      </c>
      <c r="AB338" s="97" t="n">
        <f aca="false">AB337+AB$15</f>
        <v>0.00127269417047501</v>
      </c>
      <c r="AC338" s="115" t="n">
        <f aca="false">(Kopt-(L0-AB338*Ldif-alph*AB338^0.5))/R0</f>
        <v>0.803651533989849</v>
      </c>
      <c r="AD338" s="113" t="n">
        <f aca="false">IF(AC338&lt;1,X$14*((1-ropt)-Y$14*(1-ropt^2)+Z$14*(1-ropt^3)),0)</f>
        <v>674672.601829441</v>
      </c>
    </row>
    <row r="339" customFormat="false" ht="12.75" hidden="false" customHeight="false" outlineLevel="0" collapsed="false">
      <c r="J339" s="67"/>
      <c r="K339" s="67"/>
      <c r="L339" s="151"/>
      <c r="M339" s="151"/>
      <c r="N339" s="151"/>
      <c r="O339" s="69"/>
      <c r="P339" s="69"/>
      <c r="Q339" s="69"/>
      <c r="R339" s="69"/>
      <c r="S339" s="69"/>
      <c r="T339" s="69"/>
      <c r="U339" s="69"/>
      <c r="V339" s="69"/>
      <c r="W339" s="159"/>
      <c r="X339" s="102" t="n">
        <v>680</v>
      </c>
      <c r="Y339" s="124" t="n">
        <f aca="false">Y338+Y$16</f>
        <v>0.00127668380737305</v>
      </c>
      <c r="Z339" s="115" t="n">
        <f aca="false">(K-(L0-Y339*Ldif-alph*Y339^0.5))/R0</f>
        <v>0.804050627436705</v>
      </c>
      <c r="AA339" s="113" t="n">
        <f aca="false">IF(Z339&lt;1,X$14*((1-r_1)-Y$14*(1-r_1^2)+Z$14*(1-r_1^3)),0)</f>
        <v>671932.740639108</v>
      </c>
      <c r="AB339" s="97" t="n">
        <f aca="false">AB338+AB$15</f>
        <v>0.00127668380737305</v>
      </c>
      <c r="AC339" s="115" t="n">
        <f aca="false">(Kopt-(L0-AB339*Ldif-alph*AB339^0.5))/R0</f>
        <v>0.804050627436705</v>
      </c>
      <c r="AD339" s="113" t="n">
        <f aca="false">IF(AC339&lt;1,X$14*((1-ropt)-Y$14*(1-ropt^2)+Z$14*(1-ropt^3)),0)</f>
        <v>671932.740639108</v>
      </c>
    </row>
    <row r="340" customFormat="false" ht="12.75" hidden="false" customHeight="false" outlineLevel="0" collapsed="false">
      <c r="J340" s="67"/>
      <c r="K340" s="67"/>
      <c r="L340" s="151"/>
      <c r="M340" s="151"/>
      <c r="N340" s="151"/>
      <c r="O340" s="69"/>
      <c r="P340" s="69"/>
      <c r="Q340" s="69"/>
      <c r="R340" s="69"/>
      <c r="S340" s="69"/>
      <c r="T340" s="69"/>
      <c r="U340" s="69"/>
      <c r="V340" s="69"/>
      <c r="W340" s="159"/>
      <c r="X340" s="102" t="n">
        <v>679</v>
      </c>
      <c r="Y340" s="124" t="n">
        <f aca="false">Y339+Y$16</f>
        <v>0.00128067344427109</v>
      </c>
      <c r="Z340" s="115" t="n">
        <f aca="false">(K-(L0-Y340*Ldif-alph*Y340^0.5))/R0</f>
        <v>0.804449097787487</v>
      </c>
      <c r="AA340" s="113" t="n">
        <f aca="false">IF(Z340&lt;1,X$14*((1-r_1)-Y$14*(1-r_1^2)+Z$14*(1-r_1^3)),0)</f>
        <v>669202.718732235</v>
      </c>
      <c r="AB340" s="97" t="n">
        <f aca="false">AB339+AB$15</f>
        <v>0.00128067344427109</v>
      </c>
      <c r="AC340" s="115" t="n">
        <f aca="false">(Kopt-(L0-AB340*Ldif-alph*AB340^0.5))/R0</f>
        <v>0.804449097787487</v>
      </c>
      <c r="AD340" s="113" t="n">
        <f aca="false">IF(AC340&lt;1,X$14*((1-ropt)-Y$14*(1-ropt^2)+Z$14*(1-ropt^3)),0)</f>
        <v>669202.718732235</v>
      </c>
    </row>
    <row r="341" customFormat="false" ht="12.75" hidden="false" customHeight="false" outlineLevel="0" collapsed="false">
      <c r="J341" s="67"/>
      <c r="K341" s="67"/>
      <c r="L341" s="151"/>
      <c r="M341" s="151"/>
      <c r="N341" s="151"/>
      <c r="O341" s="69"/>
      <c r="P341" s="69"/>
      <c r="Q341" s="69"/>
      <c r="R341" s="69"/>
      <c r="S341" s="69"/>
      <c r="T341" s="69"/>
      <c r="U341" s="69"/>
      <c r="V341" s="69"/>
      <c r="W341" s="159"/>
      <c r="X341" s="102" t="n">
        <v>678</v>
      </c>
      <c r="Y341" s="124" t="n">
        <f aca="false">Y340+Y$16</f>
        <v>0.00128466308116913</v>
      </c>
      <c r="Z341" s="115" t="n">
        <f aca="false">(K-(L0-Y341*Ldif-alph*Y341^0.5))/R0</f>
        <v>0.804846947951596</v>
      </c>
      <c r="AA341" s="113" t="n">
        <f aca="false">IF(Z341&lt;1,X$14*((1-r_1)-Y$14*(1-r_1^2)+Z$14*(1-r_1^3)),0)</f>
        <v>666482.490166628</v>
      </c>
      <c r="AB341" s="97" t="n">
        <f aca="false">AB340+AB$15</f>
        <v>0.00128466308116913</v>
      </c>
      <c r="AC341" s="115" t="n">
        <f aca="false">(Kopt-(L0-AB341*Ldif-alph*AB341^0.5))/R0</f>
        <v>0.804846947951596</v>
      </c>
      <c r="AD341" s="113" t="n">
        <f aca="false">IF(AC341&lt;1,X$14*((1-ropt)-Y$14*(1-ropt^2)+Z$14*(1-ropt^3)),0)</f>
        <v>666482.490166628</v>
      </c>
    </row>
    <row r="342" customFormat="false" ht="12.75" hidden="false" customHeight="false" outlineLevel="0" collapsed="false">
      <c r="J342" s="67"/>
      <c r="K342" s="67"/>
      <c r="L342" s="151"/>
      <c r="M342" s="151"/>
      <c r="N342" s="151"/>
      <c r="O342" s="69"/>
      <c r="P342" s="69"/>
      <c r="Q342" s="69"/>
      <c r="R342" s="69"/>
      <c r="S342" s="69"/>
      <c r="T342" s="69"/>
      <c r="U342" s="69"/>
      <c r="V342" s="69"/>
      <c r="W342" s="159"/>
      <c r="X342" s="102" t="n">
        <v>677</v>
      </c>
      <c r="Y342" s="124" t="n">
        <f aca="false">Y341+Y$16</f>
        <v>0.00128865271806717</v>
      </c>
      <c r="Z342" s="115" t="n">
        <f aca="false">(K-(L0-Y342*Ldif-alph*Y342^0.5))/R0</f>
        <v>0.805244180815872</v>
      </c>
      <c r="AA342" s="113" t="n">
        <f aca="false">IF(Z342&lt;1,X$14*((1-r_1)-Y$14*(1-r_1^2)+Z$14*(1-r_1^3)),0)</f>
        <v>663772.009356412</v>
      </c>
      <c r="AB342" s="97" t="n">
        <f aca="false">AB341+AB$15</f>
        <v>0.00128865271806717</v>
      </c>
      <c r="AC342" s="115" t="n">
        <f aca="false">(Kopt-(L0-AB342*Ldif-alph*AB342^0.5))/R0</f>
        <v>0.805244180815872</v>
      </c>
      <c r="AD342" s="113" t="n">
        <f aca="false">IF(AC342&lt;1,X$14*((1-ropt)-Y$14*(1-ropt^2)+Z$14*(1-ropt^3)),0)</f>
        <v>663772.009356412</v>
      </c>
    </row>
    <row r="343" customFormat="false" ht="12.75" hidden="false" customHeight="false" outlineLevel="0" collapsed="false">
      <c r="J343" s="67"/>
      <c r="K343" s="67"/>
      <c r="L343" s="151"/>
      <c r="M343" s="151"/>
      <c r="N343" s="151"/>
      <c r="O343" s="69"/>
      <c r="P343" s="69"/>
      <c r="Q343" s="69"/>
      <c r="R343" s="69"/>
      <c r="S343" s="69"/>
      <c r="T343" s="69"/>
      <c r="U343" s="69"/>
      <c r="V343" s="69"/>
      <c r="W343" s="159"/>
      <c r="X343" s="102" t="n">
        <v>676</v>
      </c>
      <c r="Y343" s="124" t="n">
        <f aca="false">Y342+Y$16</f>
        <v>0.00129264235496521</v>
      </c>
      <c r="Z343" s="115" t="n">
        <f aca="false">(K-(L0-Y343*Ldif-alph*Y343^0.5))/R0</f>
        <v>0.805640799244824</v>
      </c>
      <c r="AA343" s="113" t="n">
        <f aca="false">IF(Z343&lt;1,X$14*((1-r_1)-Y$14*(1-r_1^2)+Z$14*(1-r_1^3)),0)</f>
        <v>661071.231068339</v>
      </c>
      <c r="AB343" s="97" t="n">
        <f aca="false">AB342+AB$15</f>
        <v>0.00129264235496521</v>
      </c>
      <c r="AC343" s="115" t="n">
        <f aca="false">(Kopt-(L0-AB343*Ldif-alph*AB343^0.5))/R0</f>
        <v>0.805640799244824</v>
      </c>
      <c r="AD343" s="113" t="n">
        <f aca="false">IF(AC343&lt;1,X$14*((1-ropt)-Y$14*(1-ropt^2)+Z$14*(1-ropt^3)),0)</f>
        <v>661071.231068339</v>
      </c>
    </row>
    <row r="344" customFormat="false" ht="12.75" hidden="false" customHeight="false" outlineLevel="0" collapsed="false">
      <c r="J344" s="67"/>
      <c r="K344" s="67"/>
      <c r="L344" s="151"/>
      <c r="M344" s="151"/>
      <c r="N344" s="151"/>
      <c r="O344" s="69"/>
      <c r="P344" s="69"/>
      <c r="Q344" s="69"/>
      <c r="R344" s="69"/>
      <c r="S344" s="69"/>
      <c r="T344" s="69"/>
      <c r="U344" s="69"/>
      <c r="V344" s="69"/>
      <c r="W344" s="159"/>
      <c r="X344" s="102" t="n">
        <v>675</v>
      </c>
      <c r="Y344" s="124" t="n">
        <f aca="false">Y343+Y$16</f>
        <v>0.00129663199186325</v>
      </c>
      <c r="Z344" s="115" t="n">
        <f aca="false">(K-(L0-Y344*Ldif-alph*Y344^0.5))/R0</f>
        <v>0.806036806080873</v>
      </c>
      <c r="AA344" s="113" t="n">
        <f aca="false">IF(Z344&lt;1,X$14*((1-r_1)-Y$14*(1-r_1^2)+Z$14*(1-r_1^3)),0)</f>
        <v>658380.110417908</v>
      </c>
      <c r="AB344" s="97" t="n">
        <f aca="false">AB343+AB$15</f>
        <v>0.00129663199186325</v>
      </c>
      <c r="AC344" s="115" t="n">
        <f aca="false">(Kopt-(L0-AB344*Ldif-alph*AB344^0.5))/R0</f>
        <v>0.806036806080873</v>
      </c>
      <c r="AD344" s="113" t="n">
        <f aca="false">IF(AC344&lt;1,X$14*((1-ropt)-Y$14*(1-ropt^2)+Z$14*(1-ropt^3)),0)</f>
        <v>658380.110417908</v>
      </c>
    </row>
    <row r="345" customFormat="false" ht="12.75" hidden="false" customHeight="false" outlineLevel="0" collapsed="false">
      <c r="J345" s="67"/>
      <c r="K345" s="67"/>
      <c r="L345" s="151"/>
      <c r="M345" s="151"/>
      <c r="N345" s="151"/>
      <c r="O345" s="69"/>
      <c r="P345" s="69"/>
      <c r="Q345" s="69"/>
      <c r="R345" s="69"/>
      <c r="S345" s="69"/>
      <c r="T345" s="69"/>
      <c r="U345" s="69"/>
      <c r="V345" s="69"/>
      <c r="W345" s="159"/>
      <c r="X345" s="102" t="n">
        <v>674</v>
      </c>
      <c r="Y345" s="124" t="n">
        <f aca="false">Y344+Y$16</f>
        <v>0.0013006216287613</v>
      </c>
      <c r="Z345" s="115" t="n">
        <f aca="false">(K-(L0-Y345*Ldif-alph*Y345^0.5))/R0</f>
        <v>0.806432204144597</v>
      </c>
      <c r="AA345" s="113" t="n">
        <f aca="false">IF(Z345&lt;1,X$14*((1-r_1)-Y$14*(1-r_1^2)+Z$14*(1-r_1^3)),0)</f>
        <v>655698.602865581</v>
      </c>
      <c r="AB345" s="97" t="n">
        <f aca="false">AB344+AB$15</f>
        <v>0.0013006216287613</v>
      </c>
      <c r="AC345" s="115" t="n">
        <f aca="false">(Kopt-(L0-AB345*Ldif-alph*AB345^0.5))/R0</f>
        <v>0.806432204144597</v>
      </c>
      <c r="AD345" s="113" t="n">
        <f aca="false">IF(AC345&lt;1,X$14*((1-ropt)-Y$14*(1-ropt^2)+Z$14*(1-ropt^3)),0)</f>
        <v>655698.602865581</v>
      </c>
    </row>
    <row r="346" customFormat="false" ht="12.75" hidden="false" customHeight="false" outlineLevel="0" collapsed="false">
      <c r="J346" s="67"/>
      <c r="K346" s="67"/>
      <c r="L346" s="151"/>
      <c r="M346" s="151"/>
      <c r="N346" s="151"/>
      <c r="O346" s="69"/>
      <c r="P346" s="69"/>
      <c r="Q346" s="69"/>
      <c r="R346" s="69"/>
      <c r="S346" s="69"/>
      <c r="T346" s="69"/>
      <c r="U346" s="69"/>
      <c r="V346" s="69"/>
      <c r="W346" s="159"/>
      <c r="X346" s="102" t="n">
        <v>673</v>
      </c>
      <c r="Y346" s="124" t="n">
        <f aca="false">Y345+Y$16</f>
        <v>0.00130461126565934</v>
      </c>
      <c r="Z346" s="115" t="n">
        <f aca="false">(K-(L0-Y346*Ldif-alph*Y346^0.5))/R0</f>
        <v>0.806826996234952</v>
      </c>
      <c r="AA346" s="113" t="n">
        <f aca="false">IF(Z346&lt;1,X$14*((1-r_1)-Y$14*(1-r_1^2)+Z$14*(1-r_1^3)),0)</f>
        <v>653026.664213195</v>
      </c>
      <c r="AB346" s="97" t="n">
        <f aca="false">AB345+AB$15</f>
        <v>0.00130461126565934</v>
      </c>
      <c r="AC346" s="115" t="n">
        <f aca="false">(Kopt-(L0-AB346*Ldif-alph*AB346^0.5))/R0</f>
        <v>0.806826996234952</v>
      </c>
      <c r="AD346" s="113" t="n">
        <f aca="false">IF(AC346&lt;1,X$14*((1-ropt)-Y$14*(1-ropt^2)+Z$14*(1-ropt^3)),0)</f>
        <v>653026.664213195</v>
      </c>
    </row>
    <row r="347" customFormat="false" ht="12.75" hidden="false" customHeight="false" outlineLevel="0" collapsed="false">
      <c r="J347" s="67"/>
      <c r="K347" s="67"/>
      <c r="L347" s="151"/>
      <c r="M347" s="151"/>
      <c r="N347" s="151"/>
      <c r="O347" s="69"/>
      <c r="P347" s="69"/>
      <c r="Q347" s="69"/>
      <c r="R347" s="69"/>
      <c r="S347" s="69"/>
      <c r="T347" s="69"/>
      <c r="U347" s="69"/>
      <c r="V347" s="69"/>
      <c r="W347" s="159"/>
      <c r="X347" s="102" t="n">
        <v>672</v>
      </c>
      <c r="Y347" s="124" t="n">
        <f aca="false">Y346+Y$16</f>
        <v>0.00130860090255738</v>
      </c>
      <c r="Z347" s="115" t="n">
        <f aca="false">(K-(L0-Y347*Ldif-alph*Y347^0.5))/R0</f>
        <v>0.807221185129525</v>
      </c>
      <c r="AA347" s="113" t="n">
        <f aca="false">IF(Z347&lt;1,X$14*((1-r_1)-Y$14*(1-r_1^2)+Z$14*(1-r_1^3)),0)</f>
        <v>650364.250600138</v>
      </c>
      <c r="AB347" s="97" t="n">
        <f aca="false">AB346+AB$15</f>
        <v>0.00130860090255738</v>
      </c>
      <c r="AC347" s="115" t="n">
        <f aca="false">(Kopt-(L0-AB347*Ldif-alph*AB347^0.5))/R0</f>
        <v>0.807221185129525</v>
      </c>
      <c r="AD347" s="113" t="n">
        <f aca="false">IF(AC347&lt;1,X$14*((1-ropt)-Y$14*(1-ropt^2)+Z$14*(1-ropt^3)),0)</f>
        <v>650364.250600138</v>
      </c>
    </row>
    <row r="348" customFormat="false" ht="12.75" hidden="false" customHeight="false" outlineLevel="0" collapsed="false">
      <c r="J348" s="67"/>
      <c r="K348" s="67"/>
      <c r="L348" s="151"/>
      <c r="M348" s="151"/>
      <c r="N348" s="151"/>
      <c r="O348" s="69"/>
      <c r="P348" s="69"/>
      <c r="Q348" s="69"/>
      <c r="R348" s="69"/>
      <c r="S348" s="69"/>
      <c r="T348" s="69"/>
      <c r="U348" s="69"/>
      <c r="V348" s="69"/>
      <c r="W348" s="159"/>
      <c r="X348" s="102" t="n">
        <v>671</v>
      </c>
      <c r="Y348" s="124" t="n">
        <f aca="false">Y347+Y$16</f>
        <v>0.00131259053945542</v>
      </c>
      <c r="Z348" s="115" t="n">
        <f aca="false">(K-(L0-Y348*Ldif-alph*Y348^0.5))/R0</f>
        <v>0.807614773584731</v>
      </c>
      <c r="AA348" s="113" t="n">
        <f aca="false">IF(Z348&lt;1,X$14*((1-r_1)-Y$14*(1-r_1^2)+Z$14*(1-r_1^3)),0)</f>
        <v>647711.318499949</v>
      </c>
      <c r="AB348" s="97" t="n">
        <f aca="false">AB347+AB$15</f>
        <v>0.00131259053945542</v>
      </c>
      <c r="AC348" s="115" t="n">
        <f aca="false">(Kopt-(L0-AB348*Ldif-alph*AB348^0.5))/R0</f>
        <v>0.807614773584731</v>
      </c>
      <c r="AD348" s="113" t="n">
        <f aca="false">IF(AC348&lt;1,X$14*((1-ropt)-Y$14*(1-ropt^2)+Z$14*(1-ropt^3)),0)</f>
        <v>647711.318499949</v>
      </c>
    </row>
    <row r="349" customFormat="false" ht="12.75" hidden="false" customHeight="false" outlineLevel="0" collapsed="false">
      <c r="J349" s="67"/>
      <c r="K349" s="67"/>
      <c r="L349" s="151"/>
      <c r="M349" s="151"/>
      <c r="N349" s="151"/>
      <c r="O349" s="69"/>
      <c r="P349" s="69"/>
      <c r="Q349" s="69"/>
      <c r="R349" s="69"/>
      <c r="S349" s="69"/>
      <c r="T349" s="69"/>
      <c r="U349" s="69"/>
      <c r="V349" s="69"/>
      <c r="W349" s="159"/>
      <c r="X349" s="102" t="n">
        <v>670</v>
      </c>
      <c r="Y349" s="124" t="n">
        <f aca="false">Y348+Y$16</f>
        <v>0.00131658017635346</v>
      </c>
      <c r="Z349" s="115" t="n">
        <f aca="false">(K-(L0-Y349*Ldif-alph*Y349^0.5))/R0</f>
        <v>0.808007764336073</v>
      </c>
      <c r="AA349" s="113" t="n">
        <f aca="false">IF(Z349&lt;1,X$14*((1-r_1)-Y$14*(1-r_1^2)+Z$14*(1-r_1^3)),0)</f>
        <v>645067.824716577</v>
      </c>
      <c r="AB349" s="97" t="n">
        <f aca="false">AB348+AB$15</f>
        <v>0.00131658017635346</v>
      </c>
      <c r="AC349" s="115" t="n">
        <f aca="false">(Kopt-(L0-AB349*Ldif-alph*AB349^0.5))/R0</f>
        <v>0.808007764336073</v>
      </c>
      <c r="AD349" s="113" t="n">
        <f aca="false">IF(AC349&lt;1,X$14*((1-ropt)-Y$14*(1-ropt^2)+Z$14*(1-ropt^3)),0)</f>
        <v>645067.824716577</v>
      </c>
    </row>
    <row r="350" customFormat="false" ht="12.75" hidden="false" customHeight="false" outlineLevel="0" collapsed="false">
      <c r="J350" s="67"/>
      <c r="K350" s="67"/>
      <c r="L350" s="151"/>
      <c r="M350" s="151"/>
      <c r="N350" s="151"/>
      <c r="O350" s="69"/>
      <c r="P350" s="69"/>
      <c r="Q350" s="69"/>
      <c r="R350" s="69"/>
      <c r="S350" s="69"/>
      <c r="T350" s="69"/>
      <c r="U350" s="69"/>
      <c r="V350" s="69"/>
      <c r="W350" s="159"/>
      <c r="X350" s="102" t="n">
        <v>669</v>
      </c>
      <c r="Y350" s="124" t="n">
        <f aca="false">Y349+Y$16</f>
        <v>0.0013205698132515</v>
      </c>
      <c r="Z350" s="115" t="n">
        <f aca="false">(K-(L0-Y350*Ldif-alph*Y350^0.5))/R0</f>
        <v>0.808400160098334</v>
      </c>
      <c r="AA350" s="113" t="n">
        <f aca="false">IF(Z350&lt;1,X$14*((1-r_1)-Y$14*(1-r_1^2)+Z$14*(1-r_1^3)),0)</f>
        <v>642433.726381021</v>
      </c>
      <c r="AB350" s="97" t="n">
        <f aca="false">AB349+AB$15</f>
        <v>0.0013205698132515</v>
      </c>
      <c r="AC350" s="115" t="n">
        <f aca="false">(Kopt-(L0-AB350*Ldif-alph*AB350^0.5))/R0</f>
        <v>0.808400160098334</v>
      </c>
      <c r="AD350" s="113" t="n">
        <f aca="false">IF(AC350&lt;1,X$14*((1-ropt)-Y$14*(1-ropt^2)+Z$14*(1-ropt^3)),0)</f>
        <v>642433.726381021</v>
      </c>
    </row>
    <row r="351" customFormat="false" ht="12.75" hidden="false" customHeight="false" outlineLevel="0" collapsed="false">
      <c r="J351" s="67"/>
      <c r="K351" s="67"/>
      <c r="L351" s="151"/>
      <c r="M351" s="151"/>
      <c r="N351" s="151"/>
      <c r="O351" s="69"/>
      <c r="P351" s="69"/>
      <c r="Q351" s="69"/>
      <c r="R351" s="69"/>
      <c r="S351" s="69"/>
      <c r="T351" s="69"/>
      <c r="U351" s="69"/>
      <c r="V351" s="69"/>
      <c r="W351" s="159"/>
      <c r="X351" s="102" t="n">
        <v>668</v>
      </c>
      <c r="Y351" s="124" t="n">
        <f aca="false">Y350+Y$16</f>
        <v>0.00132455945014954</v>
      </c>
      <c r="Z351" s="115" t="n">
        <f aca="false">(K-(L0-Y351*Ldif-alph*Y351^0.5))/R0</f>
        <v>0.808791963565814</v>
      </c>
      <c r="AA351" s="113" t="n">
        <f aca="false">IF(Z351&lt;1,X$14*((1-r_1)-Y$14*(1-r_1^2)+Z$14*(1-r_1^3)),0)</f>
        <v>639808.980947798</v>
      </c>
      <c r="AB351" s="97" t="n">
        <f aca="false">AB350+AB$15</f>
        <v>0.00132455945014954</v>
      </c>
      <c r="AC351" s="115" t="n">
        <f aca="false">(Kopt-(L0-AB351*Ldif-alph*AB351^0.5))/R0</f>
        <v>0.808791963565814</v>
      </c>
      <c r="AD351" s="113" t="n">
        <f aca="false">IF(AC351&lt;1,X$14*((1-ropt)-Y$14*(1-ropt^2)+Z$14*(1-ropt^3)),0)</f>
        <v>639808.980947798</v>
      </c>
    </row>
    <row r="352" customFormat="false" ht="12.75" hidden="false" customHeight="false" outlineLevel="0" collapsed="false">
      <c r="J352" s="67"/>
      <c r="K352" s="67"/>
      <c r="L352" s="151"/>
      <c r="M352" s="151"/>
      <c r="N352" s="151"/>
      <c r="O352" s="69"/>
      <c r="P352" s="69"/>
      <c r="Q352" s="69"/>
      <c r="R352" s="69"/>
      <c r="S352" s="69"/>
      <c r="T352" s="69"/>
      <c r="U352" s="69"/>
      <c r="V352" s="69"/>
      <c r="W352" s="159"/>
      <c r="X352" s="102" t="n">
        <v>667</v>
      </c>
      <c r="Y352" s="124" t="n">
        <f aca="false">Y351+Y$16</f>
        <v>0.00132854908704758</v>
      </c>
      <c r="Z352" s="115" t="n">
        <f aca="false">(K-(L0-Y352*Ldif-alph*Y352^0.5))/R0</f>
        <v>0.809183177412533</v>
      </c>
      <c r="AA352" s="113" t="n">
        <f aca="false">IF(Z352&lt;1,X$14*((1-r_1)-Y$14*(1-r_1^2)+Z$14*(1-r_1^3)),0)</f>
        <v>637193.546191594</v>
      </c>
      <c r="AB352" s="97" t="n">
        <f aca="false">AB351+AB$15</f>
        <v>0.00132854908704758</v>
      </c>
      <c r="AC352" s="115" t="n">
        <f aca="false">(Kopt-(L0-AB352*Ldif-alph*AB352^0.5))/R0</f>
        <v>0.809183177412533</v>
      </c>
      <c r="AD352" s="113" t="n">
        <f aca="false">IF(AC352&lt;1,X$14*((1-ropt)-Y$14*(1-ropt^2)+Z$14*(1-ropt^3)),0)</f>
        <v>637193.546191594</v>
      </c>
    </row>
    <row r="353" customFormat="false" ht="12.75" hidden="false" customHeight="false" outlineLevel="0" collapsed="false">
      <c r="J353" s="67"/>
      <c r="K353" s="67"/>
      <c r="L353" s="151"/>
      <c r="M353" s="151"/>
      <c r="N353" s="151"/>
      <c r="O353" s="69"/>
      <c r="P353" s="69"/>
      <c r="Q353" s="69"/>
      <c r="R353" s="69"/>
      <c r="S353" s="69"/>
      <c r="T353" s="69"/>
      <c r="U353" s="69"/>
      <c r="V353" s="69"/>
      <c r="W353" s="159"/>
      <c r="X353" s="102" t="n">
        <v>666</v>
      </c>
      <c r="Y353" s="124" t="n">
        <f aca="false">Y352+Y$16</f>
        <v>0.00133253872394562</v>
      </c>
      <c r="Z353" s="115" t="n">
        <f aca="false">(K-(L0-Y353*Ldif-alph*Y353^0.5))/R0</f>
        <v>0.809573804292462</v>
      </c>
      <c r="AA353" s="113" t="n">
        <f aca="false">IF(Z353&lt;1,X$14*((1-r_1)-Y$14*(1-r_1^2)+Z$14*(1-r_1^3)),0)</f>
        <v>634587.380203799</v>
      </c>
      <c r="AB353" s="97" t="n">
        <f aca="false">AB352+AB$15</f>
        <v>0.00133253872394562</v>
      </c>
      <c r="AC353" s="115" t="n">
        <f aca="false">(Kopt-(L0-AB353*Ldif-alph*AB353^0.5))/R0</f>
        <v>0.809573804292462</v>
      </c>
      <c r="AD353" s="113" t="n">
        <f aca="false">IF(AC353&lt;1,X$14*((1-ropt)-Y$14*(1-ropt^2)+Z$14*(1-ropt^3)),0)</f>
        <v>634587.380203799</v>
      </c>
    </row>
    <row r="354" customFormat="false" ht="12.75" hidden="false" customHeight="false" outlineLevel="0" collapsed="false">
      <c r="J354" s="67"/>
      <c r="K354" s="67"/>
      <c r="L354" s="151"/>
      <c r="M354" s="151"/>
      <c r="N354" s="151"/>
      <c r="O354" s="69"/>
      <c r="P354" s="69"/>
      <c r="Q354" s="69"/>
      <c r="R354" s="69"/>
      <c r="S354" s="69"/>
      <c r="T354" s="69"/>
      <c r="U354" s="69"/>
      <c r="V354" s="69"/>
      <c r="W354" s="159"/>
      <c r="X354" s="102" t="n">
        <v>665</v>
      </c>
      <c r="Y354" s="124" t="n">
        <f aca="false">Y353+Y$16</f>
        <v>0.00133652836084366</v>
      </c>
      <c r="Z354" s="115" t="n">
        <f aca="false">(K-(L0-Y354*Ldif-alph*Y354^0.5))/R0</f>
        <v>0.809963846839709</v>
      </c>
      <c r="AA354" s="113" t="n">
        <f aca="false">IF(Z354&lt;1,X$14*((1-r_1)-Y$14*(1-r_1^2)+Z$14*(1-r_1^3)),0)</f>
        <v>631990.44138933</v>
      </c>
      <c r="AB354" s="97" t="n">
        <f aca="false">AB353+AB$15</f>
        <v>0.00133652836084366</v>
      </c>
      <c r="AC354" s="115" t="n">
        <f aca="false">(Kopt-(L0-AB354*Ldif-alph*AB354^0.5))/R0</f>
        <v>0.809963846839709</v>
      </c>
      <c r="AD354" s="113" t="n">
        <f aca="false">IF(AC354&lt;1,X$14*((1-ropt)-Y$14*(1-ropt^2)+Z$14*(1-ropt^3)),0)</f>
        <v>631990.44138933</v>
      </c>
    </row>
    <row r="355" customFormat="false" ht="12.75" hidden="false" customHeight="false" outlineLevel="0" collapsed="false">
      <c r="J355" s="67"/>
      <c r="K355" s="67"/>
      <c r="L355" s="151"/>
      <c r="M355" s="151"/>
      <c r="N355" s="151"/>
      <c r="O355" s="69"/>
      <c r="P355" s="69"/>
      <c r="Q355" s="69"/>
      <c r="R355" s="69"/>
      <c r="S355" s="69"/>
      <c r="T355" s="69"/>
      <c r="U355" s="69"/>
      <c r="V355" s="69"/>
      <c r="W355" s="159"/>
      <c r="X355" s="102" t="n">
        <v>664</v>
      </c>
      <c r="Y355" s="124" t="n">
        <f aca="false">Y354+Y$16</f>
        <v>0.0013405179977417</v>
      </c>
      <c r="Z355" s="115" t="n">
        <f aca="false">(K-(L0-Y355*Ldif-alph*Y355^0.5))/R0</f>
        <v>0.81035330766875</v>
      </c>
      <c r="AA355" s="113" t="n">
        <f aca="false">IF(Z355&lt;1,X$14*((1-r_1)-Y$14*(1-r_1^2)+Z$14*(1-r_1^3)),0)</f>
        <v>629402.688463221</v>
      </c>
      <c r="AB355" s="97" t="n">
        <f aca="false">AB354+AB$15</f>
        <v>0.0013405179977417</v>
      </c>
      <c r="AC355" s="115" t="n">
        <f aca="false">(Kopt-(L0-AB355*Ldif-alph*AB355^0.5))/R0</f>
        <v>0.81035330766875</v>
      </c>
      <c r="AD355" s="113" t="n">
        <f aca="false">IF(AC355&lt;1,X$14*((1-ropt)-Y$14*(1-ropt^2)+Z$14*(1-ropt^3)),0)</f>
        <v>629402.688463221</v>
      </c>
    </row>
    <row r="356" customFormat="false" ht="12.75" hidden="false" customHeight="false" outlineLevel="0" collapsed="false">
      <c r="J356" s="67"/>
      <c r="K356" s="67"/>
      <c r="L356" s="151"/>
      <c r="M356" s="151"/>
      <c r="N356" s="151"/>
      <c r="O356" s="69"/>
      <c r="P356" s="69"/>
      <c r="Q356" s="69"/>
      <c r="R356" s="69"/>
      <c r="S356" s="69"/>
      <c r="T356" s="69"/>
      <c r="U356" s="69"/>
      <c r="V356" s="69"/>
      <c r="W356" s="159"/>
      <c r="X356" s="102" t="n">
        <v>663</v>
      </c>
      <c r="Y356" s="124" t="n">
        <f aca="false">Y355+Y$16</f>
        <v>0.00134450763463974</v>
      </c>
      <c r="Z356" s="115" t="n">
        <f aca="false">(K-(L0-Y356*Ldif-alph*Y356^0.5))/R0</f>
        <v>0.810742189374611</v>
      </c>
      <c r="AA356" s="113" t="n">
        <f aca="false">IF(Z356&lt;1,X$14*((1-r_1)-Y$14*(1-r_1^2)+Z$14*(1-r_1^3)),0)</f>
        <v>626824.080447525</v>
      </c>
      <c r="AB356" s="97" t="n">
        <f aca="false">AB355+AB$15</f>
        <v>0.00134450763463974</v>
      </c>
      <c r="AC356" s="115" t="n">
        <f aca="false">(Kopt-(L0-AB356*Ldif-alph*AB356^0.5))/R0</f>
        <v>0.810742189374611</v>
      </c>
      <c r="AD356" s="113" t="n">
        <f aca="false">IF(AC356&lt;1,X$14*((1-ropt)-Y$14*(1-ropt^2)+Z$14*(1-ropt^3)),0)</f>
        <v>626824.080447525</v>
      </c>
    </row>
    <row r="357" customFormat="false" ht="12.75" hidden="false" customHeight="false" outlineLevel="0" collapsed="false">
      <c r="J357" s="67"/>
      <c r="K357" s="67"/>
      <c r="L357" s="151"/>
      <c r="M357" s="151"/>
      <c r="N357" s="151"/>
      <c r="O357" s="69"/>
      <c r="P357" s="69"/>
      <c r="Q357" s="69"/>
      <c r="R357" s="69"/>
      <c r="S357" s="69"/>
      <c r="T357" s="69"/>
      <c r="U357" s="69"/>
      <c r="V357" s="69"/>
      <c r="W357" s="159"/>
      <c r="X357" s="102" t="n">
        <v>662</v>
      </c>
      <c r="Y357" s="124" t="n">
        <f aca="false">Y356+Y$16</f>
        <v>0.00134849727153779</v>
      </c>
      <c r="Z357" s="115" t="n">
        <f aca="false">(K-(L0-Y357*Ldif-alph*Y357^0.5))/R0</f>
        <v>0.811130494533098</v>
      </c>
      <c r="AA357" s="113" t="n">
        <f aca="false">IF(Z357&lt;1,X$14*((1-r_1)-Y$14*(1-r_1^2)+Z$14*(1-r_1^3)),0)</f>
        <v>624254.57666796</v>
      </c>
      <c r="AB357" s="97" t="n">
        <f aca="false">AB356+AB$15</f>
        <v>0.00134849727153779</v>
      </c>
      <c r="AC357" s="115" t="n">
        <f aca="false">(Kopt-(L0-AB357*Ldif-alph*AB357^0.5))/R0</f>
        <v>0.811130494533098</v>
      </c>
      <c r="AD357" s="113" t="n">
        <f aca="false">IF(AC357&lt;1,X$14*((1-ropt)-Y$14*(1-ropt^2)+Z$14*(1-ropt^3)),0)</f>
        <v>624254.57666796</v>
      </c>
    </row>
    <row r="358" customFormat="false" ht="12.75" hidden="false" customHeight="false" outlineLevel="0" collapsed="false">
      <c r="J358" s="67"/>
      <c r="K358" s="67"/>
      <c r="L358" s="151"/>
      <c r="M358" s="151"/>
      <c r="N358" s="151"/>
      <c r="O358" s="69"/>
      <c r="P358" s="69"/>
      <c r="Q358" s="69"/>
      <c r="R358" s="69"/>
      <c r="S358" s="69"/>
      <c r="T358" s="69"/>
      <c r="U358" s="69"/>
      <c r="V358" s="69"/>
      <c r="W358" s="159"/>
      <c r="X358" s="102" t="n">
        <v>661</v>
      </c>
      <c r="Y358" s="124" t="n">
        <f aca="false">Y357+Y$16</f>
        <v>0.00135248690843583</v>
      </c>
      <c r="Z358" s="115" t="n">
        <f aca="false">(K-(L0-Y358*Ldif-alph*Y358^0.5))/R0</f>
        <v>0.81151822570096</v>
      </c>
      <c r="AA358" s="113" t="n">
        <f aca="false">IF(Z358&lt;1,X$14*((1-r_1)-Y$14*(1-r_1^2)+Z$14*(1-r_1^3)),0)</f>
        <v>621694.136750999</v>
      </c>
      <c r="AB358" s="97" t="n">
        <f aca="false">AB357+AB$15</f>
        <v>0.00135248690843583</v>
      </c>
      <c r="AC358" s="115" t="n">
        <f aca="false">(Kopt-(L0-AB358*Ldif-alph*AB358^0.5))/R0</f>
        <v>0.81151822570096</v>
      </c>
      <c r="AD358" s="113" t="n">
        <f aca="false">IF(AC358&lt;1,X$14*((1-ropt)-Y$14*(1-ropt^2)+Z$14*(1-ropt^3)),0)</f>
        <v>621694.136750999</v>
      </c>
    </row>
    <row r="359" customFormat="false" ht="12.75" hidden="false" customHeight="false" outlineLevel="0" collapsed="false">
      <c r="J359" s="67"/>
      <c r="K359" s="67"/>
      <c r="L359" s="151"/>
      <c r="M359" s="151"/>
      <c r="N359" s="151"/>
      <c r="O359" s="69"/>
      <c r="P359" s="69"/>
      <c r="Q359" s="69"/>
      <c r="R359" s="69"/>
      <c r="S359" s="69"/>
      <c r="T359" s="69"/>
      <c r="U359" s="69"/>
      <c r="V359" s="69"/>
      <c r="W359" s="159"/>
      <c r="X359" s="102" t="n">
        <v>660</v>
      </c>
      <c r="Y359" s="124" t="n">
        <f aca="false">Y358+Y$16</f>
        <v>0.00135647654533387</v>
      </c>
      <c r="Z359" s="115" t="n">
        <f aca="false">(K-(L0-Y359*Ldif-alph*Y359^0.5))/R0</f>
        <v>0.81190538541612</v>
      </c>
      <c r="AA359" s="113" t="n">
        <f aca="false">IF(Z359&lt;1,X$14*((1-r_1)-Y$14*(1-r_1^2)+Z$14*(1-r_1^3)),0)</f>
        <v>619142.720620526</v>
      </c>
      <c r="AB359" s="97" t="n">
        <f aca="false">AB358+AB$15</f>
        <v>0.00135647654533387</v>
      </c>
      <c r="AC359" s="115" t="n">
        <f aca="false">(Kopt-(L0-AB359*Ldif-alph*AB359^0.5))/R0</f>
        <v>0.81190538541612</v>
      </c>
      <c r="AD359" s="113" t="n">
        <f aca="false">IF(AC359&lt;1,X$14*((1-ropt)-Y$14*(1-ropt^2)+Z$14*(1-ropt^3)),0)</f>
        <v>619142.720620526</v>
      </c>
    </row>
    <row r="360" customFormat="false" ht="12.75" hidden="false" customHeight="false" outlineLevel="0" collapsed="false">
      <c r="J360" s="67"/>
      <c r="K360" s="67"/>
      <c r="L360" s="151"/>
      <c r="M360" s="151"/>
      <c r="N360" s="151"/>
      <c r="O360" s="69"/>
      <c r="P360" s="69"/>
      <c r="Q360" s="69"/>
      <c r="R360" s="69"/>
      <c r="S360" s="69"/>
      <c r="T360" s="69"/>
      <c r="U360" s="69"/>
      <c r="V360" s="69"/>
      <c r="W360" s="159"/>
      <c r="X360" s="102" t="n">
        <v>659</v>
      </c>
      <c r="Y360" s="124" t="n">
        <f aca="false">Y359+Y$16</f>
        <v>0.00136046618223191</v>
      </c>
      <c r="Z360" s="115" t="n">
        <f aca="false">(K-(L0-Y360*Ldif-alph*Y360^0.5))/R0</f>
        <v>0.812291976197843</v>
      </c>
      <c r="AA360" s="113" t="n">
        <f aca="false">IF(Z360&lt;1,X$14*((1-r_1)-Y$14*(1-r_1^2)+Z$14*(1-r_1^3)),0)</f>
        <v>616600.288494945</v>
      </c>
      <c r="AB360" s="97" t="n">
        <f aca="false">AB359+AB$15</f>
        <v>0.00136046618223191</v>
      </c>
      <c r="AC360" s="115" t="n">
        <f aca="false">(Kopt-(L0-AB360*Ldif-alph*AB360^0.5))/R0</f>
        <v>0.812291976197843</v>
      </c>
      <c r="AD360" s="113" t="n">
        <f aca="false">IF(AC360&lt;1,X$14*((1-ropt)-Y$14*(1-ropt^2)+Z$14*(1-ropt^3)),0)</f>
        <v>616600.288494945</v>
      </c>
    </row>
    <row r="361" customFormat="false" ht="12.75" hidden="false" customHeight="false" outlineLevel="0" collapsed="false">
      <c r="J361" s="67"/>
      <c r="K361" s="67"/>
      <c r="L361" s="151"/>
      <c r="M361" s="151"/>
      <c r="N361" s="151"/>
      <c r="O361" s="69"/>
      <c r="P361" s="69"/>
      <c r="Q361" s="69"/>
      <c r="R361" s="69"/>
      <c r="S361" s="69"/>
      <c r="T361" s="69"/>
      <c r="U361" s="69"/>
      <c r="V361" s="69"/>
      <c r="W361" s="159"/>
      <c r="X361" s="102" t="n">
        <v>658</v>
      </c>
      <c r="Y361" s="124" t="n">
        <f aca="false">Y360+Y$16</f>
        <v>0.00136445581912995</v>
      </c>
      <c r="Z361" s="115" t="n">
        <f aca="false">(K-(L0-Y361*Ldif-alph*Y361^0.5))/R0</f>
        <v>0.812678000546944</v>
      </c>
      <c r="AA361" s="113" t="n">
        <f aca="false">IF(Z361&lt;1,X$14*((1-r_1)-Y$14*(1-r_1^2)+Z$14*(1-r_1^3)),0)</f>
        <v>614066.800884089</v>
      </c>
      <c r="AB361" s="97" t="n">
        <f aca="false">AB360+AB$15</f>
        <v>0.00136445581912995</v>
      </c>
      <c r="AC361" s="115" t="n">
        <f aca="false">(Kopt-(L0-AB361*Ldif-alph*AB361^0.5))/R0</f>
        <v>0.812678000546944</v>
      </c>
      <c r="AD361" s="113" t="n">
        <f aca="false">IF(AC361&lt;1,X$14*((1-ropt)-Y$14*(1-ropt^2)+Z$14*(1-ropt^3)),0)</f>
        <v>614066.800884089</v>
      </c>
    </row>
    <row r="362" customFormat="false" ht="12.75" hidden="false" customHeight="false" outlineLevel="0" collapsed="false">
      <c r="J362" s="67"/>
      <c r="K362" s="67"/>
      <c r="L362" s="151"/>
      <c r="M362" s="151"/>
      <c r="N362" s="151"/>
      <c r="O362" s="69"/>
      <c r="P362" s="69"/>
      <c r="Q362" s="69"/>
      <c r="R362" s="69"/>
      <c r="S362" s="69"/>
      <c r="T362" s="69"/>
      <c r="U362" s="69"/>
      <c r="V362" s="69"/>
      <c r="W362" s="159"/>
      <c r="X362" s="102" t="n">
        <v>657</v>
      </c>
      <c r="Y362" s="124" t="n">
        <f aca="false">Y361+Y$16</f>
        <v>0.00136844545602799</v>
      </c>
      <c r="Z362" s="115" t="n">
        <f aca="false">(K-(L0-Y362*Ldif-alph*Y362^0.5))/R0</f>
        <v>0.813063460945967</v>
      </c>
      <c r="AA362" s="113" t="n">
        <f aca="false">IF(Z362&lt;1,X$14*((1-r_1)-Y$14*(1-r_1^2)+Z$14*(1-r_1^3)),0)</f>
        <v>611542.218586254</v>
      </c>
      <c r="AB362" s="97" t="n">
        <f aca="false">AB361+AB$15</f>
        <v>0.00136844545602799</v>
      </c>
      <c r="AC362" s="115" t="n">
        <f aca="false">(Kopt-(L0-AB362*Ldif-alph*AB362^0.5))/R0</f>
        <v>0.813063460945967</v>
      </c>
      <c r="AD362" s="113" t="n">
        <f aca="false">IF(AC362&lt;1,X$14*((1-ropt)-Y$14*(1-ropt^2)+Z$14*(1-ropt^3)),0)</f>
        <v>611542.218586254</v>
      </c>
    </row>
    <row r="363" customFormat="false" ht="12.75" hidden="false" customHeight="false" outlineLevel="0" collapsed="false">
      <c r="J363" s="67"/>
      <c r="K363" s="67"/>
      <c r="L363" s="151"/>
      <c r="M363" s="151"/>
      <c r="N363" s="151"/>
      <c r="O363" s="69"/>
      <c r="P363" s="69"/>
      <c r="Q363" s="69"/>
      <c r="R363" s="69"/>
      <c r="S363" s="69"/>
      <c r="T363" s="69"/>
      <c r="U363" s="69"/>
      <c r="V363" s="69"/>
      <c r="W363" s="159"/>
      <c r="X363" s="102" t="n">
        <v>656</v>
      </c>
      <c r="Y363" s="124" t="n">
        <f aca="false">Y362+Y$16</f>
        <v>0.00137243509292603</v>
      </c>
      <c r="Z363" s="115" t="n">
        <f aca="false">(K-(L0-Y363*Ldif-alph*Y363^0.5))/R0</f>
        <v>0.81344835985938</v>
      </c>
      <c r="AA363" s="113" t="n">
        <f aca="false">IF(Z363&lt;1,X$14*((1-r_1)-Y$14*(1-r_1^2)+Z$14*(1-r_1^3)),0)</f>
        <v>609026.502685223</v>
      </c>
      <c r="AB363" s="97" t="n">
        <f aca="false">AB362+AB$15</f>
        <v>0.00137243509292603</v>
      </c>
      <c r="AC363" s="115" t="n">
        <f aca="false">(Kopt-(L0-AB363*Ldif-alph*AB363^0.5))/R0</f>
        <v>0.81344835985938</v>
      </c>
      <c r="AD363" s="113" t="n">
        <f aca="false">IF(AC363&lt;1,X$14*((1-ropt)-Y$14*(1-ropt^2)+Z$14*(1-ropt^3)),0)</f>
        <v>609026.502685223</v>
      </c>
    </row>
    <row r="364" customFormat="false" ht="12.75" hidden="false" customHeight="false" outlineLevel="0" collapsed="false">
      <c r="J364" s="67"/>
      <c r="K364" s="67"/>
      <c r="L364" s="151"/>
      <c r="M364" s="151"/>
      <c r="N364" s="151"/>
      <c r="O364" s="69"/>
      <c r="P364" s="69"/>
      <c r="Q364" s="69"/>
      <c r="R364" s="69"/>
      <c r="S364" s="69"/>
      <c r="T364" s="69"/>
      <c r="U364" s="69"/>
      <c r="V364" s="69"/>
      <c r="W364" s="159"/>
      <c r="X364" s="102" t="n">
        <v>655</v>
      </c>
      <c r="Y364" s="124" t="n">
        <f aca="false">Y363+Y$16</f>
        <v>0.00137642472982407</v>
      </c>
      <c r="Z364" s="115" t="n">
        <f aca="false">(K-(L0-Y364*Ldif-alph*Y364^0.5))/R0</f>
        <v>0.813832699733745</v>
      </c>
      <c r="AA364" s="113" t="n">
        <f aca="false">IF(Z364&lt;1,X$14*((1-r_1)-Y$14*(1-r_1^2)+Z$14*(1-r_1^3)),0)</f>
        <v>606519.614547456</v>
      </c>
      <c r="AB364" s="97" t="n">
        <f aca="false">AB363+AB$15</f>
        <v>0.00137642472982407</v>
      </c>
      <c r="AC364" s="115" t="n">
        <f aca="false">(Kopt-(L0-AB364*Ldif-alph*AB364^0.5))/R0</f>
        <v>0.813832699733745</v>
      </c>
      <c r="AD364" s="113" t="n">
        <f aca="false">IF(AC364&lt;1,X$14*((1-ropt)-Y$14*(1-ropt^2)+Z$14*(1-ropt^3)),0)</f>
        <v>606519.614547456</v>
      </c>
    </row>
    <row r="365" customFormat="false" ht="12.75" hidden="false" customHeight="false" outlineLevel="0" collapsed="false">
      <c r="J365" s="67"/>
      <c r="K365" s="67"/>
      <c r="L365" s="151"/>
      <c r="M365" s="151"/>
      <c r="N365" s="151"/>
      <c r="O365" s="69"/>
      <c r="P365" s="69"/>
      <c r="Q365" s="69"/>
      <c r="R365" s="69"/>
      <c r="S365" s="69"/>
      <c r="T365" s="69"/>
      <c r="U365" s="69"/>
      <c r="V365" s="69"/>
      <c r="W365" s="159"/>
      <c r="X365" s="102" t="n">
        <v>654</v>
      </c>
      <c r="Y365" s="124" t="n">
        <f aca="false">Y364+Y$16</f>
        <v>0.00138041436672211</v>
      </c>
      <c r="Z365" s="115" t="n">
        <f aca="false">(K-(L0-Y365*Ldif-alph*Y365^0.5))/R0</f>
        <v>0.814216482997918</v>
      </c>
      <c r="AA365" s="113" t="n">
        <f aca="false">IF(Z365&lt;1,X$14*((1-r_1)-Y$14*(1-r_1^2)+Z$14*(1-r_1^3)),0)</f>
        <v>604021.515819103</v>
      </c>
      <c r="AB365" s="97" t="n">
        <f aca="false">AB364+AB$15</f>
        <v>0.00138041436672211</v>
      </c>
      <c r="AC365" s="115" t="n">
        <f aca="false">(Kopt-(L0-AB365*Ldif-alph*AB365^0.5))/R0</f>
        <v>0.814216482997918</v>
      </c>
      <c r="AD365" s="113" t="n">
        <f aca="false">IF(AC365&lt;1,X$14*((1-ropt)-Y$14*(1-ropt^2)+Z$14*(1-ropt^3)),0)</f>
        <v>604021.515819103</v>
      </c>
    </row>
    <row r="366" customFormat="false" ht="12.75" hidden="false" customHeight="false" outlineLevel="0" collapsed="false">
      <c r="J366" s="67"/>
      <c r="K366" s="67"/>
      <c r="L366" s="151"/>
      <c r="M366" s="151"/>
      <c r="N366" s="151"/>
      <c r="O366" s="69"/>
      <c r="P366" s="69"/>
      <c r="Q366" s="69"/>
      <c r="R366" s="69"/>
      <c r="S366" s="69"/>
      <c r="T366" s="69"/>
      <c r="U366" s="69"/>
      <c r="V366" s="69"/>
      <c r="W366" s="159"/>
      <c r="X366" s="102" t="n">
        <v>653</v>
      </c>
      <c r="Y366" s="124" t="n">
        <f aca="false">Y365+Y$16</f>
        <v>0.00138440400362015</v>
      </c>
      <c r="Z366" s="115" t="n">
        <f aca="false">(K-(L0-Y366*Ldif-alph*Y366^0.5))/R0</f>
        <v>0.814599712063207</v>
      </c>
      <c r="AA366" s="113" t="n">
        <f aca="false">IF(Z366&lt;1,X$14*((1-r_1)-Y$14*(1-r_1^2)+Z$14*(1-r_1^3)),0)</f>
        <v>601532.168423301</v>
      </c>
      <c r="AB366" s="97" t="n">
        <f aca="false">AB365+AB$15</f>
        <v>0.00138440400362015</v>
      </c>
      <c r="AC366" s="115" t="n">
        <f aca="false">(Kopt-(L0-AB366*Ldif-alph*AB366^0.5))/R0</f>
        <v>0.814599712063207</v>
      </c>
      <c r="AD366" s="113" t="n">
        <f aca="false">IF(AC366&lt;1,X$14*((1-ropt)-Y$14*(1-ropt^2)+Z$14*(1-ropt^3)),0)</f>
        <v>601532.168423301</v>
      </c>
    </row>
    <row r="367" customFormat="false" ht="12.75" hidden="false" customHeight="false" outlineLevel="0" collapsed="false">
      <c r="J367" s="67"/>
      <c r="K367" s="67"/>
      <c r="L367" s="151"/>
      <c r="M367" s="151"/>
      <c r="N367" s="151"/>
      <c r="O367" s="69"/>
      <c r="P367" s="69"/>
      <c r="Q367" s="69"/>
      <c r="R367" s="69"/>
      <c r="S367" s="69"/>
      <c r="T367" s="69"/>
      <c r="U367" s="69"/>
      <c r="V367" s="69"/>
      <c r="W367" s="159"/>
      <c r="X367" s="102" t="n">
        <v>652</v>
      </c>
      <c r="Y367" s="124" t="n">
        <f aca="false">Y366+Y$16</f>
        <v>0.00138839364051819</v>
      </c>
      <c r="Z367" s="115" t="n">
        <f aca="false">(K-(L0-Y367*Ldif-alph*Y367^0.5))/R0</f>
        <v>0.814982389323571</v>
      </c>
      <c r="AA367" s="113" t="n">
        <f aca="false">IF(Z367&lt;1,X$14*((1-r_1)-Y$14*(1-r_1^2)+Z$14*(1-r_1^3)),0)</f>
        <v>599051.534557255</v>
      </c>
      <c r="AB367" s="97" t="n">
        <f aca="false">AB366+AB$15</f>
        <v>0.00138839364051819</v>
      </c>
      <c r="AC367" s="115" t="n">
        <f aca="false">(Kopt-(L0-AB367*Ldif-alph*AB367^0.5))/R0</f>
        <v>0.814982389323571</v>
      </c>
      <c r="AD367" s="113" t="n">
        <f aca="false">IF(AC367&lt;1,X$14*((1-ropt)-Y$14*(1-ropt^2)+Z$14*(1-ropt^3)),0)</f>
        <v>599051.534557255</v>
      </c>
    </row>
    <row r="368" customFormat="false" ht="12.75" hidden="false" customHeight="false" outlineLevel="0" collapsed="false">
      <c r="J368" s="67"/>
      <c r="K368" s="67"/>
      <c r="L368" s="151"/>
      <c r="M368" s="151"/>
      <c r="N368" s="151"/>
      <c r="O368" s="69"/>
      <c r="P368" s="69"/>
      <c r="Q368" s="69"/>
      <c r="R368" s="69"/>
      <c r="S368" s="69"/>
      <c r="T368" s="69"/>
      <c r="U368" s="69"/>
      <c r="V368" s="69"/>
      <c r="W368" s="159"/>
      <c r="X368" s="102" t="n">
        <v>651</v>
      </c>
      <c r="Y368" s="124" t="n">
        <f aca="false">Y367+Y$16</f>
        <v>0.00139238327741624</v>
      </c>
      <c r="Z368" s="115" t="n">
        <f aca="false">(K-(L0-Y368*Ldif-alph*Y368^0.5))/R0</f>
        <v>0.815364517155775</v>
      </c>
      <c r="AA368" s="113" t="n">
        <f aca="false">IF(Z368&lt;1,X$14*((1-r_1)-Y$14*(1-r_1^2)+Z$14*(1-r_1^3)),0)</f>
        <v>596579.576689603</v>
      </c>
      <c r="AB368" s="97" t="n">
        <f aca="false">AB367+AB$15</f>
        <v>0.00139238327741624</v>
      </c>
      <c r="AC368" s="115" t="n">
        <f aca="false">(Kopt-(L0-AB368*Ldif-alph*AB368^0.5))/R0</f>
        <v>0.815364517155775</v>
      </c>
      <c r="AD368" s="113" t="n">
        <f aca="false">IF(AC368&lt;1,X$14*((1-ropt)-Y$14*(1-ropt^2)+Z$14*(1-ropt^3)),0)</f>
        <v>596579.576689603</v>
      </c>
    </row>
    <row r="369" customFormat="false" ht="12.75" hidden="false" customHeight="false" outlineLevel="0" collapsed="false">
      <c r="J369" s="67"/>
      <c r="K369" s="67"/>
      <c r="L369" s="151"/>
      <c r="M369" s="151"/>
      <c r="N369" s="151"/>
      <c r="O369" s="69"/>
      <c r="P369" s="69"/>
      <c r="Q369" s="69"/>
      <c r="R369" s="69"/>
      <c r="S369" s="69"/>
      <c r="T369" s="69"/>
      <c r="U369" s="69"/>
      <c r="V369" s="69"/>
      <c r="W369" s="159"/>
      <c r="X369" s="102" t="n">
        <v>650</v>
      </c>
      <c r="Y369" s="124" t="n">
        <f aca="false">Y368+Y$16</f>
        <v>0.00139637291431428</v>
      </c>
      <c r="Z369" s="115" t="n">
        <f aca="false">(K-(L0-Y369*Ldif-alph*Y369^0.5))/R0</f>
        <v>0.815746097919577</v>
      </c>
      <c r="AA369" s="113" t="n">
        <f aca="false">IF(Z369&lt;1,X$14*((1-r_1)-Y$14*(1-r_1^2)+Z$14*(1-r_1^3)),0)</f>
        <v>594116.257557588</v>
      </c>
      <c r="AB369" s="97" t="n">
        <f aca="false">AB368+AB$15</f>
        <v>0.00139637291431428</v>
      </c>
      <c r="AC369" s="115" t="n">
        <f aca="false">(Kopt-(L0-AB369*Ldif-alph*AB369^0.5))/R0</f>
        <v>0.815746097919577</v>
      </c>
      <c r="AD369" s="113" t="n">
        <f aca="false">IF(AC369&lt;1,X$14*((1-ropt)-Y$14*(1-ropt^2)+Z$14*(1-ropt^3)),0)</f>
        <v>594116.257557588</v>
      </c>
    </row>
    <row r="370" customFormat="false" ht="12.75" hidden="false" customHeight="false" outlineLevel="0" collapsed="false">
      <c r="J370" s="67"/>
      <c r="K370" s="67"/>
      <c r="L370" s="151"/>
      <c r="M370" s="151"/>
      <c r="N370" s="151"/>
      <c r="O370" s="69"/>
      <c r="P370" s="69"/>
      <c r="Q370" s="69"/>
      <c r="R370" s="69"/>
      <c r="S370" s="69"/>
      <c r="T370" s="69"/>
      <c r="U370" s="69"/>
      <c r="V370" s="69"/>
      <c r="W370" s="159"/>
      <c r="X370" s="102" t="n">
        <v>649</v>
      </c>
      <c r="Y370" s="124" t="n">
        <f aca="false">Y369+Y$16</f>
        <v>0.00140036255121232</v>
      </c>
      <c r="Z370" s="115" t="n">
        <f aca="false">(K-(L0-Y370*Ldif-alph*Y370^0.5))/R0</f>
        <v>0.816127133957886</v>
      </c>
      <c r="AA370" s="113" t="n">
        <f aca="false">IF(Z370&lt;1,X$14*((1-r_1)-Y$14*(1-r_1^2)+Z$14*(1-r_1^3)),0)</f>
        <v>591661.540164473</v>
      </c>
      <c r="AB370" s="97" t="n">
        <f aca="false">AB369+AB$15</f>
        <v>0.00140036255121232</v>
      </c>
      <c r="AC370" s="115" t="n">
        <f aca="false">(Kopt-(L0-AB370*Ldif-alph*AB370^0.5))/R0</f>
        <v>0.816127133957886</v>
      </c>
      <c r="AD370" s="113" t="n">
        <f aca="false">IF(AC370&lt;1,X$14*((1-ropt)-Y$14*(1-ropt^2)+Z$14*(1-ropt^3)),0)</f>
        <v>591661.540164473</v>
      </c>
    </row>
    <row r="371" customFormat="false" ht="12.75" hidden="false" customHeight="false" outlineLevel="0" collapsed="false">
      <c r="J371" s="67"/>
      <c r="K371" s="67"/>
      <c r="L371" s="151"/>
      <c r="M371" s="151"/>
      <c r="N371" s="151"/>
      <c r="O371" s="69"/>
      <c r="P371" s="69"/>
      <c r="Q371" s="69"/>
      <c r="R371" s="69"/>
      <c r="S371" s="69"/>
      <c r="T371" s="69"/>
      <c r="U371" s="69"/>
      <c r="V371" s="69"/>
      <c r="W371" s="159"/>
      <c r="X371" s="102" t="n">
        <v>648</v>
      </c>
      <c r="Y371" s="124" t="n">
        <f aca="false">Y370+Y$16</f>
        <v>0.00140435218811036</v>
      </c>
      <c r="Z371" s="115" t="n">
        <f aca="false">(K-(L0-Y371*Ldif-alph*Y371^0.5))/R0</f>
        <v>0.816507627596937</v>
      </c>
      <c r="AA371" s="113" t="n">
        <f aca="false">IF(Z371&lt;1,X$14*((1-r_1)-Y$14*(1-r_1^2)+Z$14*(1-r_1^3)),0)</f>
        <v>589215.387776825</v>
      </c>
      <c r="AB371" s="97" t="n">
        <f aca="false">AB370+AB$15</f>
        <v>0.00140435218811036</v>
      </c>
      <c r="AC371" s="115" t="n">
        <f aca="false">(Kopt-(L0-AB371*Ldif-alph*AB371^0.5))/R0</f>
        <v>0.816507627596937</v>
      </c>
      <c r="AD371" s="113" t="n">
        <f aca="false">IF(AC371&lt;1,X$14*((1-ropt)-Y$14*(1-ropt^2)+Z$14*(1-ropt^3)),0)</f>
        <v>589215.387776825</v>
      </c>
    </row>
    <row r="372" customFormat="false" ht="12.75" hidden="false" customHeight="false" outlineLevel="0" collapsed="false">
      <c r="J372" s="67"/>
      <c r="K372" s="67"/>
      <c r="L372" s="151"/>
      <c r="M372" s="151"/>
      <c r="N372" s="151"/>
      <c r="O372" s="69"/>
      <c r="P372" s="69"/>
      <c r="Q372" s="69"/>
      <c r="R372" s="69"/>
      <c r="S372" s="69"/>
      <c r="T372" s="69"/>
      <c r="U372" s="69"/>
      <c r="V372" s="69"/>
      <c r="W372" s="159"/>
      <c r="X372" s="102" t="n">
        <v>647</v>
      </c>
      <c r="Y372" s="124" t="n">
        <f aca="false">Y371+Y$16</f>
        <v>0.0014083418250084</v>
      </c>
      <c r="Z372" s="115" t="n">
        <f aca="false">(K-(L0-Y372*Ldif-alph*Y372^0.5))/R0</f>
        <v>0.816887581146459</v>
      </c>
      <c r="AA372" s="113" t="n">
        <f aca="false">IF(Z372&lt;1,X$14*((1-r_1)-Y$14*(1-r_1^2)+Z$14*(1-r_1^3)),0)</f>
        <v>586777.763921905</v>
      </c>
      <c r="AB372" s="97" t="n">
        <f aca="false">AB371+AB$15</f>
        <v>0.0014083418250084</v>
      </c>
      <c r="AC372" s="115" t="n">
        <f aca="false">(Kopt-(L0-AB372*Ldif-alph*AB372^0.5))/R0</f>
        <v>0.816887581146459</v>
      </c>
      <c r="AD372" s="113" t="n">
        <f aca="false">IF(AC372&lt;1,X$14*((1-ropt)-Y$14*(1-ropt^2)+Z$14*(1-ropt^3)),0)</f>
        <v>586777.763921905</v>
      </c>
    </row>
    <row r="373" customFormat="false" ht="12.75" hidden="false" customHeight="false" outlineLevel="0" collapsed="false">
      <c r="J373" s="67"/>
      <c r="K373" s="67"/>
      <c r="L373" s="151"/>
      <c r="M373" s="151"/>
      <c r="N373" s="151"/>
      <c r="O373" s="69"/>
      <c r="P373" s="69"/>
      <c r="Q373" s="69"/>
      <c r="R373" s="69"/>
      <c r="S373" s="69"/>
      <c r="T373" s="69"/>
      <c r="U373" s="69"/>
      <c r="V373" s="69"/>
      <c r="W373" s="159"/>
      <c r="X373" s="102" t="n">
        <v>646</v>
      </c>
      <c r="Y373" s="124" t="n">
        <f aca="false">Y372+Y$16</f>
        <v>0.00141233146190644</v>
      </c>
      <c r="Z373" s="115" t="n">
        <f aca="false">(K-(L0-Y373*Ldif-alph*Y373^0.5))/R0</f>
        <v>0.817266996899828</v>
      </c>
      <c r="AA373" s="113" t="n">
        <f aca="false">IF(Z373&lt;1,X$14*((1-r_1)-Y$14*(1-r_1^2)+Z$14*(1-r_1^3)),0)</f>
        <v>584348.632385135</v>
      </c>
      <c r="AB373" s="97" t="n">
        <f aca="false">AB372+AB$15</f>
        <v>0.00141233146190644</v>
      </c>
      <c r="AC373" s="115" t="n">
        <f aca="false">(Kopt-(L0-AB373*Ldif-alph*AB373^0.5))/R0</f>
        <v>0.817266996899828</v>
      </c>
      <c r="AD373" s="113" t="n">
        <f aca="false">IF(AC373&lt;1,X$14*((1-ropt)-Y$14*(1-ropt^2)+Z$14*(1-ropt^3)),0)</f>
        <v>584348.632385135</v>
      </c>
    </row>
    <row r="374" customFormat="false" ht="12.75" hidden="false" customHeight="false" outlineLevel="0" collapsed="false">
      <c r="J374" s="67"/>
      <c r="K374" s="67"/>
      <c r="L374" s="151"/>
      <c r="M374" s="151"/>
      <c r="N374" s="151"/>
      <c r="O374" s="69"/>
      <c r="P374" s="69"/>
      <c r="Q374" s="69"/>
      <c r="R374" s="69"/>
      <c r="S374" s="69"/>
      <c r="T374" s="69"/>
      <c r="U374" s="69"/>
      <c r="V374" s="69"/>
      <c r="W374" s="159"/>
      <c r="X374" s="102" t="n">
        <v>645</v>
      </c>
      <c r="Y374" s="124" t="n">
        <f aca="false">Y373+Y$16</f>
        <v>0.00141632109880448</v>
      </c>
      <c r="Z374" s="115" t="n">
        <f aca="false">(K-(L0-Y374*Ldif-alph*Y374^0.5))/R0</f>
        <v>0.81764587713424</v>
      </c>
      <c r="AA374" s="113" t="n">
        <f aca="false">IF(Z374&lt;1,X$14*((1-r_1)-Y$14*(1-r_1^2)+Z$14*(1-r_1^3)),0)</f>
        <v>581927.957207464</v>
      </c>
      <c r="AB374" s="97" t="n">
        <f aca="false">AB373+AB$15</f>
        <v>0.00141632109880448</v>
      </c>
      <c r="AC374" s="115" t="n">
        <f aca="false">(Kopt-(L0-AB374*Ldif-alph*AB374^0.5))/R0</f>
        <v>0.81764587713424</v>
      </c>
      <c r="AD374" s="113" t="n">
        <f aca="false">IF(AC374&lt;1,X$14*((1-ropt)-Y$14*(1-ropt^2)+Z$14*(1-ropt^3)),0)</f>
        <v>581927.957207464</v>
      </c>
    </row>
    <row r="375" customFormat="false" ht="12.75" hidden="false" customHeight="false" outlineLevel="0" collapsed="false">
      <c r="J375" s="67"/>
      <c r="K375" s="67"/>
      <c r="L375" s="151"/>
      <c r="M375" s="151"/>
      <c r="N375" s="151"/>
      <c r="O375" s="69"/>
      <c r="P375" s="69"/>
      <c r="Q375" s="69"/>
      <c r="R375" s="69"/>
      <c r="S375" s="69"/>
      <c r="T375" s="69"/>
      <c r="U375" s="69"/>
      <c r="V375" s="69"/>
      <c r="W375" s="159"/>
      <c r="X375" s="102" t="n">
        <v>644</v>
      </c>
      <c r="Y375" s="124" t="n">
        <f aca="false">Y374+Y$16</f>
        <v>0.00142031073570252</v>
      </c>
      <c r="Z375" s="115" t="n">
        <f aca="false">(K-(L0-Y375*Ldif-alph*Y375^0.5))/R0</f>
        <v>0.818024224110864</v>
      </c>
      <c r="AA375" s="113" t="n">
        <f aca="false">IF(Z375&lt;1,X$14*((1-r_1)-Y$14*(1-r_1^2)+Z$14*(1-r_1^3)),0)</f>
        <v>579515.702682926</v>
      </c>
      <c r="AB375" s="97" t="n">
        <f aca="false">AB374+AB$15</f>
        <v>0.00142031073570252</v>
      </c>
      <c r="AC375" s="115" t="n">
        <f aca="false">(Kopt-(L0-AB375*Ldif-alph*AB375^0.5))/R0</f>
        <v>0.818024224110864</v>
      </c>
      <c r="AD375" s="113" t="n">
        <f aca="false">IF(AC375&lt;1,X$14*((1-ropt)-Y$14*(1-ropt^2)+Z$14*(1-ropt^3)),0)</f>
        <v>579515.702682926</v>
      </c>
    </row>
    <row r="376" customFormat="false" ht="12.75" hidden="false" customHeight="false" outlineLevel="0" collapsed="false">
      <c r="J376" s="67"/>
      <c r="K376" s="67"/>
      <c r="L376" s="151"/>
      <c r="M376" s="151"/>
      <c r="N376" s="151"/>
      <c r="O376" s="69"/>
      <c r="P376" s="69"/>
      <c r="Q376" s="69"/>
      <c r="R376" s="69"/>
      <c r="S376" s="69"/>
      <c r="T376" s="69"/>
      <c r="U376" s="69"/>
      <c r="V376" s="69"/>
      <c r="W376" s="159"/>
      <c r="X376" s="102" t="n">
        <v>643</v>
      </c>
      <c r="Y376" s="124" t="n">
        <f aca="false">Y375+Y$16</f>
        <v>0.00142430037260056</v>
      </c>
      <c r="Z376" s="115" t="n">
        <f aca="false">(K-(L0-Y376*Ldif-alph*Y376^0.5))/R0</f>
        <v>0.818402040075006</v>
      </c>
      <c r="AA376" s="113" t="n">
        <f aca="false">IF(Z376&lt;1,X$14*((1-r_1)-Y$14*(1-r_1^2)+Z$14*(1-r_1^3)),0)</f>
        <v>577111.833356099</v>
      </c>
      <c r="AB376" s="97" t="n">
        <f aca="false">AB375+AB$15</f>
        <v>0.00142430037260056</v>
      </c>
      <c r="AC376" s="115" t="n">
        <f aca="false">(Kopt-(L0-AB376*Ldif-alph*AB376^0.5))/R0</f>
        <v>0.818402040075006</v>
      </c>
      <c r="AD376" s="113" t="n">
        <f aca="false">IF(AC376&lt;1,X$14*((1-ropt)-Y$14*(1-ropt^2)+Z$14*(1-ropt^3)),0)</f>
        <v>577111.833356099</v>
      </c>
    </row>
    <row r="377" customFormat="false" ht="12.75" hidden="false" customHeight="false" outlineLevel="0" collapsed="false">
      <c r="J377" s="67"/>
      <c r="K377" s="67"/>
      <c r="L377" s="151"/>
      <c r="M377" s="151"/>
      <c r="N377" s="151"/>
      <c r="O377" s="69"/>
      <c r="P377" s="69"/>
      <c r="Q377" s="69"/>
      <c r="R377" s="69"/>
      <c r="S377" s="69"/>
      <c r="T377" s="69"/>
      <c r="U377" s="69"/>
      <c r="V377" s="69"/>
      <c r="W377" s="159"/>
      <c r="X377" s="102" t="n">
        <v>642</v>
      </c>
      <c r="Y377" s="124" t="n">
        <f aca="false">Y376+Y$16</f>
        <v>0.0014282900094986</v>
      </c>
      <c r="Z377" s="115" t="n">
        <f aca="false">(K-(L0-Y377*Ldif-alph*Y377^0.5))/R0</f>
        <v>0.818779327256247</v>
      </c>
      <c r="AA377" s="113" t="n">
        <f aca="false">IF(Z377&lt;1,X$14*((1-r_1)-Y$14*(1-r_1^2)+Z$14*(1-r_1^3)),0)</f>
        <v>574716.31401972</v>
      </c>
      <c r="AB377" s="97" t="n">
        <f aca="false">AB376+AB$15</f>
        <v>0.0014282900094986</v>
      </c>
      <c r="AC377" s="115" t="n">
        <f aca="false">(Kopt-(L0-AB377*Ldif-alph*AB377^0.5))/R0</f>
        <v>0.818779327256247</v>
      </c>
      <c r="AD377" s="113" t="n">
        <f aca="false">IF(AC377&lt;1,X$14*((1-ropt)-Y$14*(1-ropt^2)+Z$14*(1-ropt^3)),0)</f>
        <v>574716.31401972</v>
      </c>
    </row>
    <row r="378" customFormat="false" ht="12.75" hidden="false" customHeight="false" outlineLevel="0" collapsed="false">
      <c r="J378" s="67"/>
      <c r="K378" s="67"/>
      <c r="L378" s="151"/>
      <c r="M378" s="151"/>
      <c r="N378" s="151"/>
      <c r="O378" s="69"/>
      <c r="P378" s="69"/>
      <c r="Q378" s="69"/>
      <c r="R378" s="69"/>
      <c r="S378" s="69"/>
      <c r="T378" s="69"/>
      <c r="U378" s="69"/>
      <c r="V378" s="69"/>
      <c r="W378" s="159"/>
      <c r="X378" s="102" t="n">
        <v>641</v>
      </c>
      <c r="Y378" s="124" t="n">
        <f aca="false">Y377+Y$16</f>
        <v>0.00143227964639664</v>
      </c>
      <c r="Z378" s="115" t="n">
        <f aca="false">(K-(L0-Y378*Ldif-alph*Y378^0.5))/R0</f>
        <v>0.819156087868627</v>
      </c>
      <c r="AA378" s="113" t="n">
        <f aca="false">IF(Z378&lt;1,X$14*((1-r_1)-Y$14*(1-r_1^2)+Z$14*(1-r_1^3)),0)</f>
        <v>572329.10971215</v>
      </c>
      <c r="AB378" s="97" t="n">
        <f aca="false">AB377+AB$15</f>
        <v>0.00143227964639664</v>
      </c>
      <c r="AC378" s="115" t="n">
        <f aca="false">(Kopt-(L0-AB378*Ldif-alph*AB378^0.5))/R0</f>
        <v>0.819156087868627</v>
      </c>
      <c r="AD378" s="113" t="n">
        <f aca="false">IF(AC378&lt;1,X$14*((1-ropt)-Y$14*(1-ropt^2)+Z$14*(1-ropt^3)),0)</f>
        <v>572329.10971215</v>
      </c>
    </row>
    <row r="379" customFormat="false" ht="12.75" hidden="false" customHeight="false" outlineLevel="0" collapsed="false">
      <c r="J379" s="67"/>
      <c r="K379" s="67"/>
      <c r="L379" s="151"/>
      <c r="M379" s="151"/>
      <c r="N379" s="151"/>
      <c r="O379" s="69"/>
      <c r="P379" s="69"/>
      <c r="Q379" s="69"/>
      <c r="R379" s="69"/>
      <c r="S379" s="69"/>
      <c r="T379" s="69"/>
      <c r="U379" s="69"/>
      <c r="V379" s="69"/>
      <c r="W379" s="159"/>
      <c r="X379" s="102" t="n">
        <v>640</v>
      </c>
      <c r="Y379" s="124" t="n">
        <f aca="false">Y378+Y$16</f>
        <v>0.00143626928329468</v>
      </c>
      <c r="Z379" s="115" t="n">
        <f aca="false">(K-(L0-Y379*Ldif-alph*Y379^0.5))/R0</f>
        <v>0.819532324110756</v>
      </c>
      <c r="AA379" s="113" t="n">
        <f aca="false">IF(Z379&lt;1,X$14*((1-r_1)-Y$14*(1-r_1^2)+Z$14*(1-r_1^3)),0)</f>
        <v>569950.185715139</v>
      </c>
      <c r="AB379" s="97" t="n">
        <f aca="false">AB378+AB$15</f>
        <v>0.00143626928329468</v>
      </c>
      <c r="AC379" s="115" t="n">
        <f aca="false">(Kopt-(L0-AB379*Ldif-alph*AB379^0.5))/R0</f>
        <v>0.819532324110756</v>
      </c>
      <c r="AD379" s="113" t="n">
        <f aca="false">IF(AC379&lt;1,X$14*((1-ropt)-Y$14*(1-ropt^2)+Z$14*(1-ropt^3)),0)</f>
        <v>569950.185715139</v>
      </c>
    </row>
    <row r="380" customFormat="false" ht="12.75" hidden="false" customHeight="false" outlineLevel="0" collapsed="false">
      <c r="J380" s="67"/>
      <c r="K380" s="67"/>
      <c r="L380" s="151"/>
      <c r="M380" s="151"/>
      <c r="N380" s="151"/>
      <c r="O380" s="69"/>
      <c r="P380" s="69"/>
      <c r="Q380" s="69"/>
      <c r="R380" s="69"/>
      <c r="S380" s="69"/>
      <c r="T380" s="69"/>
      <c r="U380" s="69"/>
      <c r="V380" s="69"/>
      <c r="W380" s="159"/>
      <c r="X380" s="102" t="n">
        <v>639</v>
      </c>
      <c r="Y380" s="124" t="n">
        <f aca="false">Y379+Y$16</f>
        <v>0.00144025892019273</v>
      </c>
      <c r="Z380" s="115" t="n">
        <f aca="false">(K-(L0-Y380*Ldif-alph*Y380^0.5))/R0</f>
        <v>0.819908038166013</v>
      </c>
      <c r="AA380" s="113" t="n">
        <f aca="false">IF(Z380&lt;1,X$14*((1-r_1)-Y$14*(1-r_1^2)+Z$14*(1-r_1^3)),0)</f>
        <v>567579.507551251</v>
      </c>
      <c r="AB380" s="97" t="n">
        <f aca="false">AB379+AB$15</f>
        <v>0.00144025892019273</v>
      </c>
      <c r="AC380" s="115" t="n">
        <f aca="false">(Kopt-(L0-AB380*Ldif-alph*AB380^0.5))/R0</f>
        <v>0.819908038166013</v>
      </c>
      <c r="AD380" s="113" t="n">
        <f aca="false">IF(AC380&lt;1,X$14*((1-ropt)-Y$14*(1-ropt^2)+Z$14*(1-ropt^3)),0)</f>
        <v>567579.507551251</v>
      </c>
    </row>
    <row r="381" customFormat="false" ht="12.75" hidden="false" customHeight="false" outlineLevel="0" collapsed="false">
      <c r="J381" s="67"/>
      <c r="K381" s="67"/>
      <c r="L381" s="151"/>
      <c r="M381" s="151"/>
      <c r="N381" s="151"/>
      <c r="O381" s="69"/>
      <c r="P381" s="69"/>
      <c r="Q381" s="69"/>
      <c r="R381" s="69"/>
      <c r="S381" s="69"/>
      <c r="T381" s="69"/>
      <c r="U381" s="69"/>
      <c r="V381" s="69"/>
      <c r="W381" s="159"/>
      <c r="X381" s="102" t="n">
        <v>638</v>
      </c>
      <c r="Y381" s="124" t="n">
        <f aca="false">Y380+Y$16</f>
        <v>0.00144424855709077</v>
      </c>
      <c r="Z381" s="115" t="n">
        <f aca="false">(K-(L0-Y381*Ldif-alph*Y381^0.5))/R0</f>
        <v>0.820283232202641</v>
      </c>
      <c r="AA381" s="113" t="n">
        <f aca="false">IF(Z381&lt;1,X$14*((1-r_1)-Y$14*(1-r_1^2)+Z$14*(1-r_1^3)),0)</f>
        <v>565217.040981772</v>
      </c>
      <c r="AB381" s="97" t="n">
        <f aca="false">AB380+AB$15</f>
        <v>0.00144424855709077</v>
      </c>
      <c r="AC381" s="115" t="n">
        <f aca="false">(Kopt-(L0-AB381*Ldif-alph*AB381^0.5))/R0</f>
        <v>0.820283232202641</v>
      </c>
      <c r="AD381" s="113" t="n">
        <f aca="false">IF(AC381&lt;1,X$14*((1-ropt)-Y$14*(1-ropt^2)+Z$14*(1-ropt^3)),0)</f>
        <v>565217.040981772</v>
      </c>
    </row>
    <row r="382" customFormat="false" ht="12.75" hidden="false" customHeight="false" outlineLevel="0" collapsed="false">
      <c r="J382" s="67"/>
      <c r="K382" s="67"/>
      <c r="L382" s="151"/>
      <c r="M382" s="151"/>
      <c r="N382" s="151"/>
      <c r="O382" s="69"/>
      <c r="P382" s="69"/>
      <c r="Q382" s="69"/>
      <c r="R382" s="69"/>
      <c r="S382" s="69"/>
      <c r="T382" s="69"/>
      <c r="U382" s="69"/>
      <c r="V382" s="69"/>
      <c r="W382" s="159"/>
      <c r="X382" s="102" t="n">
        <v>637</v>
      </c>
      <c r="Y382" s="124" t="n">
        <f aca="false">Y381+Y$16</f>
        <v>0.00144823819398881</v>
      </c>
      <c r="Z382" s="115" t="n">
        <f aca="false">(K-(L0-Y382*Ldif-alph*Y382^0.5))/R0</f>
        <v>0.820657908373941</v>
      </c>
      <c r="AA382" s="113" t="n">
        <f aca="false">IF(Z382&lt;1,X$14*((1-r_1)-Y$14*(1-r_1^2)+Z$14*(1-r_1^3)),0)</f>
        <v>562862.752004174</v>
      </c>
      <c r="AB382" s="97" t="n">
        <f aca="false">AB381+AB$15</f>
        <v>0.00144823819398881</v>
      </c>
      <c r="AC382" s="115" t="n">
        <f aca="false">(Kopt-(L0-AB382*Ldif-alph*AB382^0.5))/R0</f>
        <v>0.820657908373941</v>
      </c>
      <c r="AD382" s="113" t="n">
        <f aca="false">IF(AC382&lt;1,X$14*((1-ropt)-Y$14*(1-ropt^2)+Z$14*(1-ropt^3)),0)</f>
        <v>562862.752004174</v>
      </c>
    </row>
    <row r="383" customFormat="false" ht="12.75" hidden="false" customHeight="false" outlineLevel="0" collapsed="false">
      <c r="J383" s="67"/>
      <c r="K383" s="67"/>
      <c r="L383" s="151"/>
      <c r="M383" s="151"/>
      <c r="N383" s="151"/>
      <c r="O383" s="69"/>
      <c r="P383" s="69"/>
      <c r="Q383" s="69"/>
      <c r="R383" s="69"/>
      <c r="S383" s="69"/>
      <c r="T383" s="69"/>
      <c r="U383" s="69"/>
      <c r="V383" s="69"/>
      <c r="W383" s="159"/>
      <c r="X383" s="102" t="n">
        <v>636</v>
      </c>
      <c r="Y383" s="124" t="n">
        <f aca="false">Y382+Y$16</f>
        <v>0.00145222783088685</v>
      </c>
      <c r="Z383" s="115" t="n">
        <f aca="false">(K-(L0-Y383*Ldif-alph*Y383^0.5))/R0</f>
        <v>0.821032068818377</v>
      </c>
      <c r="AA383" s="113" t="n">
        <f aca="false">IF(Z383&lt;1,X$14*((1-r_1)-Y$14*(1-r_1^2)+Z$14*(1-r_1^3)),0)</f>
        <v>560516.606850026</v>
      </c>
      <c r="AB383" s="97" t="n">
        <f aca="false">AB382+AB$15</f>
        <v>0.00145222783088685</v>
      </c>
      <c r="AC383" s="115" t="n">
        <f aca="false">(Kopt-(L0-AB383*Ldif-alph*AB383^0.5))/R0</f>
        <v>0.821032068818377</v>
      </c>
      <c r="AD383" s="113" t="n">
        <f aca="false">IF(AC383&lt;1,X$14*((1-ropt)-Y$14*(1-ropt^2)+Z$14*(1-ropt^3)),0)</f>
        <v>560516.606850026</v>
      </c>
    </row>
    <row r="384" customFormat="false" ht="12.75" hidden="false" customHeight="false" outlineLevel="0" collapsed="false">
      <c r="J384" s="67"/>
      <c r="K384" s="67"/>
      <c r="L384" s="151"/>
      <c r="M384" s="151"/>
      <c r="N384" s="151"/>
      <c r="O384" s="69"/>
      <c r="P384" s="69"/>
      <c r="Q384" s="69"/>
      <c r="R384" s="69"/>
      <c r="S384" s="69"/>
      <c r="T384" s="69"/>
      <c r="U384" s="69"/>
      <c r="V384" s="69"/>
      <c r="W384" s="159"/>
      <c r="X384" s="102" t="n">
        <v>635</v>
      </c>
      <c r="Y384" s="124" t="n">
        <f aca="false">Y383+Y$16</f>
        <v>0.00145621746778489</v>
      </c>
      <c r="Z384" s="115" t="n">
        <f aca="false">(K-(L0-Y384*Ldif-alph*Y384^0.5))/R0</f>
        <v>0.821405715659749</v>
      </c>
      <c r="AA384" s="113" t="n">
        <f aca="false">IF(Z384&lt;1,X$14*((1-r_1)-Y$14*(1-r_1^2)+Z$14*(1-r_1^3)),0)</f>
        <v>558178.571982612</v>
      </c>
      <c r="AB384" s="97" t="n">
        <f aca="false">AB383+AB$15</f>
        <v>0.00145621746778489</v>
      </c>
      <c r="AC384" s="115" t="n">
        <f aca="false">(Kopt-(L0-AB384*Ldif-alph*AB384^0.5))/R0</f>
        <v>0.821405715659749</v>
      </c>
      <c r="AD384" s="113" t="n">
        <f aca="false">IF(AC384&lt;1,X$14*((1-ropt)-Y$14*(1-ropt^2)+Z$14*(1-ropt^3)),0)</f>
        <v>558178.571982612</v>
      </c>
    </row>
    <row r="385" customFormat="false" ht="12.75" hidden="false" customHeight="false" outlineLevel="0" collapsed="false">
      <c r="J385" s="67"/>
      <c r="K385" s="67"/>
      <c r="L385" s="151"/>
      <c r="M385" s="151"/>
      <c r="N385" s="151"/>
      <c r="O385" s="69"/>
      <c r="P385" s="69"/>
      <c r="Q385" s="69"/>
      <c r="R385" s="69"/>
      <c r="S385" s="69"/>
      <c r="T385" s="69"/>
      <c r="U385" s="69"/>
      <c r="V385" s="69"/>
      <c r="W385" s="159"/>
      <c r="X385" s="102" t="n">
        <v>634</v>
      </c>
      <c r="Y385" s="124" t="n">
        <f aca="false">Y384+Y$16</f>
        <v>0.00146020710468293</v>
      </c>
      <c r="Z385" s="115" t="n">
        <f aca="false">(K-(L0-Y385*Ldif-alph*Y385^0.5))/R0</f>
        <v>0.821778851007311</v>
      </c>
      <c r="AA385" s="113" t="n">
        <f aca="false">IF(Z385&lt;1,X$14*((1-r_1)-Y$14*(1-r_1^2)+Z$14*(1-r_1^3)),0)</f>
        <v>555848.614094801</v>
      </c>
      <c r="AB385" s="97" t="n">
        <f aca="false">AB384+AB$15</f>
        <v>0.00146020710468293</v>
      </c>
      <c r="AC385" s="115" t="n">
        <f aca="false">(Kopt-(L0-AB385*Ldif-alph*AB385^0.5))/R0</f>
        <v>0.821778851007311</v>
      </c>
      <c r="AD385" s="113" t="n">
        <f aca="false">IF(AC385&lt;1,X$14*((1-ropt)-Y$14*(1-ropt^2)+Z$14*(1-ropt^3)),0)</f>
        <v>555848.614094801</v>
      </c>
    </row>
    <row r="386" customFormat="false" ht="12.75" hidden="false" customHeight="false" outlineLevel="0" collapsed="false">
      <c r="J386" s="67"/>
      <c r="K386" s="67"/>
      <c r="L386" s="151"/>
      <c r="M386" s="151"/>
      <c r="N386" s="151"/>
      <c r="O386" s="69"/>
      <c r="P386" s="69"/>
      <c r="Q386" s="69"/>
      <c r="R386" s="69"/>
      <c r="S386" s="69"/>
      <c r="T386" s="69"/>
      <c r="U386" s="69"/>
      <c r="V386" s="69"/>
      <c r="W386" s="159"/>
      <c r="X386" s="102" t="n">
        <v>633</v>
      </c>
      <c r="Y386" s="124" t="n">
        <f aca="false">Y385+Y$16</f>
        <v>0.00146419674158097</v>
      </c>
      <c r="Z386" s="115" t="n">
        <f aca="false">(K-(L0-Y386*Ldif-alph*Y386^0.5))/R0</f>
        <v>0.822151476955927</v>
      </c>
      <c r="AA386" s="113" t="n">
        <f aca="false">IF(Z386&lt;1,X$14*((1-r_1)-Y$14*(1-r_1^2)+Z$14*(1-r_1^3)),0)</f>
        <v>553526.70010677</v>
      </c>
      <c r="AB386" s="97" t="n">
        <f aca="false">AB385+AB$15</f>
        <v>0.00146419674158097</v>
      </c>
      <c r="AC386" s="115" t="n">
        <f aca="false">(Kopt-(L0-AB386*Ldif-alph*AB386^0.5))/R0</f>
        <v>0.822151476955927</v>
      </c>
      <c r="AD386" s="113" t="n">
        <f aca="false">IF(AC386&lt;1,X$14*((1-ropt)-Y$14*(1-ropt^2)+Z$14*(1-ropt^3)),0)</f>
        <v>553526.70010677</v>
      </c>
    </row>
    <row r="387" customFormat="false" ht="12.75" hidden="false" customHeight="false" outlineLevel="0" collapsed="false">
      <c r="J387" s="67"/>
      <c r="K387" s="67"/>
      <c r="L387" s="151"/>
      <c r="M387" s="151"/>
      <c r="N387" s="151"/>
      <c r="O387" s="69"/>
      <c r="P387" s="69"/>
      <c r="Q387" s="69"/>
      <c r="R387" s="69"/>
      <c r="S387" s="69"/>
      <c r="T387" s="69"/>
      <c r="U387" s="69"/>
      <c r="V387" s="69"/>
      <c r="W387" s="159"/>
      <c r="X387" s="102" t="n">
        <v>632</v>
      </c>
      <c r="Y387" s="124" t="n">
        <f aca="false">Y386+Y$16</f>
        <v>0.00146818637847901</v>
      </c>
      <c r="Z387" s="115" t="n">
        <f aca="false">(K-(L0-Y387*Ldif-alph*Y387^0.5))/R0</f>
        <v>0.822523595586192</v>
      </c>
      <c r="AA387" s="113" t="n">
        <f aca="false">IF(Z387&lt;1,X$14*((1-r_1)-Y$14*(1-r_1^2)+Z$14*(1-r_1^3)),0)</f>
        <v>551212.797163934</v>
      </c>
      <c r="AB387" s="97" t="n">
        <f aca="false">AB386+AB$15</f>
        <v>0.00146818637847901</v>
      </c>
      <c r="AC387" s="115" t="n">
        <f aca="false">(Kopt-(L0-AB387*Ldif-alph*AB387^0.5))/R0</f>
        <v>0.822523595586192</v>
      </c>
      <c r="AD387" s="113" t="n">
        <f aca="false">IF(AC387&lt;1,X$14*((1-ropt)-Y$14*(1-ropt^2)+Z$14*(1-ropt^3)),0)</f>
        <v>551212.797163934</v>
      </c>
    </row>
    <row r="388" customFormat="false" ht="12.75" hidden="false" customHeight="false" outlineLevel="0" collapsed="false">
      <c r="J388" s="67"/>
      <c r="K388" s="67"/>
      <c r="L388" s="151"/>
      <c r="M388" s="151"/>
      <c r="N388" s="151"/>
      <c r="O388" s="69"/>
      <c r="P388" s="69"/>
      <c r="Q388" s="69"/>
      <c r="R388" s="69"/>
      <c r="S388" s="69"/>
      <c r="T388" s="69"/>
      <c r="U388" s="69"/>
      <c r="V388" s="69"/>
      <c r="W388" s="159"/>
      <c r="X388" s="102" t="n">
        <v>631</v>
      </c>
      <c r="Y388" s="124" t="n">
        <f aca="false">Y387+Y$16</f>
        <v>0.00147217601537705</v>
      </c>
      <c r="Z388" s="115" t="n">
        <f aca="false">(K-(L0-Y388*Ldif-alph*Y388^0.5))/R0</f>
        <v>0.822895208964584</v>
      </c>
      <c r="AA388" s="113" t="n">
        <f aca="false">IF(Z388&lt;1,X$14*((1-r_1)-Y$14*(1-r_1^2)+Z$14*(1-r_1^3)),0)</f>
        <v>548906.872634724</v>
      </c>
      <c r="AB388" s="97" t="n">
        <f aca="false">AB387+AB$15</f>
        <v>0.00147217601537705</v>
      </c>
      <c r="AC388" s="115" t="n">
        <f aca="false">(Kopt-(L0-AB388*Ldif-alph*AB388^0.5))/R0</f>
        <v>0.822895208964584</v>
      </c>
      <c r="AD388" s="113" t="n">
        <f aca="false">IF(AC388&lt;1,X$14*((1-ropt)-Y$14*(1-ropt^2)+Z$14*(1-ropt^3)),0)</f>
        <v>548906.872634724</v>
      </c>
    </row>
    <row r="389" customFormat="false" ht="12.75" hidden="false" customHeight="false" outlineLevel="0" collapsed="false">
      <c r="J389" s="67"/>
      <c r="K389" s="67"/>
      <c r="L389" s="151"/>
      <c r="M389" s="151"/>
      <c r="N389" s="151"/>
      <c r="O389" s="69"/>
      <c r="P389" s="69"/>
      <c r="Q389" s="69"/>
      <c r="R389" s="69"/>
      <c r="S389" s="69"/>
      <c r="T389" s="69"/>
      <c r="U389" s="69"/>
      <c r="V389" s="69"/>
      <c r="W389" s="159"/>
      <c r="X389" s="102" t="n">
        <v>630</v>
      </c>
      <c r="Y389" s="124" t="n">
        <f aca="false">Y388+Y$16</f>
        <v>0.00147616565227509</v>
      </c>
      <c r="Z389" s="115" t="n">
        <f aca="false">(K-(L0-Y389*Ldif-alph*Y389^0.5))/R0</f>
        <v>0.823266319143586</v>
      </c>
      <c r="AA389" s="113" t="n">
        <f aca="false">IF(Z389&lt;1,X$14*((1-r_1)-Y$14*(1-r_1^2)+Z$14*(1-r_1^3)),0)</f>
        <v>546608.894108496</v>
      </c>
      <c r="AB389" s="97" t="n">
        <f aca="false">AB388+AB$15</f>
        <v>0.00147616565227509</v>
      </c>
      <c r="AC389" s="115" t="n">
        <f aca="false">(Kopt-(L0-AB389*Ldif-alph*AB389^0.5))/R0</f>
        <v>0.823266319143586</v>
      </c>
      <c r="AD389" s="113" t="n">
        <f aca="false">IF(AC389&lt;1,X$14*((1-ropt)-Y$14*(1-ropt^2)+Z$14*(1-ropt^3)),0)</f>
        <v>546608.894108496</v>
      </c>
    </row>
    <row r="390" customFormat="false" ht="12.75" hidden="false" customHeight="false" outlineLevel="0" collapsed="false">
      <c r="J390" s="67"/>
      <c r="K390" s="67"/>
      <c r="L390" s="151"/>
      <c r="M390" s="151"/>
      <c r="N390" s="151"/>
      <c r="O390" s="69"/>
      <c r="P390" s="69"/>
      <c r="Q390" s="69"/>
      <c r="R390" s="69"/>
      <c r="S390" s="69"/>
      <c r="T390" s="69"/>
      <c r="U390" s="69"/>
      <c r="V390" s="69"/>
      <c r="W390" s="159"/>
      <c r="X390" s="102" t="n">
        <v>629</v>
      </c>
      <c r="Y390" s="124" t="n">
        <f aca="false">Y389+Y$16</f>
        <v>0.00148015528917313</v>
      </c>
      <c r="Z390" s="115" t="n">
        <f aca="false">(K-(L0-Y390*Ldif-alph*Y390^0.5))/R0</f>
        <v>0.823636928161822</v>
      </c>
      <c r="AA390" s="113" t="n">
        <f aca="false">IF(Z390&lt;1,X$14*((1-r_1)-Y$14*(1-r_1^2)+Z$14*(1-r_1^3)),0)</f>
        <v>544318.82939347</v>
      </c>
      <c r="AB390" s="97" t="n">
        <f aca="false">AB389+AB$15</f>
        <v>0.00148015528917313</v>
      </c>
      <c r="AC390" s="115" t="n">
        <f aca="false">(Kopt-(L0-AB390*Ldif-alph*AB390^0.5))/R0</f>
        <v>0.823636928161822</v>
      </c>
      <c r="AD390" s="113" t="n">
        <f aca="false">IF(AC390&lt;1,X$14*((1-ropt)-Y$14*(1-ropt^2)+Z$14*(1-ropt^3)),0)</f>
        <v>544318.82939347</v>
      </c>
    </row>
    <row r="391" customFormat="false" ht="12.75" hidden="false" customHeight="false" outlineLevel="0" collapsed="false">
      <c r="J391" s="67"/>
      <c r="K391" s="67"/>
      <c r="L391" s="151"/>
      <c r="M391" s="151"/>
      <c r="N391" s="151"/>
      <c r="O391" s="69"/>
      <c r="P391" s="69"/>
      <c r="Q391" s="69"/>
      <c r="R391" s="69"/>
      <c r="S391" s="69"/>
      <c r="T391" s="69"/>
      <c r="U391" s="69"/>
      <c r="V391" s="69"/>
      <c r="W391" s="159"/>
      <c r="X391" s="102" t="n">
        <v>628</v>
      </c>
      <c r="Y391" s="124" t="n">
        <f aca="false">Y390+Y$16</f>
        <v>0.00148414492607117</v>
      </c>
      <c r="Z391" s="115" t="n">
        <f aca="false">(K-(L0-Y391*Ldif-alph*Y391^0.5))/R0</f>
        <v>0.824007038044188</v>
      </c>
      <c r="AA391" s="113" t="n">
        <f aca="false">IF(Z391&lt;1,X$14*((1-r_1)-Y$14*(1-r_1^2)+Z$14*(1-r_1^3)),0)</f>
        <v>542036.646514647</v>
      </c>
      <c r="AB391" s="97" t="n">
        <f aca="false">AB390+AB$15</f>
        <v>0.00148414492607117</v>
      </c>
      <c r="AC391" s="115" t="n">
        <f aca="false">(Kopt-(L0-AB391*Ldif-alph*AB391^0.5))/R0</f>
        <v>0.824007038044188</v>
      </c>
      <c r="AD391" s="113" t="n">
        <f aca="false">IF(AC391&lt;1,X$14*((1-ropt)-Y$14*(1-ropt^2)+Z$14*(1-ropt^3)),0)</f>
        <v>542036.646514647</v>
      </c>
    </row>
    <row r="392" customFormat="false" ht="12.75" hidden="false" customHeight="false" outlineLevel="0" collapsed="false">
      <c r="J392" s="67"/>
      <c r="K392" s="67"/>
      <c r="L392" s="151"/>
      <c r="M392" s="151"/>
      <c r="N392" s="151"/>
      <c r="O392" s="69"/>
      <c r="P392" s="69"/>
      <c r="Q392" s="69"/>
      <c r="R392" s="69"/>
      <c r="S392" s="69"/>
      <c r="T392" s="69"/>
      <c r="U392" s="69"/>
      <c r="V392" s="69"/>
      <c r="W392" s="159"/>
      <c r="X392" s="102" t="n">
        <v>627</v>
      </c>
      <c r="Y392" s="124" t="n">
        <f aca="false">Y391+Y$16</f>
        <v>0.00148813456296922</v>
      </c>
      <c r="Z392" s="115" t="n">
        <f aca="false">(K-(L0-Y392*Ldif-alph*Y392^0.5))/R0</f>
        <v>0.824376650801984</v>
      </c>
      <c r="AA392" s="113" t="n">
        <f aca="false">IF(Z392&lt;1,X$14*((1-r_1)-Y$14*(1-r_1^2)+Z$14*(1-r_1^3)),0)</f>
        <v>539762.313711742</v>
      </c>
      <c r="AB392" s="97" t="n">
        <f aca="false">AB391+AB$15</f>
        <v>0.00148813456296922</v>
      </c>
      <c r="AC392" s="115" t="n">
        <f aca="false">(Kopt-(L0-AB392*Ldif-alph*AB392^0.5))/R0</f>
        <v>0.824376650801984</v>
      </c>
      <c r="AD392" s="113" t="n">
        <f aca="false">IF(AC392&lt;1,X$14*((1-ropt)-Y$14*(1-ropt^2)+Z$14*(1-ropt^3)),0)</f>
        <v>539762.313711742</v>
      </c>
    </row>
    <row r="393" customFormat="false" ht="12.75" hidden="false" customHeight="false" outlineLevel="0" collapsed="false">
      <c r="J393" s="67"/>
      <c r="K393" s="67"/>
      <c r="L393" s="151"/>
      <c r="M393" s="151"/>
      <c r="N393" s="151"/>
      <c r="O393" s="69"/>
      <c r="P393" s="69"/>
      <c r="Q393" s="69"/>
      <c r="R393" s="69"/>
      <c r="S393" s="69"/>
      <c r="T393" s="69"/>
      <c r="U393" s="69"/>
      <c r="V393" s="69"/>
      <c r="W393" s="159"/>
      <c r="X393" s="102" t="n">
        <v>626</v>
      </c>
      <c r="Y393" s="124" t="n">
        <f aca="false">Y392+Y$16</f>
        <v>0.00149212419986726</v>
      </c>
      <c r="Z393" s="115" t="n">
        <f aca="false">(K-(L0-Y393*Ldif-alph*Y393^0.5))/R0</f>
        <v>0.824745768433031</v>
      </c>
      <c r="AA393" s="113" t="n">
        <f aca="false">IF(Z393&lt;1,X$14*((1-r_1)-Y$14*(1-r_1^2)+Z$14*(1-r_1^3)),0)</f>
        <v>537495.799437252</v>
      </c>
      <c r="AB393" s="97" t="n">
        <f aca="false">AB392+AB$15</f>
        <v>0.00149212419986726</v>
      </c>
      <c r="AC393" s="115" t="n">
        <f aca="false">(Kopt-(L0-AB393*Ldif-alph*AB393^0.5))/R0</f>
        <v>0.824745768433031</v>
      </c>
      <c r="AD393" s="113" t="n">
        <f aca="false">IF(AC393&lt;1,X$14*((1-ropt)-Y$14*(1-ropt^2)+Z$14*(1-ropt^3)),0)</f>
        <v>537495.799437252</v>
      </c>
    </row>
    <row r="394" customFormat="false" ht="12.75" hidden="false" customHeight="false" outlineLevel="0" collapsed="false">
      <c r="J394" s="67"/>
      <c r="K394" s="67"/>
      <c r="L394" s="151"/>
      <c r="M394" s="151"/>
      <c r="N394" s="151"/>
      <c r="O394" s="69"/>
      <c r="P394" s="69"/>
      <c r="Q394" s="69"/>
      <c r="R394" s="69"/>
      <c r="S394" s="69"/>
      <c r="T394" s="69"/>
      <c r="U394" s="69"/>
      <c r="V394" s="69"/>
      <c r="W394" s="159"/>
      <c r="X394" s="102" t="n">
        <v>625</v>
      </c>
      <c r="Y394" s="124" t="n">
        <f aca="false">Y393+Y$16</f>
        <v>0.0014961138367653</v>
      </c>
      <c r="Z394" s="115" t="n">
        <f aca="false">(K-(L0-Y394*Ldif-alph*Y394^0.5))/R0</f>
        <v>0.825114392921817</v>
      </c>
      <c r="AA394" s="113" t="n">
        <f aca="false">IF(Z394&lt;1,X$14*((1-r_1)-Y$14*(1-r_1^2)+Z$14*(1-r_1^3)),0)</f>
        <v>535237.07235433</v>
      </c>
      <c r="AB394" s="97" t="n">
        <f aca="false">AB393+AB$15</f>
        <v>0.0014961138367653</v>
      </c>
      <c r="AC394" s="115" t="n">
        <f aca="false">(Kopt-(L0-AB394*Ldif-alph*AB394^0.5))/R0</f>
        <v>0.825114392921817</v>
      </c>
      <c r="AD394" s="113" t="n">
        <f aca="false">IF(AC394&lt;1,X$14*((1-ropt)-Y$14*(1-ropt^2)+Z$14*(1-ropt^3)),0)</f>
        <v>535237.07235433</v>
      </c>
    </row>
    <row r="395" customFormat="false" ht="12.75" hidden="false" customHeight="false" outlineLevel="0" collapsed="false">
      <c r="J395" s="67"/>
      <c r="K395" s="67"/>
      <c r="L395" s="151"/>
      <c r="M395" s="151"/>
      <c r="N395" s="151"/>
      <c r="O395" s="69"/>
      <c r="P395" s="69"/>
      <c r="Q395" s="69"/>
      <c r="R395" s="69"/>
      <c r="S395" s="69"/>
      <c r="T395" s="69"/>
      <c r="U395" s="69"/>
      <c r="V395" s="69"/>
      <c r="W395" s="159"/>
      <c r="X395" s="102" t="n">
        <v>624</v>
      </c>
      <c r="Y395" s="124" t="n">
        <f aca="false">Y394+Y$16</f>
        <v>0.00150010347366334</v>
      </c>
      <c r="Z395" s="115" t="n">
        <f aca="false">(K-(L0-Y395*Ldif-alph*Y395^0.5))/R0</f>
        <v>0.825482526239596</v>
      </c>
      <c r="AA395" s="113" t="n">
        <f aca="false">IF(Z395&lt;1,X$14*((1-r_1)-Y$14*(1-r_1^2)+Z$14*(1-r_1^3)),0)</f>
        <v>532986.101334983</v>
      </c>
      <c r="AB395" s="97" t="n">
        <f aca="false">AB394+AB$15</f>
        <v>0.00150010347366334</v>
      </c>
      <c r="AC395" s="115" t="n">
        <f aca="false">(Kopt-(L0-AB395*Ldif-alph*AB395^0.5))/R0</f>
        <v>0.825482526239596</v>
      </c>
      <c r="AD395" s="113" t="n">
        <f aca="false">IF(AC395&lt;1,X$14*((1-ropt)-Y$14*(1-ropt^2)+Z$14*(1-ropt^3)),0)</f>
        <v>532986.101334983</v>
      </c>
    </row>
    <row r="396" customFormat="false" ht="12.75" hidden="false" customHeight="false" outlineLevel="0" collapsed="false">
      <c r="J396" s="67"/>
      <c r="K396" s="67"/>
      <c r="L396" s="151"/>
      <c r="M396" s="151"/>
      <c r="N396" s="151"/>
      <c r="O396" s="69"/>
      <c r="P396" s="69"/>
      <c r="Q396" s="69"/>
      <c r="R396" s="69"/>
      <c r="S396" s="69"/>
      <c r="T396" s="69"/>
      <c r="U396" s="69"/>
      <c r="V396" s="69"/>
      <c r="W396" s="159"/>
      <c r="X396" s="102" t="n">
        <v>623</v>
      </c>
      <c r="Y396" s="124" t="n">
        <f aca="false">Y395+Y$16</f>
        <v>0.00150409311056138</v>
      </c>
      <c r="Z396" s="115" t="n">
        <f aca="false">(K-(L0-Y396*Ldif-alph*Y396^0.5))/R0</f>
        <v>0.825850170344528</v>
      </c>
      <c r="AA396" s="113" t="n">
        <f aca="false">IF(Z396&lt;1,X$14*((1-r_1)-Y$14*(1-r_1^2)+Z$14*(1-r_1^3)),0)</f>
        <v>530742.855458025</v>
      </c>
      <c r="AB396" s="97" t="n">
        <f aca="false">AB395+AB$15</f>
        <v>0.00150409311056138</v>
      </c>
      <c r="AC396" s="115" t="n">
        <f aca="false">(Kopt-(L0-AB396*Ldif-alph*AB396^0.5))/R0</f>
        <v>0.825850170344528</v>
      </c>
      <c r="AD396" s="113" t="n">
        <f aca="false">IF(AC396&lt;1,X$14*((1-ropt)-Y$14*(1-ropt^2)+Z$14*(1-ropt^3)),0)</f>
        <v>530742.855458025</v>
      </c>
    </row>
    <row r="397" customFormat="false" ht="12.75" hidden="false" customHeight="false" outlineLevel="0" collapsed="false">
      <c r="J397" s="67"/>
      <c r="K397" s="67"/>
      <c r="L397" s="151"/>
      <c r="M397" s="151"/>
      <c r="N397" s="151"/>
      <c r="O397" s="69"/>
      <c r="P397" s="69"/>
      <c r="Q397" s="69"/>
      <c r="R397" s="69"/>
      <c r="S397" s="69"/>
      <c r="T397" s="69"/>
      <c r="U397" s="69"/>
      <c r="V397" s="69"/>
      <c r="W397" s="159"/>
      <c r="X397" s="102" t="n">
        <v>622</v>
      </c>
      <c r="Y397" s="124" t="n">
        <f aca="false">Y396+Y$16</f>
        <v>0.00150808274745942</v>
      </c>
      <c r="Z397" s="115" t="n">
        <f aca="false">(K-(L0-Y397*Ldif-alph*Y397^0.5))/R0</f>
        <v>0.826217327181801</v>
      </c>
      <c r="AA397" s="113" t="n">
        <f aca="false">IF(Z397&lt;1,X$14*((1-r_1)-Y$14*(1-r_1^2)+Z$14*(1-r_1^3)),0)</f>
        <v>528507.304007153</v>
      </c>
      <c r="AB397" s="97" t="n">
        <f aca="false">AB396+AB$15</f>
        <v>0.00150808274745942</v>
      </c>
      <c r="AC397" s="115" t="n">
        <f aca="false">(Kopt-(L0-AB397*Ldif-alph*AB397^0.5))/R0</f>
        <v>0.826217327181801</v>
      </c>
      <c r="AD397" s="113" t="n">
        <f aca="false">IF(AC397&lt;1,X$14*((1-ropt)-Y$14*(1-ropt^2)+Z$14*(1-ropt^3)),0)</f>
        <v>528507.304007153</v>
      </c>
    </row>
    <row r="398" customFormat="false" ht="12.75" hidden="false" customHeight="false" outlineLevel="0" collapsed="false">
      <c r="J398" s="67"/>
      <c r="K398" s="67"/>
      <c r="L398" s="151"/>
      <c r="M398" s="151"/>
      <c r="N398" s="151"/>
      <c r="O398" s="69"/>
      <c r="P398" s="69"/>
      <c r="Q398" s="69"/>
      <c r="R398" s="69"/>
      <c r="S398" s="69"/>
      <c r="T398" s="69"/>
      <c r="U398" s="69"/>
      <c r="V398" s="69"/>
      <c r="W398" s="159"/>
      <c r="X398" s="102" t="n">
        <v>621</v>
      </c>
      <c r="Y398" s="124" t="n">
        <f aca="false">Y397+Y$16</f>
        <v>0.00151207238435746</v>
      </c>
      <c r="Z398" s="115" t="n">
        <f aca="false">(K-(L0-Y398*Ldif-alph*Y398^0.5))/R0</f>
        <v>0.82658399868374</v>
      </c>
      <c r="AA398" s="113" t="n">
        <f aca="false">IF(Z398&lt;1,X$14*((1-r_1)-Y$14*(1-r_1^2)+Z$14*(1-r_1^3)),0)</f>
        <v>526279.416469119</v>
      </c>
      <c r="AB398" s="97" t="n">
        <f aca="false">AB397+AB$15</f>
        <v>0.00151207238435746</v>
      </c>
      <c r="AC398" s="115" t="n">
        <f aca="false">(Kopt-(L0-AB398*Ldif-alph*AB398^0.5))/R0</f>
        <v>0.82658399868374</v>
      </c>
      <c r="AD398" s="113" t="n">
        <f aca="false">IF(AC398&lt;1,X$14*((1-ropt)-Y$14*(1-ropt^2)+Z$14*(1-ropt^3)),0)</f>
        <v>526279.416469119</v>
      </c>
    </row>
    <row r="399" customFormat="false" ht="12.75" hidden="false" customHeight="false" outlineLevel="0" collapsed="false">
      <c r="J399" s="67"/>
      <c r="K399" s="67"/>
      <c r="L399" s="151"/>
      <c r="M399" s="151"/>
      <c r="N399" s="151"/>
      <c r="O399" s="69"/>
      <c r="P399" s="69"/>
      <c r="Q399" s="69"/>
      <c r="R399" s="69"/>
      <c r="S399" s="69"/>
      <c r="T399" s="69"/>
      <c r="U399" s="69"/>
      <c r="V399" s="69"/>
      <c r="W399" s="159"/>
      <c r="X399" s="102" t="n">
        <v>620</v>
      </c>
      <c r="Y399" s="124" t="n">
        <f aca="false">Y398+Y$16</f>
        <v>0.0015160620212555</v>
      </c>
      <c r="Z399" s="115" t="n">
        <f aca="false">(K-(L0-Y399*Ldif-alph*Y399^0.5))/R0</f>
        <v>0.826950186769939</v>
      </c>
      <c r="AA399" s="113" t="n">
        <f aca="false">IF(Z399&lt;1,X$14*((1-r_1)-Y$14*(1-r_1^2)+Z$14*(1-r_1^3)),0)</f>
        <v>524059.162531781</v>
      </c>
      <c r="AB399" s="97" t="n">
        <f aca="false">AB398+AB$15</f>
        <v>0.0015160620212555</v>
      </c>
      <c r="AC399" s="115" t="n">
        <f aca="false">(Kopt-(L0-AB399*Ldif-alph*AB399^0.5))/R0</f>
        <v>0.826950186769939</v>
      </c>
      <c r="AD399" s="113" t="n">
        <f aca="false">IF(AC399&lt;1,X$14*((1-ropt)-Y$14*(1-ropt^2)+Z$14*(1-ropt^3)),0)</f>
        <v>524059.162531781</v>
      </c>
    </row>
    <row r="400" customFormat="false" ht="12.75" hidden="false" customHeight="false" outlineLevel="0" collapsed="false">
      <c r="J400" s="67"/>
      <c r="K400" s="67"/>
      <c r="L400" s="151"/>
      <c r="M400" s="151"/>
      <c r="N400" s="151"/>
      <c r="O400" s="69"/>
      <c r="P400" s="69"/>
      <c r="Q400" s="69"/>
      <c r="R400" s="69"/>
      <c r="S400" s="69"/>
      <c r="T400" s="69"/>
      <c r="U400" s="69"/>
      <c r="V400" s="69"/>
      <c r="W400" s="159"/>
      <c r="X400" s="102" t="n">
        <v>619</v>
      </c>
      <c r="Y400" s="124" t="n">
        <f aca="false">Y399+Y$16</f>
        <v>0.00152005165815354</v>
      </c>
      <c r="Z400" s="115" t="n">
        <f aca="false">(K-(L0-Y400*Ldif-alph*Y400^0.5))/R0</f>
        <v>0.827315893347365</v>
      </c>
      <c r="AA400" s="113" t="n">
        <f aca="false">IF(Z400&lt;1,X$14*((1-r_1)-Y$14*(1-r_1^2)+Z$14*(1-r_1^3)),0)</f>
        <v>521846.512082329</v>
      </c>
      <c r="AB400" s="97" t="n">
        <f aca="false">AB399+AB$15</f>
        <v>0.00152005165815354</v>
      </c>
      <c r="AC400" s="115" t="n">
        <f aca="false">(Kopt-(L0-AB400*Ldif-alph*AB400^0.5))/R0</f>
        <v>0.827315893347365</v>
      </c>
      <c r="AD400" s="113" t="n">
        <f aca="false">IF(AC400&lt;1,X$14*((1-ropt)-Y$14*(1-ropt^2)+Z$14*(1-ropt^3)),0)</f>
        <v>521846.512082329</v>
      </c>
    </row>
    <row r="401" customFormat="false" ht="12.75" hidden="false" customHeight="false" outlineLevel="0" collapsed="false">
      <c r="J401" s="67"/>
      <c r="K401" s="67"/>
      <c r="L401" s="151"/>
      <c r="M401" s="151"/>
      <c r="N401" s="151"/>
      <c r="O401" s="69"/>
      <c r="P401" s="69"/>
      <c r="Q401" s="69"/>
      <c r="R401" s="69"/>
      <c r="S401" s="69"/>
      <c r="T401" s="69"/>
      <c r="U401" s="69"/>
      <c r="V401" s="69"/>
      <c r="W401" s="159"/>
      <c r="X401" s="102" t="n">
        <v>618</v>
      </c>
      <c r="Y401" s="124" t="n">
        <f aca="false">Y400+Y$16</f>
        <v>0.00152404129505158</v>
      </c>
      <c r="Z401" s="115" t="n">
        <f aca="false">(K-(L0-Y401*Ldif-alph*Y401^0.5))/R0</f>
        <v>0.827681120310484</v>
      </c>
      <c r="AA401" s="113" t="n">
        <f aca="false">IF(Z401&lt;1,X$14*((1-r_1)-Y$14*(1-r_1^2)+Z$14*(1-r_1^3)),0)</f>
        <v>519641.435205374</v>
      </c>
      <c r="AB401" s="97" t="n">
        <f aca="false">AB400+AB$15</f>
        <v>0.00152404129505158</v>
      </c>
      <c r="AC401" s="115" t="n">
        <f aca="false">(Kopt-(L0-AB401*Ldif-alph*AB401^0.5))/R0</f>
        <v>0.827681120310484</v>
      </c>
      <c r="AD401" s="113" t="n">
        <f aca="false">IF(AC401&lt;1,X$14*((1-ropt)-Y$14*(1-ropt^2)+Z$14*(1-ropt^3)),0)</f>
        <v>519641.435205374</v>
      </c>
    </row>
    <row r="402" customFormat="false" ht="12.75" hidden="false" customHeight="false" outlineLevel="0" collapsed="false">
      <c r="J402" s="67"/>
      <c r="K402" s="67"/>
      <c r="L402" s="151"/>
      <c r="M402" s="151"/>
      <c r="N402" s="151"/>
      <c r="O402" s="69"/>
      <c r="P402" s="69"/>
      <c r="Q402" s="69"/>
      <c r="R402" s="69"/>
      <c r="S402" s="69"/>
      <c r="T402" s="69"/>
      <c r="U402" s="69"/>
      <c r="V402" s="69"/>
      <c r="W402" s="159"/>
      <c r="X402" s="102" t="n">
        <v>617</v>
      </c>
      <c r="Y402" s="124" t="n">
        <f aca="false">Y401+Y$16</f>
        <v>0.00152803093194962</v>
      </c>
      <c r="Z402" s="115" t="n">
        <f aca="false">(K-(L0-Y402*Ldif-alph*Y402^0.5))/R0</f>
        <v>0.828045869541367</v>
      </c>
      <c r="AA402" s="113" t="n">
        <f aca="false">IF(Z402&lt;1,X$14*((1-r_1)-Y$14*(1-r_1^2)+Z$14*(1-r_1^3)),0)</f>
        <v>517443.902181231</v>
      </c>
      <c r="AB402" s="97" t="n">
        <f aca="false">AB401+AB$15</f>
        <v>0.00152803093194962</v>
      </c>
      <c r="AC402" s="115" t="n">
        <f aca="false">(Kopt-(L0-AB402*Ldif-alph*AB402^0.5))/R0</f>
        <v>0.828045869541367</v>
      </c>
      <c r="AD402" s="113" t="n">
        <f aca="false">IF(AC402&lt;1,X$14*((1-ropt)-Y$14*(1-ropt^2)+Z$14*(1-ropt^3)),0)</f>
        <v>517443.902181231</v>
      </c>
    </row>
    <row r="403" customFormat="false" ht="12.75" hidden="false" customHeight="false" outlineLevel="0" collapsed="false">
      <c r="J403" s="67"/>
      <c r="K403" s="67"/>
      <c r="L403" s="151"/>
      <c r="M403" s="151"/>
      <c r="N403" s="151"/>
      <c r="O403" s="69"/>
      <c r="P403" s="69"/>
      <c r="Q403" s="69"/>
      <c r="R403" s="69"/>
      <c r="S403" s="69"/>
      <c r="T403" s="69"/>
      <c r="U403" s="69"/>
      <c r="V403" s="69"/>
      <c r="W403" s="159"/>
      <c r="X403" s="102" t="n">
        <v>616</v>
      </c>
      <c r="Y403" s="124" t="n">
        <f aca="false">Y402+Y$16</f>
        <v>0.00153202056884766</v>
      </c>
      <c r="Z403" s="115" t="n">
        <f aca="false">(K-(L0-Y403*Ldif-alph*Y403^0.5))/R0</f>
        <v>0.828410142909819</v>
      </c>
      <c r="AA403" s="113" t="n">
        <f aca="false">IF(Z403&lt;1,X$14*((1-r_1)-Y$14*(1-r_1^2)+Z$14*(1-r_1^3)),0)</f>
        <v>515253.883484006</v>
      </c>
      <c r="AB403" s="97" t="n">
        <f aca="false">AB402+AB$15</f>
        <v>0.00153202056884766</v>
      </c>
      <c r="AC403" s="115" t="n">
        <f aca="false">(Kopt-(L0-AB403*Ldif-alph*AB403^0.5))/R0</f>
        <v>0.828410142909819</v>
      </c>
      <c r="AD403" s="113" t="n">
        <f aca="false">IF(AC403&lt;1,X$14*((1-ropt)-Y$14*(1-ropt^2)+Z$14*(1-ropt^3)),0)</f>
        <v>515253.883484006</v>
      </c>
    </row>
    <row r="404" customFormat="false" ht="12.75" hidden="false" customHeight="false" outlineLevel="0" collapsed="false">
      <c r="J404" s="67"/>
      <c r="K404" s="67"/>
      <c r="L404" s="151"/>
      <c r="M404" s="151"/>
      <c r="N404" s="151"/>
      <c r="O404" s="69"/>
      <c r="P404" s="69"/>
      <c r="Q404" s="69"/>
      <c r="R404" s="69"/>
      <c r="S404" s="69"/>
      <c r="T404" s="69"/>
      <c r="U404" s="69"/>
      <c r="V404" s="69"/>
      <c r="W404" s="159"/>
      <c r="X404" s="102" t="n">
        <v>615</v>
      </c>
      <c r="Y404" s="124" t="n">
        <f aca="false">Y403+Y$16</f>
        <v>0.00153601020574571</v>
      </c>
      <c r="Z404" s="115" t="n">
        <f aca="false">(K-(L0-Y404*Ldif-alph*Y404^0.5))/R0</f>
        <v>0.828773942273461</v>
      </c>
      <c r="AA404" s="113" t="n">
        <f aca="false">IF(Z404&lt;1,X$14*((1-r_1)-Y$14*(1-r_1^2)+Z$14*(1-r_1^3)),0)</f>
        <v>513071.349780008</v>
      </c>
      <c r="AB404" s="97" t="n">
        <f aca="false">AB403+AB$15</f>
        <v>0.00153601020574571</v>
      </c>
      <c r="AC404" s="115" t="n">
        <f aca="false">(Kopt-(L0-AB404*Ldif-alph*AB404^0.5))/R0</f>
        <v>0.828773942273461</v>
      </c>
      <c r="AD404" s="113" t="n">
        <f aca="false">IF(AC404&lt;1,X$14*((1-ropt)-Y$14*(1-ropt^2)+Z$14*(1-ropt^3)),0)</f>
        <v>513071.349780008</v>
      </c>
    </row>
    <row r="405" customFormat="false" ht="12.75" hidden="false" customHeight="false" outlineLevel="0" collapsed="false">
      <c r="J405" s="67"/>
      <c r="K405" s="67"/>
      <c r="L405" s="151"/>
      <c r="M405" s="151"/>
      <c r="N405" s="151"/>
      <c r="O405" s="69"/>
      <c r="P405" s="69"/>
      <c r="Q405" s="69"/>
      <c r="R405" s="69"/>
      <c r="S405" s="69"/>
      <c r="T405" s="69"/>
      <c r="U405" s="69"/>
      <c r="V405" s="69"/>
      <c r="W405" s="159"/>
      <c r="X405" s="102" t="n">
        <v>614</v>
      </c>
      <c r="Y405" s="124" t="n">
        <f aca="false">Y404+Y$16</f>
        <v>0.00153999984264375</v>
      </c>
      <c r="Z405" s="115" t="n">
        <f aca="false">(K-(L0-Y405*Ldif-alph*Y405^0.5))/R0</f>
        <v>0.829137269477884</v>
      </c>
      <c r="AA405" s="113" t="n">
        <f aca="false">IF(Z405&lt;1,X$14*((1-r_1)-Y$14*(1-r_1^2)+Z$14*(1-r_1^3)),0)</f>
        <v>510896.271925784</v>
      </c>
      <c r="AB405" s="97" t="n">
        <f aca="false">AB404+AB$15</f>
        <v>0.00153999984264375</v>
      </c>
      <c r="AC405" s="115" t="n">
        <f aca="false">(Kopt-(L0-AB405*Ldif-alph*AB405^0.5))/R0</f>
        <v>0.829137269477884</v>
      </c>
      <c r="AD405" s="113" t="n">
        <f aca="false">IF(AC405&lt;1,X$14*((1-ropt)-Y$14*(1-ropt^2)+Z$14*(1-ropt^3)),0)</f>
        <v>510896.271925784</v>
      </c>
    </row>
    <row r="406" customFormat="false" ht="12.75" hidden="false" customHeight="false" outlineLevel="0" collapsed="false">
      <c r="J406" s="67"/>
      <c r="K406" s="67"/>
      <c r="L406" s="151"/>
      <c r="M406" s="151"/>
      <c r="N406" s="151"/>
      <c r="O406" s="69"/>
      <c r="P406" s="69"/>
      <c r="Q406" s="69"/>
      <c r="R406" s="69"/>
      <c r="S406" s="69"/>
      <c r="T406" s="69"/>
      <c r="U406" s="69"/>
      <c r="V406" s="69"/>
      <c r="W406" s="159"/>
      <c r="X406" s="102" t="n">
        <v>613</v>
      </c>
      <c r="Y406" s="124" t="n">
        <f aca="false">Y405+Y$16</f>
        <v>0.00154398947954179</v>
      </c>
      <c r="Z406" s="115" t="n">
        <f aca="false">(K-(L0-Y406*Ldif-alph*Y406^0.5))/R0</f>
        <v>0.829500126356708</v>
      </c>
      <c r="AA406" s="113" t="n">
        <f aca="false">IF(Z406&lt;1,X$14*((1-r_1)-Y$14*(1-r_1^2)+Z$14*(1-r_1^3)),0)</f>
        <v>508728.620966626</v>
      </c>
      <c r="AB406" s="97" t="n">
        <f aca="false">AB405+AB$15</f>
        <v>0.00154398947954179</v>
      </c>
      <c r="AC406" s="115" t="n">
        <f aca="false">(Kopt-(L0-AB406*Ldif-alph*AB406^0.5))/R0</f>
        <v>0.829500126356708</v>
      </c>
      <c r="AD406" s="113" t="n">
        <f aca="false">IF(AC406&lt;1,X$14*((1-ropt)-Y$14*(1-ropt^2)+Z$14*(1-ropt^3)),0)</f>
        <v>508728.620966626</v>
      </c>
    </row>
    <row r="407" customFormat="false" ht="12.75" hidden="false" customHeight="false" outlineLevel="0" collapsed="false">
      <c r="J407" s="67"/>
      <c r="K407" s="67"/>
      <c r="L407" s="151"/>
      <c r="M407" s="151"/>
      <c r="N407" s="151"/>
      <c r="O407" s="69"/>
      <c r="P407" s="69"/>
      <c r="Q407" s="69"/>
      <c r="R407" s="69"/>
      <c r="S407" s="69"/>
      <c r="T407" s="69"/>
      <c r="U407" s="69"/>
      <c r="V407" s="69"/>
      <c r="W407" s="159"/>
      <c r="X407" s="102" t="n">
        <v>612</v>
      </c>
      <c r="Y407" s="124" t="n">
        <f aca="false">Y406+Y$16</f>
        <v>0.00154797911643983</v>
      </c>
      <c r="Z407" s="115" t="n">
        <f aca="false">(K-(L0-Y407*Ldif-alph*Y407^0.5))/R0</f>
        <v>0.829862514731736</v>
      </c>
      <c r="AA407" s="113" t="n">
        <f aca="false">IF(Z407&lt;1,X$14*((1-r_1)-Y$14*(1-r_1^2)+Z$14*(1-r_1^3)),0)</f>
        <v>506568.368134654</v>
      </c>
      <c r="AB407" s="97" t="n">
        <f aca="false">AB406+AB$15</f>
        <v>0.00154797911643983</v>
      </c>
      <c r="AC407" s="115" t="n">
        <f aca="false">(Kopt-(L0-AB407*Ldif-alph*AB407^0.5))/R0</f>
        <v>0.829862514731736</v>
      </c>
      <c r="AD407" s="113" t="n">
        <f aca="false">IF(AC407&lt;1,X$14*((1-ropt)-Y$14*(1-ropt^2)+Z$14*(1-ropt^3)),0)</f>
        <v>506568.368134654</v>
      </c>
    </row>
    <row r="408" customFormat="false" ht="12.75" hidden="false" customHeight="false" outlineLevel="0" collapsed="false">
      <c r="J408" s="67"/>
      <c r="K408" s="67"/>
      <c r="L408" s="151"/>
      <c r="M408" s="151"/>
      <c r="N408" s="151"/>
      <c r="O408" s="69"/>
      <c r="P408" s="69"/>
      <c r="Q408" s="69"/>
      <c r="R408" s="69"/>
      <c r="S408" s="69"/>
      <c r="T408" s="69"/>
      <c r="U408" s="69"/>
      <c r="V408" s="69"/>
      <c r="W408" s="159"/>
      <c r="X408" s="102" t="n">
        <v>611</v>
      </c>
      <c r="Y408" s="124" t="n">
        <f aca="false">Y407+Y$16</f>
        <v>0.00155196875333787</v>
      </c>
      <c r="Z408" s="115" t="n">
        <f aca="false">(K-(L0-Y408*Ldif-alph*Y408^0.5))/R0</f>
        <v>0.830224436413025</v>
      </c>
      <c r="AA408" s="113" t="n">
        <f aca="false">IF(Z408&lt;1,X$14*((1-r_1)-Y$14*(1-r_1^2)+Z$14*(1-r_1^3)),0)</f>
        <v>504415.484847315</v>
      </c>
      <c r="AB408" s="97" t="n">
        <f aca="false">AB407+AB$15</f>
        <v>0.00155196875333787</v>
      </c>
      <c r="AC408" s="115" t="n">
        <f aca="false">(Kopt-(L0-AB408*Ldif-alph*AB408^0.5))/R0</f>
        <v>0.830224436413025</v>
      </c>
      <c r="AD408" s="113" t="n">
        <f aca="false">IF(AC408&lt;1,X$14*((1-ropt)-Y$14*(1-ropt^2)+Z$14*(1-ropt^3)),0)</f>
        <v>504415.484847315</v>
      </c>
    </row>
    <row r="409" customFormat="false" ht="12.75" hidden="false" customHeight="false" outlineLevel="0" collapsed="false">
      <c r="J409" s="67"/>
      <c r="K409" s="67"/>
      <c r="L409" s="151"/>
      <c r="M409" s="151"/>
      <c r="N409" s="151"/>
      <c r="O409" s="69"/>
      <c r="P409" s="69"/>
      <c r="Q409" s="69"/>
      <c r="R409" s="69"/>
      <c r="S409" s="69"/>
      <c r="T409" s="69"/>
      <c r="U409" s="69"/>
      <c r="V409" s="69"/>
      <c r="W409" s="159"/>
      <c r="X409" s="102" t="n">
        <v>610</v>
      </c>
      <c r="Y409" s="124" t="n">
        <f aca="false">Y408+Y$16</f>
        <v>0.00155595839023591</v>
      </c>
      <c r="Z409" s="115" t="n">
        <f aca="false">(K-(L0-Y409*Ldif-alph*Y409^0.5))/R0</f>
        <v>0.830585893199016</v>
      </c>
      <c r="AA409" s="113" t="n">
        <f aca="false">IF(Z409&lt;1,X$14*((1-r_1)-Y$14*(1-r_1^2)+Z$14*(1-r_1^3)),0)</f>
        <v>502269.942705566</v>
      </c>
      <c r="AB409" s="97" t="n">
        <f aca="false">AB408+AB$15</f>
        <v>0.00155595839023591</v>
      </c>
      <c r="AC409" s="115" t="n">
        <f aca="false">(Kopt-(L0-AB409*Ldif-alph*AB409^0.5))/R0</f>
        <v>0.830585893199016</v>
      </c>
      <c r="AD409" s="113" t="n">
        <f aca="false">IF(AC409&lt;1,X$14*((1-ropt)-Y$14*(1-ropt^2)+Z$14*(1-ropt^3)),0)</f>
        <v>502269.942705566</v>
      </c>
    </row>
    <row r="410" customFormat="false" ht="12.75" hidden="false" customHeight="false" outlineLevel="0" collapsed="false">
      <c r="J410" s="67"/>
      <c r="K410" s="67"/>
      <c r="L410" s="151"/>
      <c r="M410" s="151"/>
      <c r="N410" s="151"/>
      <c r="O410" s="69"/>
      <c r="P410" s="69"/>
      <c r="Q410" s="69"/>
      <c r="R410" s="69"/>
      <c r="S410" s="69"/>
      <c r="T410" s="69"/>
      <c r="U410" s="69"/>
      <c r="V410" s="69"/>
      <c r="W410" s="159"/>
      <c r="X410" s="102" t="n">
        <v>609</v>
      </c>
      <c r="Y410" s="124" t="n">
        <f aca="false">Y409+Y$16</f>
        <v>0.00155994802713395</v>
      </c>
      <c r="Z410" s="115" t="n">
        <f aca="false">(K-(L0-Y410*Ldif-alph*Y410^0.5))/R0</f>
        <v>0.830946886876627</v>
      </c>
      <c r="AA410" s="113" t="n">
        <f aca="false">IF(Z410&lt;1,X$14*((1-r_1)-Y$14*(1-r_1^2)+Z$14*(1-r_1^3)),0)</f>
        <v>500131.713492319</v>
      </c>
      <c r="AB410" s="97" t="n">
        <f aca="false">AB409+AB$15</f>
        <v>0.00155994802713395</v>
      </c>
      <c r="AC410" s="115" t="n">
        <f aca="false">(Kopt-(L0-AB410*Ldif-alph*AB410^0.5))/R0</f>
        <v>0.830946886876627</v>
      </c>
      <c r="AD410" s="113" t="n">
        <f aca="false">IF(AC410&lt;1,X$14*((1-ropt)-Y$14*(1-ropt^2)+Z$14*(1-ropt^3)),0)</f>
        <v>500131.713492319</v>
      </c>
    </row>
    <row r="411" customFormat="false" ht="12.75" hidden="false" customHeight="false" outlineLevel="0" collapsed="false">
      <c r="J411" s="67"/>
      <c r="K411" s="67"/>
      <c r="L411" s="151"/>
      <c r="M411" s="151"/>
      <c r="N411" s="151"/>
      <c r="O411" s="69"/>
      <c r="P411" s="69"/>
      <c r="Q411" s="69"/>
      <c r="R411" s="69"/>
      <c r="S411" s="69"/>
      <c r="T411" s="69"/>
      <c r="U411" s="69"/>
      <c r="V411" s="69"/>
      <c r="W411" s="159"/>
      <c r="X411" s="102" t="n">
        <v>608</v>
      </c>
      <c r="Y411" s="124" t="n">
        <f aca="false">Y410+Y$16</f>
        <v>0.00156393766403199</v>
      </c>
      <c r="Z411" s="115" t="n">
        <f aca="false">(K-(L0-Y411*Ldif-alph*Y411^0.5))/R0</f>
        <v>0.831307419221355</v>
      </c>
      <c r="AA411" s="113" t="n">
        <f aca="false">IF(Z411&lt;1,X$14*((1-r_1)-Y$14*(1-r_1^2)+Z$14*(1-r_1^3)),0)</f>
        <v>498000.769170791</v>
      </c>
      <c r="AB411" s="97" t="n">
        <f aca="false">AB410+AB$15</f>
        <v>0.00156393766403199</v>
      </c>
      <c r="AC411" s="115" t="n">
        <f aca="false">(Kopt-(L0-AB411*Ldif-alph*AB411^0.5))/R0</f>
        <v>0.831307419221355</v>
      </c>
      <c r="AD411" s="113" t="n">
        <f aca="false">IF(AC411&lt;1,X$14*((1-ropt)-Y$14*(1-ropt^2)+Z$14*(1-ropt^3)),0)</f>
        <v>498000.769170791</v>
      </c>
    </row>
    <row r="412" customFormat="false" ht="12.75" hidden="false" customHeight="false" outlineLevel="0" collapsed="false">
      <c r="J412" s="67"/>
      <c r="K412" s="67"/>
      <c r="L412" s="151"/>
      <c r="M412" s="151"/>
      <c r="N412" s="151"/>
      <c r="O412" s="69"/>
      <c r="P412" s="69"/>
      <c r="Q412" s="69"/>
      <c r="R412" s="69"/>
      <c r="S412" s="69"/>
      <c r="T412" s="69"/>
      <c r="U412" s="69"/>
      <c r="V412" s="69"/>
      <c r="W412" s="159"/>
      <c r="X412" s="102" t="n">
        <v>607</v>
      </c>
      <c r="Y412" s="124" t="n">
        <f aca="false">Y411+Y$16</f>
        <v>0.00156792730093003</v>
      </c>
      <c r="Z412" s="115" t="n">
        <f aca="false">(K-(L0-Y412*Ldif-alph*Y412^0.5))/R0</f>
        <v>0.831667491997384</v>
      </c>
      <c r="AA412" s="113" t="n">
        <f aca="false">IF(Z412&lt;1,X$14*((1-r_1)-Y$14*(1-r_1^2)+Z$14*(1-r_1^3)),0)</f>
        <v>495877.081882888</v>
      </c>
      <c r="AB412" s="97" t="n">
        <f aca="false">AB411+AB$15</f>
        <v>0.00156792730093003</v>
      </c>
      <c r="AC412" s="115" t="n">
        <f aca="false">(Kopt-(L0-AB412*Ldif-alph*AB412^0.5))/R0</f>
        <v>0.831667491997384</v>
      </c>
      <c r="AD412" s="113" t="n">
        <f aca="false">IF(AC412&lt;1,X$14*((1-ropt)-Y$14*(1-ropt^2)+Z$14*(1-ropt^3)),0)</f>
        <v>495877.081882888</v>
      </c>
    </row>
    <row r="413" customFormat="false" ht="12.75" hidden="false" customHeight="false" outlineLevel="0" collapsed="false">
      <c r="J413" s="67"/>
      <c r="K413" s="67"/>
      <c r="L413" s="151"/>
      <c r="M413" s="151"/>
      <c r="N413" s="151"/>
      <c r="O413" s="69"/>
      <c r="P413" s="69"/>
      <c r="Q413" s="69"/>
      <c r="R413" s="69"/>
      <c r="S413" s="69"/>
      <c r="T413" s="69"/>
      <c r="U413" s="69"/>
      <c r="V413" s="69"/>
      <c r="W413" s="159"/>
      <c r="X413" s="102" t="n">
        <v>606</v>
      </c>
      <c r="Y413" s="124" t="n">
        <f aca="false">Y412+Y$16</f>
        <v>0.00157191693782807</v>
      </c>
      <c r="Z413" s="115" t="n">
        <f aca="false">(K-(L0-Y413*Ldif-alph*Y413^0.5))/R0</f>
        <v>0.832027106957683</v>
      </c>
      <c r="AA413" s="113" t="n">
        <f aca="false">IF(Z413&lt;1,X$14*((1-r_1)-Y$14*(1-r_1^2)+Z$14*(1-r_1^3)),0)</f>
        <v>493760.623947602</v>
      </c>
      <c r="AB413" s="97" t="n">
        <f aca="false">AB412+AB$15</f>
        <v>0.00157191693782807</v>
      </c>
      <c r="AC413" s="115" t="n">
        <f aca="false">(Kopt-(L0-AB413*Ldif-alph*AB413^0.5))/R0</f>
        <v>0.832027106957683</v>
      </c>
      <c r="AD413" s="113" t="n">
        <f aca="false">IF(AC413&lt;1,X$14*((1-ropt)-Y$14*(1-ropt^2)+Z$14*(1-ropt^3)),0)</f>
        <v>493760.623947602</v>
      </c>
    </row>
    <row r="414" customFormat="false" ht="12.75" hidden="false" customHeight="false" outlineLevel="0" collapsed="false">
      <c r="J414" s="67"/>
      <c r="K414" s="67"/>
      <c r="L414" s="151"/>
      <c r="M414" s="151"/>
      <c r="N414" s="151"/>
      <c r="O414" s="69"/>
      <c r="P414" s="69"/>
      <c r="Q414" s="69"/>
      <c r="R414" s="69"/>
      <c r="S414" s="69"/>
      <c r="T414" s="69"/>
      <c r="U414" s="69"/>
      <c r="V414" s="69"/>
      <c r="W414" s="159"/>
      <c r="X414" s="102" t="n">
        <v>605</v>
      </c>
      <c r="Y414" s="124" t="n">
        <f aca="false">Y413+Y$16</f>
        <v>0.00157590657472611</v>
      </c>
      <c r="Z414" s="115" t="n">
        <f aca="false">(K-(L0-Y414*Ldif-alph*Y414^0.5))/R0</f>
        <v>0.8323862658441</v>
      </c>
      <c r="AA414" s="113" t="n">
        <f aca="false">IF(Z414&lt;1,X$14*((1-r_1)-Y$14*(1-r_1^2)+Z$14*(1-r_1^3)),0)</f>
        <v>491651.367859481</v>
      </c>
      <c r="AB414" s="97" t="n">
        <f aca="false">AB413+AB$15</f>
        <v>0.00157590657472611</v>
      </c>
      <c r="AC414" s="115" t="n">
        <f aca="false">(Kopt-(L0-AB414*Ldif-alph*AB414^0.5))/R0</f>
        <v>0.8323862658441</v>
      </c>
      <c r="AD414" s="113" t="n">
        <f aca="false">IF(AC414&lt;1,X$14*((1-ropt)-Y$14*(1-ropt^2)+Z$14*(1-ropt^3)),0)</f>
        <v>491651.367859481</v>
      </c>
    </row>
    <row r="415" customFormat="false" ht="12.75" hidden="false" customHeight="false" outlineLevel="0" collapsed="false">
      <c r="J415" s="67"/>
      <c r="K415" s="67"/>
      <c r="L415" s="151"/>
      <c r="M415" s="151"/>
      <c r="N415" s="151"/>
      <c r="O415" s="69"/>
      <c r="P415" s="69"/>
      <c r="Q415" s="69"/>
      <c r="R415" s="69"/>
      <c r="S415" s="69"/>
      <c r="T415" s="69"/>
      <c r="U415" s="69"/>
      <c r="V415" s="69"/>
      <c r="W415" s="159"/>
      <c r="X415" s="102" t="n">
        <v>604</v>
      </c>
      <c r="Y415" s="124" t="n">
        <f aca="false">Y414+Y$16</f>
        <v>0.00157989621162416</v>
      </c>
      <c r="Z415" s="115" t="n">
        <f aca="false">(K-(L0-Y415*Ldif-alph*Y415^0.5))/R0</f>
        <v>0.832744970387474</v>
      </c>
      <c r="AA415" s="113" t="n">
        <f aca="false">IF(Z415&lt;1,X$14*((1-r_1)-Y$14*(1-r_1^2)+Z$14*(1-r_1^3)),0)</f>
        <v>489549.286287025</v>
      </c>
      <c r="AB415" s="97" t="n">
        <f aca="false">AB414+AB$15</f>
        <v>0.00157989621162416</v>
      </c>
      <c r="AC415" s="115" t="n">
        <f aca="false">(Kopt-(L0-AB415*Ldif-alph*AB415^0.5))/R0</f>
        <v>0.832744970387474</v>
      </c>
      <c r="AD415" s="113" t="n">
        <f aca="false">IF(AC415&lt;1,X$14*((1-ropt)-Y$14*(1-ropt^2)+Z$14*(1-ropt^3)),0)</f>
        <v>489549.286287025</v>
      </c>
    </row>
    <row r="416" customFormat="false" ht="12.75" hidden="false" customHeight="false" outlineLevel="0" collapsed="false">
      <c r="J416" s="67"/>
      <c r="K416" s="67"/>
      <c r="L416" s="151"/>
      <c r="M416" s="151"/>
      <c r="N416" s="151"/>
      <c r="O416" s="69"/>
      <c r="P416" s="69"/>
      <c r="Q416" s="69"/>
      <c r="R416" s="69"/>
      <c r="S416" s="69"/>
      <c r="T416" s="69"/>
      <c r="U416" s="69"/>
      <c r="V416" s="69"/>
      <c r="W416" s="159"/>
      <c r="X416" s="102" t="n">
        <v>603</v>
      </c>
      <c r="Y416" s="124" t="n">
        <f aca="false">Y415+Y$16</f>
        <v>0.0015838858485222</v>
      </c>
      <c r="Z416" s="115" t="n">
        <f aca="false">(K-(L0-Y416*Ldif-alph*Y416^0.5))/R0</f>
        <v>0.833103222307712</v>
      </c>
      <c r="AA416" s="113" t="n">
        <f aca="false">IF(Z416&lt;1,X$14*((1-r_1)-Y$14*(1-r_1^2)+Z$14*(1-r_1^3)),0)</f>
        <v>487454.35207121</v>
      </c>
      <c r="AB416" s="97" t="n">
        <f aca="false">AB415+AB$15</f>
        <v>0.0015838858485222</v>
      </c>
      <c r="AC416" s="115" t="n">
        <f aca="false">(Kopt-(L0-AB416*Ldif-alph*AB416^0.5))/R0</f>
        <v>0.833103222307712</v>
      </c>
      <c r="AD416" s="113" t="n">
        <f aca="false">IF(AC416&lt;1,X$14*((1-ropt)-Y$14*(1-ropt^2)+Z$14*(1-ropt^3)),0)</f>
        <v>487454.35207121</v>
      </c>
    </row>
    <row r="417" customFormat="false" ht="12.75" hidden="false" customHeight="false" outlineLevel="0" collapsed="false">
      <c r="J417" s="67"/>
      <c r="K417" s="67"/>
      <c r="L417" s="151"/>
      <c r="M417" s="151"/>
      <c r="N417" s="151"/>
      <c r="O417" s="69"/>
      <c r="P417" s="69"/>
      <c r="Q417" s="69"/>
      <c r="R417" s="69"/>
      <c r="S417" s="69"/>
      <c r="T417" s="69"/>
      <c r="U417" s="69"/>
      <c r="V417" s="69"/>
      <c r="W417" s="159"/>
      <c r="X417" s="102" t="n">
        <v>602</v>
      </c>
      <c r="Y417" s="124" t="n">
        <f aca="false">Y416+Y$16</f>
        <v>0.00158787548542024</v>
      </c>
      <c r="Z417" s="115" t="n">
        <f aca="false">(K-(L0-Y417*Ldif-alph*Y417^0.5))/R0</f>
        <v>0.83346102331391</v>
      </c>
      <c r="AA417" s="113" t="n">
        <f aca="false">IF(Z417&lt;1,X$14*((1-r_1)-Y$14*(1-r_1^2)+Z$14*(1-r_1^3)),0)</f>
        <v>485366.538223875</v>
      </c>
      <c r="AB417" s="97" t="n">
        <f aca="false">AB416+AB$15</f>
        <v>0.00158787548542024</v>
      </c>
      <c r="AC417" s="115" t="n">
        <f aca="false">(Kopt-(L0-AB417*Ldif-alph*AB417^0.5))/R0</f>
        <v>0.83346102331391</v>
      </c>
      <c r="AD417" s="113" t="n">
        <f aca="false">IF(AC417&lt;1,X$14*((1-ropt)-Y$14*(1-ropt^2)+Z$14*(1-ropt^3)),0)</f>
        <v>485366.538223875</v>
      </c>
    </row>
    <row r="418" customFormat="false" ht="12.75" hidden="false" customHeight="false" outlineLevel="0" collapsed="false">
      <c r="J418" s="67"/>
      <c r="K418" s="67"/>
      <c r="L418" s="151"/>
      <c r="M418" s="151"/>
      <c r="N418" s="151"/>
      <c r="O418" s="69"/>
      <c r="P418" s="69"/>
      <c r="Q418" s="69"/>
      <c r="R418" s="69"/>
      <c r="S418" s="69"/>
      <c r="T418" s="69"/>
      <c r="U418" s="69"/>
      <c r="V418" s="69"/>
      <c r="W418" s="159"/>
      <c r="X418" s="102" t="n">
        <v>601</v>
      </c>
      <c r="Y418" s="124" t="n">
        <f aca="false">Y417+Y$16</f>
        <v>0.00159186512231828</v>
      </c>
      <c r="Z418" s="115" t="n">
        <f aca="false">(K-(L0-Y418*Ldif-alph*Y418^0.5))/R0</f>
        <v>0.833818375104427</v>
      </c>
      <c r="AA418" s="113" t="n">
        <f aca="false">IF(Z418&lt;1,X$14*((1-r_1)-Y$14*(1-r_1^2)+Z$14*(1-r_1^3)),0)</f>
        <v>483285.817926327</v>
      </c>
      <c r="AB418" s="97" t="n">
        <f aca="false">AB417+AB$15</f>
        <v>0.00159186512231828</v>
      </c>
      <c r="AC418" s="115" t="n">
        <f aca="false">(Kopt-(L0-AB418*Ldif-alph*AB418^0.5))/R0</f>
        <v>0.833818375104427</v>
      </c>
      <c r="AD418" s="113" t="n">
        <f aca="false">IF(AC418&lt;1,X$14*((1-ropt)-Y$14*(1-ropt^2)+Z$14*(1-ropt^3)),0)</f>
        <v>483285.817926327</v>
      </c>
    </row>
    <row r="419" customFormat="false" ht="12.75" hidden="false" customHeight="false" outlineLevel="0" collapsed="false">
      <c r="J419" s="67"/>
      <c r="K419" s="67"/>
      <c r="L419" s="151"/>
      <c r="M419" s="151"/>
      <c r="N419" s="151"/>
      <c r="O419" s="69"/>
      <c r="P419" s="69"/>
      <c r="Q419" s="69"/>
      <c r="R419" s="69"/>
      <c r="S419" s="69"/>
      <c r="T419" s="69"/>
      <c r="U419" s="69"/>
      <c r="V419" s="69"/>
      <c r="W419" s="159"/>
      <c r="X419" s="102" t="n">
        <v>600</v>
      </c>
      <c r="Y419" s="124" t="n">
        <f aca="false">Y418+Y$16</f>
        <v>0.00159585475921632</v>
      </c>
      <c r="Z419" s="115" t="n">
        <f aca="false">(K-(L0-Y419*Ldif-alph*Y419^0.5))/R0</f>
        <v>0.834175279366992</v>
      </c>
      <c r="AA419" s="113" t="n">
        <f aca="false">IF(Z419&lt;1,X$14*((1-r_1)-Y$14*(1-r_1^2)+Z$14*(1-r_1^3)),0)</f>
        <v>481212.164527768</v>
      </c>
      <c r="AB419" s="97" t="n">
        <f aca="false">AB418+AB$15</f>
        <v>0.00159585475921632</v>
      </c>
      <c r="AC419" s="115" t="n">
        <f aca="false">(Kopt-(L0-AB419*Ldif-alph*AB419^0.5))/R0</f>
        <v>0.834175279366992</v>
      </c>
      <c r="AD419" s="113" t="n">
        <f aca="false">IF(AC419&lt;1,X$14*((1-ropt)-Y$14*(1-ropt^2)+Z$14*(1-ropt^3)),0)</f>
        <v>481212.164527768</v>
      </c>
    </row>
    <row r="420" customFormat="false" ht="12.75" hidden="false" customHeight="false" outlineLevel="0" collapsed="false">
      <c r="J420" s="67"/>
      <c r="K420" s="67"/>
      <c r="L420" s="151"/>
      <c r="M420" s="151"/>
      <c r="N420" s="151"/>
      <c r="O420" s="69"/>
      <c r="P420" s="69"/>
      <c r="Q420" s="69"/>
      <c r="R420" s="69"/>
      <c r="S420" s="69"/>
      <c r="T420" s="69"/>
      <c r="U420" s="69"/>
      <c r="V420" s="69"/>
      <c r="W420" s="159"/>
      <c r="X420" s="102" t="n">
        <v>599</v>
      </c>
      <c r="Y420" s="124" t="n">
        <f aca="false">Y419+Y$16</f>
        <v>0.00159984439611436</v>
      </c>
      <c r="Z420" s="115" t="n">
        <f aca="false">(K-(L0-Y420*Ldif-alph*Y420^0.5))/R0</f>
        <v>0.834531737778787</v>
      </c>
      <c r="AA420" s="113" t="n">
        <f aca="false">IF(Z420&lt;1,X$14*((1-r_1)-Y$14*(1-r_1^2)+Z$14*(1-r_1^3)),0)</f>
        <v>479145.551543892</v>
      </c>
      <c r="AB420" s="97" t="n">
        <f aca="false">AB419+AB$15</f>
        <v>0.00159984439611436</v>
      </c>
      <c r="AC420" s="115" t="n">
        <f aca="false">(Kopt-(L0-AB420*Ldif-alph*AB420^0.5))/R0</f>
        <v>0.834531737778787</v>
      </c>
      <c r="AD420" s="113" t="n">
        <f aca="false">IF(AC420&lt;1,X$14*((1-ropt)-Y$14*(1-ropt^2)+Z$14*(1-ropt^3)),0)</f>
        <v>479145.551543892</v>
      </c>
    </row>
    <row r="421" customFormat="false" ht="12.75" hidden="false" customHeight="false" outlineLevel="0" collapsed="false">
      <c r="J421" s="67"/>
      <c r="K421" s="67"/>
      <c r="L421" s="151"/>
      <c r="M421" s="151"/>
      <c r="N421" s="151"/>
      <c r="O421" s="69"/>
      <c r="P421" s="69"/>
      <c r="Q421" s="69"/>
      <c r="R421" s="69"/>
      <c r="S421" s="69"/>
      <c r="T421" s="69"/>
      <c r="U421" s="69"/>
      <c r="V421" s="69"/>
      <c r="W421" s="159"/>
      <c r="X421" s="102" t="n">
        <v>598</v>
      </c>
      <c r="Y421" s="124" t="n">
        <f aca="false">Y420+Y$16</f>
        <v>0.0016038340330124</v>
      </c>
      <c r="Z421" s="115" t="n">
        <f aca="false">(K-(L0-Y421*Ldif-alph*Y421^0.5))/R0</f>
        <v>0.834887752006545</v>
      </c>
      <c r="AA421" s="113" t="n">
        <f aca="false">IF(Z421&lt;1,X$14*((1-r_1)-Y$14*(1-r_1^2)+Z$14*(1-r_1^3)),0)</f>
        <v>477085.95265541</v>
      </c>
      <c r="AB421" s="97" t="n">
        <f aca="false">AB420+AB$15</f>
        <v>0.0016038340330124</v>
      </c>
      <c r="AC421" s="115" t="n">
        <f aca="false">(Kopt-(L0-AB421*Ldif-alph*AB421^0.5))/R0</f>
        <v>0.834887752006545</v>
      </c>
      <c r="AD421" s="113" t="n">
        <f aca="false">IF(AC421&lt;1,X$14*((1-ropt)-Y$14*(1-ropt^2)+Z$14*(1-ropt^3)),0)</f>
        <v>477085.95265541</v>
      </c>
    </row>
    <row r="422" customFormat="false" ht="12.75" hidden="false" customHeight="false" outlineLevel="0" collapsed="false">
      <c r="J422" s="67"/>
      <c r="K422" s="67"/>
      <c r="L422" s="151"/>
      <c r="M422" s="151"/>
      <c r="N422" s="151"/>
      <c r="O422" s="69"/>
      <c r="P422" s="69"/>
      <c r="Q422" s="69"/>
      <c r="R422" s="69"/>
      <c r="S422" s="69"/>
      <c r="T422" s="69"/>
      <c r="U422" s="69"/>
      <c r="V422" s="69"/>
      <c r="W422" s="159"/>
      <c r="X422" s="102" t="n">
        <v>597</v>
      </c>
      <c r="Y422" s="124" t="n">
        <f aca="false">Y421+Y$16</f>
        <v>0.00160782366991044</v>
      </c>
      <c r="Z422" s="115" t="n">
        <f aca="false">(K-(L0-Y422*Ldif-alph*Y422^0.5))/R0</f>
        <v>0.83524332370665</v>
      </c>
      <c r="AA422" s="113" t="n">
        <f aca="false">IF(Z422&lt;1,X$14*((1-r_1)-Y$14*(1-r_1^2)+Z$14*(1-r_1^3)),0)</f>
        <v>475033.341706557</v>
      </c>
      <c r="AB422" s="97" t="n">
        <f aca="false">AB421+AB$15</f>
        <v>0.00160782366991044</v>
      </c>
      <c r="AC422" s="115" t="n">
        <f aca="false">(Kopt-(L0-AB422*Ldif-alph*AB422^0.5))/R0</f>
        <v>0.83524332370665</v>
      </c>
      <c r="AD422" s="113" t="n">
        <f aca="false">IF(AC422&lt;1,X$14*((1-ropt)-Y$14*(1-ropt^2)+Z$14*(1-ropt^3)),0)</f>
        <v>475033.341706557</v>
      </c>
    </row>
    <row r="423" customFormat="false" ht="12.75" hidden="false" customHeight="false" outlineLevel="0" collapsed="false">
      <c r="J423" s="67"/>
      <c r="K423" s="67"/>
      <c r="L423" s="151"/>
      <c r="M423" s="151"/>
      <c r="N423" s="151"/>
      <c r="O423" s="69"/>
      <c r="P423" s="69"/>
      <c r="Q423" s="69"/>
      <c r="R423" s="69"/>
      <c r="S423" s="69"/>
      <c r="T423" s="69"/>
      <c r="U423" s="69"/>
      <c r="V423" s="69"/>
      <c r="W423" s="159"/>
      <c r="X423" s="102" t="n">
        <v>596</v>
      </c>
      <c r="Y423" s="124" t="n">
        <f aca="false">Y422+Y$16</f>
        <v>0.00161181330680848</v>
      </c>
      <c r="Z423" s="115" t="n">
        <f aca="false">(K-(L0-Y423*Ldif-alph*Y423^0.5))/R0</f>
        <v>0.835598454525199</v>
      </c>
      <c r="AA423" s="113" t="n">
        <f aca="false">IF(Z423&lt;1,X$14*((1-r_1)-Y$14*(1-r_1^2)+Z$14*(1-r_1^3)),0)</f>
        <v>472987.6927038</v>
      </c>
      <c r="AB423" s="97" t="n">
        <f aca="false">AB422+AB$15</f>
        <v>0.00161181330680848</v>
      </c>
      <c r="AC423" s="115" t="n">
        <f aca="false">(Kopt-(L0-AB423*Ldif-alph*AB423^0.5))/R0</f>
        <v>0.835598454525199</v>
      </c>
      <c r="AD423" s="113" t="n">
        <f aca="false">IF(AC423&lt;1,X$14*((1-ropt)-Y$14*(1-ropt^2)+Z$14*(1-ropt^3)),0)</f>
        <v>472987.6927038</v>
      </c>
    </row>
    <row r="424" customFormat="false" ht="12.75" hidden="false" customHeight="false" outlineLevel="0" collapsed="false">
      <c r="J424" s="67"/>
      <c r="K424" s="67"/>
      <c r="L424" s="151"/>
      <c r="M424" s="151"/>
      <c r="N424" s="151"/>
      <c r="O424" s="69"/>
      <c r="P424" s="69"/>
      <c r="Q424" s="69"/>
      <c r="R424" s="69"/>
      <c r="S424" s="69"/>
      <c r="T424" s="69"/>
      <c r="U424" s="69"/>
      <c r="V424" s="69"/>
      <c r="W424" s="159"/>
      <c r="X424" s="102" t="n">
        <v>595</v>
      </c>
      <c r="Y424" s="124" t="n">
        <f aca="false">Y423+Y$16</f>
        <v>0.00161580294370652</v>
      </c>
      <c r="Z424" s="115" t="n">
        <f aca="false">(K-(L0-Y424*Ldif-alph*Y424^0.5))/R0</f>
        <v>0.83595314609813</v>
      </c>
      <c r="AA424" s="113" t="n">
        <f aca="false">IF(Z424&lt;1,X$14*((1-r_1)-Y$14*(1-r_1^2)+Z$14*(1-r_1^3)),0)</f>
        <v>470948.979814278</v>
      </c>
      <c r="AB424" s="97" t="n">
        <f aca="false">AB423+AB$15</f>
        <v>0.00161580294370652</v>
      </c>
      <c r="AC424" s="115" t="n">
        <f aca="false">(Kopt-(L0-AB424*Ldif-alph*AB424^0.5))/R0</f>
        <v>0.83595314609813</v>
      </c>
      <c r="AD424" s="113" t="n">
        <f aca="false">IF(AC424&lt;1,X$14*((1-ropt)-Y$14*(1-ropt^2)+Z$14*(1-ropt^3)),0)</f>
        <v>470948.979814278</v>
      </c>
    </row>
    <row r="425" customFormat="false" ht="12.75" hidden="false" customHeight="false" outlineLevel="0" collapsed="false">
      <c r="J425" s="67"/>
      <c r="K425" s="67"/>
      <c r="L425" s="151"/>
      <c r="M425" s="151"/>
      <c r="N425" s="151"/>
      <c r="O425" s="69"/>
      <c r="P425" s="69"/>
      <c r="Q425" s="69"/>
      <c r="R425" s="69"/>
      <c r="S425" s="69"/>
      <c r="T425" s="69"/>
      <c r="U425" s="69"/>
      <c r="V425" s="69"/>
      <c r="W425" s="159"/>
      <c r="X425" s="102" t="n">
        <v>594</v>
      </c>
      <c r="Y425" s="124" t="n">
        <f aca="false">Y424+Y$16</f>
        <v>0.00161979258060456</v>
      </c>
      <c r="Z425" s="115" t="n">
        <f aca="false">(K-(L0-Y425*Ldif-alph*Y425^0.5))/R0</f>
        <v>0.836307400051269</v>
      </c>
      <c r="AA425" s="113" t="n">
        <f aca="false">IF(Z425&lt;1,X$14*((1-r_1)-Y$14*(1-r_1^2)+Z$14*(1-r_1^3)),0)</f>
        <v>468917.177364566</v>
      </c>
      <c r="AB425" s="97" t="n">
        <f aca="false">AB424+AB$15</f>
        <v>0.00161979258060456</v>
      </c>
      <c r="AC425" s="115" t="n">
        <f aca="false">(Kopt-(L0-AB425*Ldif-alph*AB425^0.5))/R0</f>
        <v>0.836307400051269</v>
      </c>
      <c r="AD425" s="113" t="n">
        <f aca="false">IF(AC425&lt;1,X$14*((1-ropt)-Y$14*(1-ropt^2)+Z$14*(1-ropt^3)),0)</f>
        <v>468917.177364566</v>
      </c>
    </row>
    <row r="426" customFormat="false" ht="12.75" hidden="false" customHeight="false" outlineLevel="0" collapsed="false">
      <c r="J426" s="67"/>
      <c r="K426" s="67"/>
      <c r="L426" s="151"/>
      <c r="M426" s="151"/>
      <c r="N426" s="151"/>
      <c r="O426" s="69"/>
      <c r="P426" s="69"/>
      <c r="Q426" s="69"/>
      <c r="R426" s="69"/>
      <c r="S426" s="69"/>
      <c r="T426" s="69"/>
      <c r="U426" s="69"/>
      <c r="V426" s="69"/>
      <c r="W426" s="159"/>
      <c r="X426" s="102" t="n">
        <v>593</v>
      </c>
      <c r="Y426" s="124" t="n">
        <f aca="false">Y425+Y$16</f>
        <v>0.0016237822175026</v>
      </c>
      <c r="Z426" s="115" t="n">
        <f aca="false">(K-(L0-Y426*Ldif-alph*Y426^0.5))/R0</f>
        <v>0.836661218000453</v>
      </c>
      <c r="AA426" s="113" t="n">
        <f aca="false">IF(Z426&lt;1,X$14*((1-r_1)-Y$14*(1-r_1^2)+Z$14*(1-r_1^3)),0)</f>
        <v>466892.25983917</v>
      </c>
      <c r="AB426" s="97" t="n">
        <f aca="false">AB425+AB$15</f>
        <v>0.0016237822175026</v>
      </c>
      <c r="AC426" s="115" t="n">
        <f aca="false">(Kopt-(L0-AB426*Ldif-alph*AB426^0.5))/R0</f>
        <v>0.836661218000453</v>
      </c>
      <c r="AD426" s="113" t="n">
        <f aca="false">IF(AC426&lt;1,X$14*((1-ropt)-Y$14*(1-ropt^2)+Z$14*(1-ropt^3)),0)</f>
        <v>466892.25983917</v>
      </c>
    </row>
    <row r="427" customFormat="false" ht="12.75" hidden="false" customHeight="false" outlineLevel="0" collapsed="false">
      <c r="J427" s="67"/>
      <c r="K427" s="67"/>
      <c r="L427" s="151"/>
      <c r="M427" s="151"/>
      <c r="N427" s="151"/>
      <c r="O427" s="69"/>
      <c r="P427" s="69"/>
      <c r="Q427" s="69"/>
      <c r="R427" s="69"/>
      <c r="S427" s="69"/>
      <c r="T427" s="69"/>
      <c r="U427" s="69"/>
      <c r="V427" s="69"/>
      <c r="W427" s="159"/>
      <c r="X427" s="102" t="n">
        <v>592</v>
      </c>
      <c r="Y427" s="124" t="n">
        <f aca="false">Y426+Y$16</f>
        <v>0.00162777185440065</v>
      </c>
      <c r="Z427" s="115" t="n">
        <f aca="false">(K-(L0-Y427*Ldif-alph*Y427^0.5))/R0</f>
        <v>0.837014601551587</v>
      </c>
      <c r="AA427" s="113" t="n">
        <f aca="false">IF(Z427&lt;1,X$14*((1-r_1)-Y$14*(1-r_1^2)+Z$14*(1-r_1^3)),0)</f>
        <v>464874.201879292</v>
      </c>
      <c r="AB427" s="97" t="n">
        <f aca="false">AB426+AB$15</f>
        <v>0.00162777185440065</v>
      </c>
      <c r="AC427" s="115" t="n">
        <f aca="false">(Kopt-(L0-AB427*Ldif-alph*AB427^0.5))/R0</f>
        <v>0.837014601551587</v>
      </c>
      <c r="AD427" s="113" t="n">
        <f aca="false">IF(AC427&lt;1,X$14*((1-ropt)-Y$14*(1-ropt^2)+Z$14*(1-ropt^3)),0)</f>
        <v>464874.201879292</v>
      </c>
    </row>
    <row r="428" customFormat="false" ht="12.75" hidden="false" customHeight="false" outlineLevel="0" collapsed="false">
      <c r="J428" s="67"/>
      <c r="K428" s="67"/>
      <c r="L428" s="151"/>
      <c r="M428" s="151"/>
      <c r="N428" s="151"/>
      <c r="O428" s="69"/>
      <c r="P428" s="69"/>
      <c r="Q428" s="69"/>
      <c r="R428" s="69"/>
      <c r="S428" s="69"/>
      <c r="T428" s="69"/>
      <c r="U428" s="69"/>
      <c r="V428" s="69"/>
      <c r="W428" s="159"/>
      <c r="X428" s="102" t="n">
        <v>591</v>
      </c>
      <c r="Y428" s="124" t="n">
        <f aca="false">Y427+Y$16</f>
        <v>0.00163176149129869</v>
      </c>
      <c r="Z428" s="115" t="n">
        <f aca="false">(K-(L0-Y428*Ldif-alph*Y428^0.5))/R0</f>
        <v>0.837367552300753</v>
      </c>
      <c r="AA428" s="113" t="n">
        <f aca="false">IF(Z428&lt;1,X$14*((1-r_1)-Y$14*(1-r_1^2)+Z$14*(1-r_1^3)),0)</f>
        <v>462862.978281347</v>
      </c>
      <c r="AB428" s="97" t="n">
        <f aca="false">AB427+AB$15</f>
        <v>0.00163176149129869</v>
      </c>
      <c r="AC428" s="115" t="n">
        <f aca="false">(Kopt-(L0-AB428*Ldif-alph*AB428^0.5))/R0</f>
        <v>0.837367552300753</v>
      </c>
      <c r="AD428" s="113" t="n">
        <f aca="false">IF(AC428&lt;1,X$14*((1-ropt)-Y$14*(1-ropt^2)+Z$14*(1-ropt^3)),0)</f>
        <v>462862.978281347</v>
      </c>
    </row>
    <row r="429" customFormat="false" ht="12.75" hidden="false" customHeight="false" outlineLevel="0" collapsed="false">
      <c r="J429" s="67"/>
      <c r="K429" s="67"/>
      <c r="L429" s="151"/>
      <c r="M429" s="151"/>
      <c r="N429" s="151"/>
      <c r="O429" s="69"/>
      <c r="P429" s="69"/>
      <c r="Q429" s="69"/>
      <c r="R429" s="69"/>
      <c r="S429" s="69"/>
      <c r="T429" s="69"/>
      <c r="U429" s="69"/>
      <c r="V429" s="69"/>
      <c r="W429" s="159"/>
      <c r="X429" s="102" t="n">
        <v>590</v>
      </c>
      <c r="Y429" s="124" t="n">
        <f aca="false">Y428+Y$16</f>
        <v>0.00163575112819673</v>
      </c>
      <c r="Z429" s="115" t="n">
        <f aca="false">(K-(L0-Y429*Ldif-alph*Y429^0.5))/R0</f>
        <v>0.837720071834273</v>
      </c>
      <c r="AA429" s="113" t="n">
        <f aca="false">IF(Z429&lt;1,X$14*((1-r_1)-Y$14*(1-r_1^2)+Z$14*(1-r_1^3)),0)</f>
        <v>460858.563995787</v>
      </c>
      <c r="AB429" s="97" t="n">
        <f aca="false">AB428+AB$15</f>
        <v>0.00163575112819673</v>
      </c>
      <c r="AC429" s="115" t="n">
        <f aca="false">(Kopt-(L0-AB429*Ldif-alph*AB429^0.5))/R0</f>
        <v>0.837720071834273</v>
      </c>
      <c r="AD429" s="113" t="n">
        <f aca="false">IF(AC429&lt;1,X$14*((1-ropt)-Y$14*(1-ropt^2)+Z$14*(1-ropt^3)),0)</f>
        <v>460858.563995787</v>
      </c>
    </row>
    <row r="430" customFormat="false" ht="12.75" hidden="false" customHeight="false" outlineLevel="0" collapsed="false">
      <c r="J430" s="67"/>
      <c r="K430" s="67"/>
      <c r="L430" s="151"/>
      <c r="M430" s="151"/>
      <c r="N430" s="151"/>
      <c r="O430" s="69"/>
      <c r="P430" s="69"/>
      <c r="Q430" s="69"/>
      <c r="R430" s="69"/>
      <c r="S430" s="69"/>
      <c r="T430" s="69"/>
      <c r="U430" s="69"/>
      <c r="V430" s="69"/>
      <c r="W430" s="159"/>
      <c r="X430" s="102" t="n">
        <v>589</v>
      </c>
      <c r="Y430" s="124" t="n">
        <f aca="false">Y429+Y$16</f>
        <v>0.00163974076509477</v>
      </c>
      <c r="Z430" s="115" t="n">
        <f aca="false">(K-(L0-Y430*Ldif-alph*Y430^0.5))/R0</f>
        <v>0.838072161728809</v>
      </c>
      <c r="AA430" s="113" t="n">
        <f aca="false">IF(Z430&lt;1,X$14*((1-r_1)-Y$14*(1-r_1^2)+Z$14*(1-r_1^3)),0)</f>
        <v>458860.934125666</v>
      </c>
      <c r="AB430" s="97" t="n">
        <f aca="false">AB429+AB$15</f>
        <v>0.00163974076509477</v>
      </c>
      <c r="AC430" s="115" t="n">
        <f aca="false">(Kopt-(L0-AB430*Ldif-alph*AB430^0.5))/R0</f>
        <v>0.838072161728809</v>
      </c>
      <c r="AD430" s="113" t="n">
        <f aca="false">IF(AC430&lt;1,X$14*((1-ropt)-Y$14*(1-ropt^2)+Z$14*(1-ropt^3)),0)</f>
        <v>458860.934125666</v>
      </c>
    </row>
    <row r="431" customFormat="false" ht="12.75" hidden="false" customHeight="false" outlineLevel="0" collapsed="false">
      <c r="J431" s="67"/>
      <c r="K431" s="67"/>
      <c r="L431" s="151"/>
      <c r="M431" s="151"/>
      <c r="N431" s="151"/>
      <c r="O431" s="69"/>
      <c r="P431" s="69"/>
      <c r="Q431" s="69"/>
      <c r="R431" s="69"/>
      <c r="S431" s="69"/>
      <c r="T431" s="69"/>
      <c r="U431" s="69"/>
      <c r="V431" s="69"/>
      <c r="W431" s="159"/>
      <c r="X431" s="102" t="n">
        <v>588</v>
      </c>
      <c r="Y431" s="124" t="n">
        <f aca="false">Y430+Y$16</f>
        <v>0.00164373040199281</v>
      </c>
      <c r="Z431" s="115" t="n">
        <f aca="false">(K-(L0-Y431*Ldif-alph*Y431^0.5))/R0</f>
        <v>0.838423823551437</v>
      </c>
      <c r="AA431" s="113" t="n">
        <f aca="false">IF(Z431&lt;1,X$14*((1-r_1)-Y$14*(1-r_1^2)+Z$14*(1-r_1^3)),0)</f>
        <v>456870.063925401</v>
      </c>
      <c r="AB431" s="97" t="n">
        <f aca="false">AB430+AB$15</f>
        <v>0.00164373040199281</v>
      </c>
      <c r="AC431" s="115" t="n">
        <f aca="false">(Kopt-(L0-AB431*Ldif-alph*AB431^0.5))/R0</f>
        <v>0.838423823551437</v>
      </c>
      <c r="AD431" s="113" t="n">
        <f aca="false">IF(AC431&lt;1,X$14*((1-ropt)-Y$14*(1-ropt^2)+Z$14*(1-ropt^3)),0)</f>
        <v>456870.063925401</v>
      </c>
    </row>
    <row r="432" customFormat="false" ht="12.75" hidden="false" customHeight="false" outlineLevel="0" collapsed="false">
      <c r="J432" s="67"/>
      <c r="K432" s="67"/>
      <c r="L432" s="151"/>
      <c r="M432" s="151"/>
      <c r="N432" s="151"/>
      <c r="O432" s="69"/>
      <c r="P432" s="69"/>
      <c r="Q432" s="69"/>
      <c r="R432" s="69"/>
      <c r="S432" s="69"/>
      <c r="T432" s="69"/>
      <c r="U432" s="69"/>
      <c r="V432" s="69"/>
      <c r="W432" s="159"/>
      <c r="X432" s="102" t="n">
        <v>587</v>
      </c>
      <c r="Y432" s="124" t="n">
        <f aca="false">Y431+Y$16</f>
        <v>0.00164772003889085</v>
      </c>
      <c r="Z432" s="115" t="n">
        <f aca="false">(K-(L0-Y432*Ldif-alph*Y432^0.5))/R0</f>
        <v>0.838775058859728</v>
      </c>
      <c r="AA432" s="113" t="n">
        <f aca="false">IF(Z432&lt;1,X$14*((1-r_1)-Y$14*(1-r_1^2)+Z$14*(1-r_1^3)),0)</f>
        <v>454885.928799471</v>
      </c>
      <c r="AB432" s="97" t="n">
        <f aca="false">AB431+AB$15</f>
        <v>0.00164772003889085</v>
      </c>
      <c r="AC432" s="115" t="n">
        <f aca="false">(Kopt-(L0-AB432*Ldif-alph*AB432^0.5))/R0</f>
        <v>0.838775058859728</v>
      </c>
      <c r="AD432" s="113" t="n">
        <f aca="false">IF(AC432&lt;1,X$14*((1-ropt)-Y$14*(1-ropt^2)+Z$14*(1-ropt^3)),0)</f>
        <v>454885.928799471</v>
      </c>
    </row>
    <row r="433" customFormat="false" ht="12.75" hidden="false" customHeight="false" outlineLevel="0" collapsed="false">
      <c r="J433" s="67"/>
      <c r="K433" s="67"/>
      <c r="L433" s="151"/>
      <c r="M433" s="151"/>
      <c r="N433" s="151"/>
      <c r="O433" s="69"/>
      <c r="P433" s="69"/>
      <c r="Q433" s="69"/>
      <c r="R433" s="69"/>
      <c r="S433" s="69"/>
      <c r="T433" s="69"/>
      <c r="U433" s="69"/>
      <c r="V433" s="69"/>
      <c r="W433" s="159"/>
      <c r="X433" s="102" t="n">
        <v>586</v>
      </c>
      <c r="Y433" s="124" t="n">
        <f aca="false">Y432+Y$16</f>
        <v>0.00165170967578889</v>
      </c>
      <c r="Z433" s="115" t="n">
        <f aca="false">(K-(L0-Y433*Ldif-alph*Y433^0.5))/R0</f>
        <v>0.839125869201829</v>
      </c>
      <c r="AA433" s="113" t="n">
        <f aca="false">IF(Z433&lt;1,X$14*((1-r_1)-Y$14*(1-r_1^2)+Z$14*(1-r_1^3)),0)</f>
        <v>452908.504301174</v>
      </c>
      <c r="AB433" s="97" t="n">
        <f aca="false">AB432+AB$15</f>
        <v>0.00165170967578889</v>
      </c>
      <c r="AC433" s="115" t="n">
        <f aca="false">(Kopt-(L0-AB433*Ldif-alph*AB433^0.5))/R0</f>
        <v>0.839125869201829</v>
      </c>
      <c r="AD433" s="113" t="n">
        <f aca="false">IF(AC433&lt;1,X$14*((1-ropt)-Y$14*(1-ropt^2)+Z$14*(1-ropt^3)),0)</f>
        <v>452908.504301174</v>
      </c>
    </row>
    <row r="434" customFormat="false" ht="12.75" hidden="false" customHeight="false" outlineLevel="0" collapsed="false">
      <c r="J434" s="67"/>
      <c r="K434" s="67"/>
      <c r="L434" s="151"/>
      <c r="M434" s="151"/>
      <c r="N434" s="151"/>
      <c r="O434" s="69"/>
      <c r="P434" s="69"/>
      <c r="Q434" s="69"/>
      <c r="R434" s="69"/>
      <c r="S434" s="69"/>
      <c r="T434" s="69"/>
      <c r="U434" s="69"/>
      <c r="V434" s="69"/>
      <c r="W434" s="159"/>
      <c r="X434" s="102" t="n">
        <v>585</v>
      </c>
      <c r="Y434" s="124" t="n">
        <f aca="false">Y433+Y$16</f>
        <v>0.00165569931268693</v>
      </c>
      <c r="Z434" s="115" t="n">
        <f aca="false">(K-(L0-Y434*Ldif-alph*Y434^0.5))/R0</f>
        <v>0.839476256116551</v>
      </c>
      <c r="AA434" s="113" t="n">
        <f aca="false">IF(Z434&lt;1,X$14*((1-r_1)-Y$14*(1-r_1^2)+Z$14*(1-r_1^3)),0)</f>
        <v>450937.766131285</v>
      </c>
      <c r="AB434" s="97" t="n">
        <f aca="false">AB433+AB$15</f>
        <v>0.00165569931268693</v>
      </c>
      <c r="AC434" s="115" t="n">
        <f aca="false">(Kopt-(L0-AB434*Ldif-alph*AB434^0.5))/R0</f>
        <v>0.839476256116551</v>
      </c>
      <c r="AD434" s="113" t="n">
        <f aca="false">IF(AC434&lt;1,X$14*((1-ropt)-Y$14*(1-ropt^2)+Z$14*(1-ropt^3)),0)</f>
        <v>450937.766131285</v>
      </c>
    </row>
    <row r="435" customFormat="false" ht="12.75" hidden="false" customHeight="false" outlineLevel="0" collapsed="false">
      <c r="J435" s="67"/>
      <c r="K435" s="67"/>
      <c r="L435" s="151"/>
      <c r="M435" s="151"/>
      <c r="N435" s="151"/>
      <c r="O435" s="69"/>
      <c r="P435" s="69"/>
      <c r="Q435" s="69"/>
      <c r="R435" s="69"/>
      <c r="S435" s="69"/>
      <c r="T435" s="69"/>
      <c r="U435" s="69"/>
      <c r="V435" s="69"/>
      <c r="W435" s="159"/>
      <c r="X435" s="102" t="n">
        <v>584</v>
      </c>
      <c r="Y435" s="124" t="n">
        <f aca="false">Y434+Y$16</f>
        <v>0.00165968894958497</v>
      </c>
      <c r="Z435" s="115" t="n">
        <f aca="false">(K-(L0-Y435*Ldif-alph*Y435^0.5))/R0</f>
        <v>0.83982622113343</v>
      </c>
      <c r="AA435" s="113" t="n">
        <f aca="false">IF(Z435&lt;1,X$14*((1-r_1)-Y$14*(1-r_1^2)+Z$14*(1-r_1^3)),0)</f>
        <v>448973.690136942</v>
      </c>
      <c r="AB435" s="97" t="n">
        <f aca="false">AB434+AB$15</f>
        <v>0.00165968894958497</v>
      </c>
      <c r="AC435" s="115" t="n">
        <f aca="false">(Kopt-(L0-AB435*Ldif-alph*AB435^0.5))/R0</f>
        <v>0.83982622113343</v>
      </c>
      <c r="AD435" s="113" t="n">
        <f aca="false">IF(AC435&lt;1,X$14*((1-ropt)-Y$14*(1-ropt^2)+Z$14*(1-ropt^3)),0)</f>
        <v>448973.690136942</v>
      </c>
    </row>
    <row r="436" customFormat="false" ht="12.75" hidden="false" customHeight="false" outlineLevel="0" collapsed="false">
      <c r="J436" s="67"/>
      <c r="K436" s="67"/>
      <c r="L436" s="151"/>
      <c r="M436" s="151"/>
      <c r="N436" s="151"/>
      <c r="O436" s="69"/>
      <c r="P436" s="69"/>
      <c r="Q436" s="69"/>
      <c r="R436" s="69"/>
      <c r="S436" s="69"/>
      <c r="T436" s="69"/>
      <c r="U436" s="69"/>
      <c r="V436" s="69"/>
      <c r="W436" s="159"/>
      <c r="X436" s="102" t="n">
        <v>583</v>
      </c>
      <c r="Y436" s="124" t="n">
        <f aca="false">Y435+Y$16</f>
        <v>0.00166367858648301</v>
      </c>
      <c r="Z436" s="115" t="n">
        <f aca="false">(K-(L0-Y436*Ldif-alph*Y436^0.5))/R0</f>
        <v>0.840175765772828</v>
      </c>
      <c r="AA436" s="113" t="n">
        <f aca="false">IF(Z436&lt;1,X$14*((1-r_1)-Y$14*(1-r_1^2)+Z$14*(1-r_1^3)),0)</f>
        <v>447016.252310283</v>
      </c>
      <c r="AB436" s="97" t="n">
        <f aca="false">AB435+AB$15</f>
        <v>0.00166367858648301</v>
      </c>
      <c r="AC436" s="115" t="n">
        <f aca="false">(Kopt-(L0-AB436*Ldif-alph*AB436^0.5))/R0</f>
        <v>0.840175765772828</v>
      </c>
      <c r="AD436" s="113" t="n">
        <f aca="false">IF(AC436&lt;1,X$14*((1-ropt)-Y$14*(1-ropt^2)+Z$14*(1-ropt^3)),0)</f>
        <v>447016.252310283</v>
      </c>
    </row>
    <row r="437" customFormat="false" ht="12.75" hidden="false" customHeight="false" outlineLevel="0" collapsed="false">
      <c r="J437" s="67"/>
      <c r="K437" s="67"/>
      <c r="L437" s="151"/>
      <c r="M437" s="151"/>
      <c r="N437" s="151"/>
      <c r="O437" s="69"/>
      <c r="P437" s="69"/>
      <c r="Q437" s="69"/>
      <c r="R437" s="69"/>
      <c r="S437" s="69"/>
      <c r="T437" s="69"/>
      <c r="U437" s="69"/>
      <c r="V437" s="69"/>
      <c r="W437" s="159"/>
      <c r="X437" s="102" t="n">
        <v>582</v>
      </c>
      <c r="Y437" s="124" t="n">
        <f aca="false">Y436+Y$16</f>
        <v>0.00166766822338105</v>
      </c>
      <c r="Z437" s="115" t="n">
        <f aca="false">(K-(L0-Y437*Ldif-alph*Y437^0.5))/R0</f>
        <v>0.840524891545984</v>
      </c>
      <c r="AA437" s="113" t="n">
        <f aca="false">IF(Z437&lt;1,X$14*((1-r_1)-Y$14*(1-r_1^2)+Z$14*(1-r_1^3)),0)</f>
        <v>445065.428787356</v>
      </c>
      <c r="AB437" s="97" t="n">
        <f aca="false">AB436+AB$15</f>
        <v>0.00166766822338105</v>
      </c>
      <c r="AC437" s="115" t="n">
        <f aca="false">(Kopt-(L0-AB437*Ldif-alph*AB437^0.5))/R0</f>
        <v>0.840524891545984</v>
      </c>
      <c r="AD437" s="113" t="n">
        <f aca="false">IF(AC437&lt;1,X$14*((1-ropt)-Y$14*(1-ropt^2)+Z$14*(1-ropt^3)),0)</f>
        <v>445065.428787356</v>
      </c>
    </row>
    <row r="438" customFormat="false" ht="12.75" hidden="false" customHeight="false" outlineLevel="0" collapsed="false">
      <c r="J438" s="67"/>
      <c r="K438" s="67"/>
      <c r="L438" s="151"/>
      <c r="M438" s="151"/>
      <c r="N438" s="151"/>
      <c r="O438" s="69"/>
      <c r="P438" s="69"/>
      <c r="Q438" s="69"/>
      <c r="R438" s="69"/>
      <c r="S438" s="69"/>
      <c r="T438" s="69"/>
      <c r="U438" s="69"/>
      <c r="V438" s="69"/>
      <c r="W438" s="159"/>
      <c r="X438" s="102" t="n">
        <v>581</v>
      </c>
      <c r="Y438" s="124" t="n">
        <f aca="false">Y437+Y$16</f>
        <v>0.00167165786027909</v>
      </c>
      <c r="Z438" s="115" t="n">
        <f aca="false">(K-(L0-Y438*Ldif-alph*Y438^0.5))/R0</f>
        <v>0.840873599955116</v>
      </c>
      <c r="AA438" s="113" t="n">
        <f aca="false">IF(Z438&lt;1,X$14*((1-r_1)-Y$14*(1-r_1^2)+Z$14*(1-r_1^3)),0)</f>
        <v>443121.195846781</v>
      </c>
      <c r="AB438" s="97" t="n">
        <f aca="false">AB437+AB$15</f>
        <v>0.00167165786027909</v>
      </c>
      <c r="AC438" s="115" t="n">
        <f aca="false">(Kopt-(L0-AB438*Ldif-alph*AB438^0.5))/R0</f>
        <v>0.840873599955116</v>
      </c>
      <c r="AD438" s="113" t="n">
        <f aca="false">IF(AC438&lt;1,X$14*((1-ropt)-Y$14*(1-ropt^2)+Z$14*(1-ropt^3)),0)</f>
        <v>443121.195846781</v>
      </c>
    </row>
    <row r="439" customFormat="false" ht="12.75" hidden="false" customHeight="false" outlineLevel="0" collapsed="false">
      <c r="J439" s="67"/>
      <c r="K439" s="67"/>
      <c r="L439" s="151"/>
      <c r="M439" s="151"/>
      <c r="N439" s="151"/>
      <c r="O439" s="69"/>
      <c r="P439" s="69"/>
      <c r="Q439" s="69"/>
      <c r="R439" s="69"/>
      <c r="S439" s="69"/>
      <c r="T439" s="69"/>
      <c r="U439" s="69"/>
      <c r="V439" s="69"/>
      <c r="W439" s="159"/>
      <c r="X439" s="102" t="n">
        <v>580</v>
      </c>
      <c r="Y439" s="124" t="n">
        <f aca="false">Y438+Y$16</f>
        <v>0.00167564749717714</v>
      </c>
      <c r="Z439" s="115" t="n">
        <f aca="false">(K-(L0-Y439*Ldif-alph*Y439^0.5))/R0</f>
        <v>0.841221892493476</v>
      </c>
      <c r="AA439" s="113" t="n">
        <f aca="false">IF(Z439&lt;1,X$14*((1-r_1)-Y$14*(1-r_1^2)+Z$14*(1-r_1^3)),0)</f>
        <v>441183.529908685</v>
      </c>
      <c r="AB439" s="97" t="n">
        <f aca="false">AB438+AB$15</f>
        <v>0.00167564749717714</v>
      </c>
      <c r="AC439" s="115" t="n">
        <f aca="false">(Kopt-(L0-AB439*Ldif-alph*AB439^0.5))/R0</f>
        <v>0.841221892493476</v>
      </c>
      <c r="AD439" s="113" t="n">
        <f aca="false">IF(AC439&lt;1,X$14*((1-ropt)-Y$14*(1-ropt^2)+Z$14*(1-ropt^3)),0)</f>
        <v>441183.529908685</v>
      </c>
    </row>
    <row r="440" customFormat="false" ht="12.75" hidden="false" customHeight="false" outlineLevel="0" collapsed="false">
      <c r="J440" s="67"/>
      <c r="K440" s="67"/>
      <c r="L440" s="151"/>
      <c r="M440" s="151"/>
      <c r="N440" s="151"/>
      <c r="O440" s="69"/>
      <c r="P440" s="69"/>
      <c r="Q440" s="69"/>
      <c r="R440" s="69"/>
      <c r="S440" s="69"/>
      <c r="T440" s="69"/>
      <c r="U440" s="69"/>
      <c r="V440" s="69"/>
      <c r="W440" s="159"/>
      <c r="X440" s="102" t="n">
        <v>579</v>
      </c>
      <c r="Y440" s="124" t="n">
        <f aca="false">Y439+Y$16</f>
        <v>0.00167963713407518</v>
      </c>
      <c r="Z440" s="115" t="n">
        <f aca="false">(K-(L0-Y440*Ldif-alph*Y440^0.5))/R0</f>
        <v>0.841569770645437</v>
      </c>
      <c r="AA440" s="113" t="n">
        <f aca="false">IF(Z440&lt;1,X$14*((1-r_1)-Y$14*(1-r_1^2)+Z$14*(1-r_1^3)),0)</f>
        <v>439252.407533438</v>
      </c>
      <c r="AB440" s="97" t="n">
        <f aca="false">AB439+AB$15</f>
        <v>0.00167963713407518</v>
      </c>
      <c r="AC440" s="115" t="n">
        <f aca="false">(Kopt-(L0-AB440*Ldif-alph*AB440^0.5))/R0</f>
        <v>0.841569770645437</v>
      </c>
      <c r="AD440" s="113" t="n">
        <f aca="false">IF(AC440&lt;1,X$14*((1-ropt)-Y$14*(1-ropt^2)+Z$14*(1-ropt^3)),0)</f>
        <v>439252.407533438</v>
      </c>
    </row>
    <row r="441" customFormat="false" ht="12.75" hidden="false" customHeight="false" outlineLevel="0" collapsed="false">
      <c r="J441" s="67"/>
      <c r="K441" s="67"/>
      <c r="L441" s="151"/>
      <c r="M441" s="151"/>
      <c r="N441" s="151"/>
      <c r="O441" s="69"/>
      <c r="P441" s="69"/>
      <c r="Q441" s="69"/>
      <c r="R441" s="69"/>
      <c r="S441" s="69"/>
      <c r="T441" s="69"/>
      <c r="U441" s="69"/>
      <c r="V441" s="69"/>
      <c r="W441" s="159"/>
      <c r="X441" s="102" t="n">
        <v>578</v>
      </c>
      <c r="Y441" s="124" t="n">
        <f aca="false">Y440+Y$16</f>
        <v>0.00168362677097322</v>
      </c>
      <c r="Z441" s="115" t="n">
        <f aca="false">(K-(L0-Y441*Ldif-alph*Y441^0.5))/R0</f>
        <v>0.841917235886562</v>
      </c>
      <c r="AA441" s="113" t="n">
        <f aca="false">IF(Z441&lt;1,X$14*((1-r_1)-Y$14*(1-r_1^2)+Z$14*(1-r_1^3)),0)</f>
        <v>437327.805420537</v>
      </c>
      <c r="AB441" s="97" t="n">
        <f aca="false">AB440+AB$15</f>
        <v>0.00168362677097322</v>
      </c>
      <c r="AC441" s="115" t="n">
        <f aca="false">(Kopt-(L0-AB441*Ldif-alph*AB441^0.5))/R0</f>
        <v>0.841917235886562</v>
      </c>
      <c r="AD441" s="113" t="n">
        <f aca="false">IF(AC441&lt;1,X$14*((1-ropt)-Y$14*(1-ropt^2)+Z$14*(1-ropt^3)),0)</f>
        <v>437327.805420537</v>
      </c>
    </row>
    <row r="442" customFormat="false" ht="12.75" hidden="false" customHeight="false" outlineLevel="0" collapsed="false">
      <c r="J442" s="67"/>
      <c r="K442" s="67"/>
      <c r="L442" s="151"/>
      <c r="M442" s="151"/>
      <c r="N442" s="151"/>
      <c r="O442" s="69"/>
      <c r="P442" s="69"/>
      <c r="Q442" s="69"/>
      <c r="R442" s="69"/>
      <c r="S442" s="69"/>
      <c r="T442" s="69"/>
      <c r="U442" s="69"/>
      <c r="V442" s="69"/>
      <c r="W442" s="159"/>
      <c r="X442" s="102" t="n">
        <v>577</v>
      </c>
      <c r="Y442" s="124" t="n">
        <f aca="false">Y441+Y$16</f>
        <v>0.00168761640787126</v>
      </c>
      <c r="Z442" s="115" t="n">
        <f aca="false">(K-(L0-Y442*Ldif-alph*Y442^0.5))/R0</f>
        <v>0.842264289683677</v>
      </c>
      <c r="AA442" s="113" t="n">
        <f aca="false">IF(Z442&lt;1,X$14*((1-r_1)-Y$14*(1-r_1^2)+Z$14*(1-r_1^3)),0)</f>
        <v>435409.700407414</v>
      </c>
      <c r="AB442" s="97" t="n">
        <f aca="false">AB441+AB$15</f>
        <v>0.00168761640787126</v>
      </c>
      <c r="AC442" s="115" t="n">
        <f aca="false">(Kopt-(L0-AB442*Ldif-alph*AB442^0.5))/R0</f>
        <v>0.842264289683677</v>
      </c>
      <c r="AD442" s="113" t="n">
        <f aca="false">IF(AC442&lt;1,X$14*((1-ropt)-Y$14*(1-ropt^2)+Z$14*(1-ropt^3)),0)</f>
        <v>435409.700407414</v>
      </c>
    </row>
    <row r="443" customFormat="false" ht="12.75" hidden="false" customHeight="false" outlineLevel="0" collapsed="false">
      <c r="J443" s="67"/>
      <c r="K443" s="67"/>
      <c r="L443" s="151"/>
      <c r="M443" s="151"/>
      <c r="N443" s="151"/>
      <c r="O443" s="69"/>
      <c r="P443" s="69"/>
      <c r="Q443" s="69"/>
      <c r="R443" s="69"/>
      <c r="S443" s="69"/>
      <c r="T443" s="69"/>
      <c r="U443" s="69"/>
      <c r="V443" s="69"/>
      <c r="W443" s="159"/>
      <c r="X443" s="102" t="n">
        <v>576</v>
      </c>
      <c r="Y443" s="124" t="n">
        <f aca="false">Y442+Y$16</f>
        <v>0.0016916060447693</v>
      </c>
      <c r="Z443" s="115" t="n">
        <f aca="false">(K-(L0-Y443*Ldif-alph*Y443^0.5))/R0</f>
        <v>0.842610933494943</v>
      </c>
      <c r="AA443" s="113" t="n">
        <f aca="false">IF(Z443&lt;1,X$14*((1-r_1)-Y$14*(1-r_1^2)+Z$14*(1-r_1^3)),0)</f>
        <v>433498.069468331</v>
      </c>
      <c r="AB443" s="97" t="n">
        <f aca="false">AB442+AB$15</f>
        <v>0.0016916060447693</v>
      </c>
      <c r="AC443" s="115" t="n">
        <f aca="false">(Kopt-(L0-AB443*Ldif-alph*AB443^0.5))/R0</f>
        <v>0.842610933494943</v>
      </c>
      <c r="AD443" s="113" t="n">
        <f aca="false">IF(AC443&lt;1,X$14*((1-ropt)-Y$14*(1-ropt^2)+Z$14*(1-ropt^3)),0)</f>
        <v>433498.069468331</v>
      </c>
    </row>
    <row r="444" customFormat="false" ht="12.75" hidden="false" customHeight="false" outlineLevel="0" collapsed="false">
      <c r="J444" s="67"/>
      <c r="K444" s="67"/>
      <c r="L444" s="151"/>
      <c r="M444" s="151"/>
      <c r="N444" s="151"/>
      <c r="O444" s="69"/>
      <c r="P444" s="69"/>
      <c r="Q444" s="69"/>
      <c r="R444" s="69"/>
      <c r="S444" s="69"/>
      <c r="T444" s="69"/>
      <c r="U444" s="69"/>
      <c r="V444" s="69"/>
      <c r="W444" s="159"/>
      <c r="X444" s="102" t="n">
        <v>575</v>
      </c>
      <c r="Y444" s="124" t="n">
        <f aca="false">Y443+Y$16</f>
        <v>0.00169559568166734</v>
      </c>
      <c r="Z444" s="115" t="n">
        <f aca="false">(K-(L0-Y444*Ldif-alph*Y444^0.5))/R0</f>
        <v>0.842957168769931</v>
      </c>
      <c r="AA444" s="113" t="n">
        <f aca="false">IF(Z444&lt;1,X$14*((1-r_1)-Y$14*(1-r_1^2)+Z$14*(1-r_1^3)),0)</f>
        <v>431592.889713229</v>
      </c>
      <c r="AB444" s="97" t="n">
        <f aca="false">AB443+AB$15</f>
        <v>0.00169559568166734</v>
      </c>
      <c r="AC444" s="115" t="n">
        <f aca="false">(Kopt-(L0-AB444*Ldif-alph*AB444^0.5))/R0</f>
        <v>0.842957168769931</v>
      </c>
      <c r="AD444" s="113" t="n">
        <f aca="false">IF(AC444&lt;1,X$14*((1-ropt)-Y$14*(1-ropt^2)+Z$14*(1-ropt^3)),0)</f>
        <v>431592.889713229</v>
      </c>
    </row>
    <row r="445" customFormat="false" ht="12.75" hidden="false" customHeight="false" outlineLevel="0" collapsed="false">
      <c r="J445" s="67"/>
      <c r="K445" s="67"/>
      <c r="L445" s="151"/>
      <c r="M445" s="151"/>
      <c r="N445" s="151"/>
      <c r="O445" s="69"/>
      <c r="P445" s="69"/>
      <c r="Q445" s="69"/>
      <c r="R445" s="69"/>
      <c r="S445" s="69"/>
      <c r="T445" s="69"/>
      <c r="U445" s="69"/>
      <c r="V445" s="69"/>
      <c r="W445" s="159"/>
      <c r="X445" s="102" t="n">
        <v>574</v>
      </c>
      <c r="Y445" s="124" t="n">
        <f aca="false">Y444+Y$16</f>
        <v>0.00169958531856538</v>
      </c>
      <c r="Z445" s="115" t="n">
        <f aca="false">(K-(L0-Y445*Ldif-alph*Y445^0.5))/R0</f>
        <v>0.843302996949688</v>
      </c>
      <c r="AA445" s="113" t="n">
        <f aca="false">IF(Z445&lt;1,X$14*((1-r_1)-Y$14*(1-r_1^2)+Z$14*(1-r_1^3)),0)</f>
        <v>429694.138386618</v>
      </c>
      <c r="AB445" s="97" t="n">
        <f aca="false">AB444+AB$15</f>
        <v>0.00169958531856538</v>
      </c>
      <c r="AC445" s="115" t="n">
        <f aca="false">(Kopt-(L0-AB445*Ldif-alph*AB445^0.5))/R0</f>
        <v>0.843302996949688</v>
      </c>
      <c r="AD445" s="113" t="n">
        <f aca="false">IF(AC445&lt;1,X$14*((1-ropt)-Y$14*(1-ropt^2)+Z$14*(1-ropt^3)),0)</f>
        <v>429694.138386618</v>
      </c>
    </row>
    <row r="446" customFormat="false" ht="12.75" hidden="false" customHeight="false" outlineLevel="0" collapsed="false">
      <c r="J446" s="67"/>
      <c r="K446" s="67"/>
      <c r="L446" s="151"/>
      <c r="M446" s="151"/>
      <c r="N446" s="151"/>
      <c r="O446" s="69"/>
      <c r="P446" s="69"/>
      <c r="Q446" s="69"/>
      <c r="R446" s="69"/>
      <c r="S446" s="69"/>
      <c r="T446" s="69"/>
      <c r="U446" s="69"/>
      <c r="V446" s="69"/>
      <c r="W446" s="159"/>
      <c r="X446" s="102" t="n">
        <v>573</v>
      </c>
      <c r="Y446" s="124" t="n">
        <f aca="false">Y445+Y$16</f>
        <v>0.00170357495546342</v>
      </c>
      <c r="Z446" s="115" t="n">
        <f aca="false">(K-(L0-Y446*Ldif-alph*Y446^0.5))/R0</f>
        <v>0.843648419466805</v>
      </c>
      <c r="AA446" s="113" t="n">
        <f aca="false">IF(Z446&lt;1,X$14*((1-r_1)-Y$14*(1-r_1^2)+Z$14*(1-r_1^3)),0)</f>
        <v>427801.792866493</v>
      </c>
      <c r="AB446" s="97" t="n">
        <f aca="false">AB445+AB$15</f>
        <v>0.00170357495546342</v>
      </c>
      <c r="AC446" s="115" t="n">
        <f aca="false">(Kopt-(L0-AB446*Ldif-alph*AB446^0.5))/R0</f>
        <v>0.843648419466805</v>
      </c>
      <c r="AD446" s="113" t="n">
        <f aca="false">IF(AC446&lt;1,X$14*((1-ropt)-Y$14*(1-ropt^2)+Z$14*(1-ropt^3)),0)</f>
        <v>427801.792866493</v>
      </c>
    </row>
    <row r="447" customFormat="false" ht="12.75" hidden="false" customHeight="false" outlineLevel="0" collapsed="false">
      <c r="J447" s="67"/>
      <c r="K447" s="67"/>
      <c r="L447" s="151"/>
      <c r="M447" s="151"/>
      <c r="N447" s="151"/>
      <c r="O447" s="69"/>
      <c r="P447" s="69"/>
      <c r="Q447" s="69"/>
      <c r="R447" s="69"/>
      <c r="S447" s="69"/>
      <c r="T447" s="69"/>
      <c r="U447" s="69"/>
      <c r="V447" s="69"/>
      <c r="W447" s="159"/>
      <c r="X447" s="102" t="n">
        <v>572</v>
      </c>
      <c r="Y447" s="124" t="n">
        <f aca="false">Y446+Y$16</f>
        <v>0.00170756459236146</v>
      </c>
      <c r="Z447" s="115" t="n">
        <f aca="false">(K-(L0-Y447*Ldif-alph*Y447^0.5))/R0</f>
        <v>0.843993437745504</v>
      </c>
      <c r="AA447" s="113" t="n">
        <f aca="false">IF(Z447&lt;1,X$14*((1-r_1)-Y$14*(1-r_1^2)+Z$14*(1-r_1^3)),0)</f>
        <v>425915.830663152</v>
      </c>
      <c r="AB447" s="97" t="n">
        <f aca="false">AB446+AB$15</f>
        <v>0.00170756459236146</v>
      </c>
      <c r="AC447" s="115" t="n">
        <f aca="false">(Kopt-(L0-AB447*Ldif-alph*AB447^0.5))/R0</f>
        <v>0.843993437745504</v>
      </c>
      <c r="AD447" s="113" t="n">
        <f aca="false">IF(AC447&lt;1,X$14*((1-ropt)-Y$14*(1-ropt^2)+Z$14*(1-ropt^3)),0)</f>
        <v>425915.830663152</v>
      </c>
    </row>
    <row r="448" customFormat="false" ht="12.75" hidden="false" customHeight="false" outlineLevel="0" collapsed="false">
      <c r="J448" s="67"/>
      <c r="K448" s="67"/>
      <c r="L448" s="151"/>
      <c r="M448" s="151"/>
      <c r="N448" s="151"/>
      <c r="O448" s="69"/>
      <c r="P448" s="69"/>
      <c r="Q448" s="69"/>
      <c r="R448" s="69"/>
      <c r="S448" s="69"/>
      <c r="T448" s="69"/>
      <c r="U448" s="69"/>
      <c r="V448" s="69"/>
      <c r="W448" s="159"/>
      <c r="X448" s="102" t="n">
        <v>571</v>
      </c>
      <c r="Y448" s="124" t="n">
        <f aca="false">Y447+Y$16</f>
        <v>0.0017115542292595</v>
      </c>
      <c r="Z448" s="115" t="n">
        <f aca="false">(K-(L0-Y448*Ldif-alph*Y448^0.5))/R0</f>
        <v>0.844338053201676</v>
      </c>
      <c r="AA448" s="113" t="n">
        <f aca="false">IF(Z448&lt;1,X$14*((1-r_1)-Y$14*(1-r_1^2)+Z$14*(1-r_1^3)),0)</f>
        <v>424036.229418273</v>
      </c>
      <c r="AB448" s="97" t="n">
        <f aca="false">AB447+AB$15</f>
        <v>0.0017115542292595</v>
      </c>
      <c r="AC448" s="115" t="n">
        <f aca="false">(Kopt-(L0-AB448*Ldif-alph*AB448^0.5))/R0</f>
        <v>0.844338053201676</v>
      </c>
      <c r="AD448" s="113" t="n">
        <f aca="false">IF(AC448&lt;1,X$14*((1-ropt)-Y$14*(1-ropt^2)+Z$14*(1-ropt^3)),0)</f>
        <v>424036.229418273</v>
      </c>
    </row>
    <row r="449" customFormat="false" ht="12.75" hidden="false" customHeight="false" outlineLevel="0" collapsed="false">
      <c r="J449" s="67"/>
      <c r="K449" s="67"/>
      <c r="L449" s="151"/>
      <c r="M449" s="151"/>
      <c r="N449" s="151"/>
      <c r="O449" s="69"/>
      <c r="P449" s="69"/>
      <c r="Q449" s="69"/>
      <c r="R449" s="69"/>
      <c r="S449" s="69"/>
      <c r="T449" s="69"/>
      <c r="U449" s="69"/>
      <c r="V449" s="69"/>
      <c r="W449" s="159"/>
      <c r="X449" s="102" t="n">
        <v>570</v>
      </c>
      <c r="Y449" s="124" t="n">
        <f aca="false">Y448+Y$16</f>
        <v>0.00171554386615754</v>
      </c>
      <c r="Z449" s="115" t="n">
        <f aca="false">(K-(L0-Y449*Ldif-alph*Y449^0.5))/R0</f>
        <v>0.844682267242978</v>
      </c>
      <c r="AA449" s="113" t="n">
        <f aca="false">IF(Z449&lt;1,X$14*((1-r_1)-Y$14*(1-r_1^2)+Z$14*(1-r_1^3)),0)</f>
        <v>422162.96690368</v>
      </c>
      <c r="AB449" s="97" t="n">
        <f aca="false">AB448+AB$15</f>
        <v>0.00171554386615754</v>
      </c>
      <c r="AC449" s="115" t="n">
        <f aca="false">(Kopt-(L0-AB449*Ldif-alph*AB449^0.5))/R0</f>
        <v>0.844682267242978</v>
      </c>
      <c r="AD449" s="113" t="n">
        <f aca="false">IF(AC449&lt;1,X$14*((1-ropt)-Y$14*(1-ropt^2)+Z$14*(1-ropt^3)),0)</f>
        <v>422162.96690368</v>
      </c>
    </row>
    <row r="450" customFormat="false" ht="12.75" hidden="false" customHeight="false" outlineLevel="0" collapsed="false">
      <c r="J450" s="67"/>
      <c r="K450" s="67"/>
      <c r="L450" s="151"/>
      <c r="M450" s="151"/>
      <c r="N450" s="151"/>
      <c r="O450" s="69"/>
      <c r="P450" s="69"/>
      <c r="Q450" s="69"/>
      <c r="R450" s="69"/>
      <c r="S450" s="69"/>
      <c r="T450" s="69"/>
      <c r="U450" s="69"/>
      <c r="V450" s="69"/>
      <c r="W450" s="159"/>
      <c r="X450" s="102" t="n">
        <v>569</v>
      </c>
      <c r="Y450" s="124" t="n">
        <f aca="false">Y449+Y$16</f>
        <v>0.00171953350305558</v>
      </c>
      <c r="Z450" s="115" t="n">
        <f aca="false">(K-(L0-Y450*Ldif-alph*Y450^0.5))/R0</f>
        <v>0.845026081268881</v>
      </c>
      <c r="AA450" s="113" t="n">
        <f aca="false">IF(Z450&lt;1,X$14*((1-r_1)-Y$14*(1-r_1^2)+Z$14*(1-r_1^3)),0)</f>
        <v>420296.021020389</v>
      </c>
      <c r="AB450" s="97" t="n">
        <f aca="false">AB449+AB$15</f>
        <v>0.00171953350305558</v>
      </c>
      <c r="AC450" s="115" t="n">
        <f aca="false">(Kopt-(L0-AB450*Ldif-alph*AB450^0.5))/R0</f>
        <v>0.845026081268881</v>
      </c>
      <c r="AD450" s="113" t="n">
        <f aca="false">IF(AC450&lt;1,X$14*((1-ropt)-Y$14*(1-ropt^2)+Z$14*(1-ropt^3)),0)</f>
        <v>420296.021020389</v>
      </c>
    </row>
    <row r="451" customFormat="false" ht="12.75" hidden="false" customHeight="false" outlineLevel="0" collapsed="false">
      <c r="J451" s="67"/>
      <c r="K451" s="67"/>
      <c r="L451" s="151"/>
      <c r="M451" s="151"/>
      <c r="N451" s="151"/>
      <c r="O451" s="69"/>
      <c r="P451" s="69"/>
      <c r="Q451" s="69"/>
      <c r="R451" s="69"/>
      <c r="S451" s="69"/>
      <c r="T451" s="69"/>
      <c r="U451" s="69"/>
      <c r="V451" s="69"/>
      <c r="W451" s="159"/>
      <c r="X451" s="102" t="n">
        <v>568</v>
      </c>
      <c r="Y451" s="124" t="n">
        <f aca="false">Y450+Y$16</f>
        <v>0.00172352313995363</v>
      </c>
      <c r="Z451" s="115" t="n">
        <f aca="false">(K-(L0-Y451*Ldif-alph*Y451^0.5))/R0</f>
        <v>0.845369496670747</v>
      </c>
      <c r="AA451" s="113" t="n">
        <f aca="false">IF(Z451&lt;1,X$14*((1-r_1)-Y$14*(1-r_1^2)+Z$14*(1-r_1^3)),0)</f>
        <v>418435.369797518</v>
      </c>
      <c r="AB451" s="97" t="n">
        <f aca="false">AB450+AB$15</f>
        <v>0.00172352313995363</v>
      </c>
      <c r="AC451" s="115" t="n">
        <f aca="false">(Kopt-(L0-AB451*Ldif-alph*AB451^0.5))/R0</f>
        <v>0.845369496670747</v>
      </c>
      <c r="AD451" s="113" t="n">
        <f aca="false">IF(AC451&lt;1,X$14*((1-ropt)-Y$14*(1-ropt^2)+Z$14*(1-ropt^3)),0)</f>
        <v>418435.369797518</v>
      </c>
    </row>
    <row r="452" customFormat="false" ht="12.75" hidden="false" customHeight="false" outlineLevel="0" collapsed="false">
      <c r="J452" s="67"/>
      <c r="K452" s="67"/>
      <c r="L452" s="151"/>
      <c r="M452" s="151"/>
      <c r="N452" s="151"/>
      <c r="O452" s="69"/>
      <c r="P452" s="69"/>
      <c r="Q452" s="69"/>
      <c r="R452" s="69"/>
      <c r="S452" s="69"/>
      <c r="T452" s="69"/>
      <c r="U452" s="69"/>
      <c r="V452" s="69"/>
      <c r="W452" s="159"/>
      <c r="X452" s="102" t="n">
        <v>567</v>
      </c>
      <c r="Y452" s="124" t="n">
        <f aca="false">Y451+Y$16</f>
        <v>0.00172751277685167</v>
      </c>
      <c r="Z452" s="115" t="n">
        <f aca="false">(K-(L0-Y452*Ldif-alph*Y452^0.5))/R0</f>
        <v>0.845712514831886</v>
      </c>
      <c r="AA452" s="113" t="n">
        <f aca="false">IF(Z452&lt;1,X$14*((1-r_1)-Y$14*(1-r_1^2)+Z$14*(1-r_1^3)),0)</f>
        <v>416580.991391268</v>
      </c>
      <c r="AB452" s="97" t="n">
        <f aca="false">AB451+AB$15</f>
        <v>0.00172751277685167</v>
      </c>
      <c r="AC452" s="115" t="n">
        <f aca="false">(Kopt-(L0-AB452*Ldif-alph*AB452^0.5))/R0</f>
        <v>0.845712514831886</v>
      </c>
      <c r="AD452" s="113" t="n">
        <f aca="false">IF(AC452&lt;1,X$14*((1-ropt)-Y$14*(1-ropt^2)+Z$14*(1-ropt^3)),0)</f>
        <v>416580.991391268</v>
      </c>
    </row>
    <row r="453" customFormat="false" ht="12.75" hidden="false" customHeight="false" outlineLevel="0" collapsed="false">
      <c r="J453" s="67"/>
      <c r="K453" s="67"/>
      <c r="L453" s="151"/>
      <c r="M453" s="151"/>
      <c r="N453" s="151"/>
      <c r="O453" s="69"/>
      <c r="P453" s="69"/>
      <c r="Q453" s="69"/>
      <c r="R453" s="69"/>
      <c r="S453" s="69"/>
      <c r="T453" s="69"/>
      <c r="U453" s="69"/>
      <c r="V453" s="69"/>
      <c r="W453" s="159"/>
      <c r="X453" s="102" t="n">
        <v>566</v>
      </c>
      <c r="Y453" s="124" t="n">
        <f aca="false">Y452+Y$16</f>
        <v>0.00173150241374971</v>
      </c>
      <c r="Z453" s="115" t="n">
        <f aca="false">(K-(L0-Y453*Ldif-alph*Y453^0.5))/R0</f>
        <v>0.846055137127634</v>
      </c>
      <c r="AA453" s="113" t="n">
        <f aca="false">IF(Z453&lt;1,X$14*((1-r_1)-Y$14*(1-r_1^2)+Z$14*(1-r_1^3)),0)</f>
        <v>414732.864083855</v>
      </c>
      <c r="AB453" s="97" t="n">
        <f aca="false">AB452+AB$15</f>
        <v>0.00173150241374971</v>
      </c>
      <c r="AC453" s="115" t="n">
        <f aca="false">(Kopt-(L0-AB453*Ldif-alph*AB453^0.5))/R0</f>
        <v>0.846055137127634</v>
      </c>
      <c r="AD453" s="113" t="n">
        <f aca="false">IF(AC453&lt;1,X$14*((1-ropt)-Y$14*(1-ropt^2)+Z$14*(1-ropt^3)),0)</f>
        <v>414732.864083855</v>
      </c>
    </row>
    <row r="454" customFormat="false" ht="12.75" hidden="false" customHeight="false" outlineLevel="0" collapsed="false">
      <c r="J454" s="67"/>
      <c r="K454" s="67"/>
      <c r="L454" s="151"/>
      <c r="M454" s="151"/>
      <c r="N454" s="151"/>
      <c r="O454" s="69"/>
      <c r="P454" s="69"/>
      <c r="Q454" s="69"/>
      <c r="R454" s="69"/>
      <c r="S454" s="69"/>
      <c r="T454" s="69"/>
      <c r="U454" s="69"/>
      <c r="V454" s="69"/>
      <c r="W454" s="159"/>
      <c r="X454" s="102" t="n">
        <v>565</v>
      </c>
      <c r="Y454" s="124" t="n">
        <f aca="false">Y453+Y$16</f>
        <v>0.00173549205064775</v>
      </c>
      <c r="Z454" s="115" t="n">
        <f aca="false">(K-(L0-Y454*Ldif-alph*Y454^0.5))/R0</f>
        <v>0.846397364925398</v>
      </c>
      <c r="AA454" s="113" t="n">
        <f aca="false">IF(Z454&lt;1,X$14*((1-r_1)-Y$14*(1-r_1^2)+Z$14*(1-r_1^3)),0)</f>
        <v>412890.966282575</v>
      </c>
      <c r="AB454" s="97" t="n">
        <f aca="false">AB453+AB$15</f>
        <v>0.00173549205064775</v>
      </c>
      <c r="AC454" s="115" t="n">
        <f aca="false">(Kopt-(L0-AB454*Ldif-alph*AB454^0.5))/R0</f>
        <v>0.846397364925398</v>
      </c>
      <c r="AD454" s="113" t="n">
        <f aca="false">IF(AC454&lt;1,X$14*((1-ropt)-Y$14*(1-ropt^2)+Z$14*(1-ropt^3)),0)</f>
        <v>412890.966282575</v>
      </c>
    </row>
    <row r="455" customFormat="false" ht="12.75" hidden="false" customHeight="false" outlineLevel="0" collapsed="false">
      <c r="J455" s="67"/>
      <c r="K455" s="67"/>
      <c r="L455" s="151"/>
      <c r="M455" s="151"/>
      <c r="N455" s="151"/>
      <c r="O455" s="69"/>
      <c r="P455" s="69"/>
      <c r="Q455" s="69"/>
      <c r="R455" s="69"/>
      <c r="S455" s="69"/>
      <c r="T455" s="69"/>
      <c r="U455" s="69"/>
      <c r="V455" s="69"/>
      <c r="W455" s="159"/>
      <c r="X455" s="102" t="n">
        <v>564</v>
      </c>
      <c r="Y455" s="124" t="n">
        <f aca="false">Y454+Y$16</f>
        <v>0.00173948168754579</v>
      </c>
      <c r="Z455" s="115" t="n">
        <f aca="false">(K-(L0-Y455*Ldif-alph*Y455^0.5))/R0</f>
        <v>0.846739199584741</v>
      </c>
      <c r="AA455" s="113" t="n">
        <f aca="false">IF(Z455&lt;1,X$14*((1-r_1)-Y$14*(1-r_1^2)+Z$14*(1-r_1^3)),0)</f>
        <v>411055.276518703</v>
      </c>
      <c r="AB455" s="97" t="n">
        <f aca="false">AB454+AB$15</f>
        <v>0.00173948168754579</v>
      </c>
      <c r="AC455" s="115" t="n">
        <f aca="false">(Kopt-(L0-AB455*Ldif-alph*AB455^0.5))/R0</f>
        <v>0.846739199584741</v>
      </c>
      <c r="AD455" s="113" t="n">
        <f aca="false">IF(AC455&lt;1,X$14*((1-ropt)-Y$14*(1-ropt^2)+Z$14*(1-ropt^3)),0)</f>
        <v>411055.276518703</v>
      </c>
    </row>
    <row r="456" customFormat="false" ht="12.75" hidden="false" customHeight="false" outlineLevel="0" collapsed="false">
      <c r="J456" s="67"/>
      <c r="K456" s="67"/>
      <c r="L456" s="151"/>
      <c r="M456" s="151"/>
      <c r="N456" s="151"/>
      <c r="O456" s="69"/>
      <c r="P456" s="69"/>
      <c r="Q456" s="69"/>
      <c r="R456" s="69"/>
      <c r="S456" s="69"/>
      <c r="T456" s="69"/>
      <c r="U456" s="69"/>
      <c r="V456" s="69"/>
      <c r="W456" s="159"/>
      <c r="X456" s="102" t="n">
        <v>563</v>
      </c>
      <c r="Y456" s="124" t="n">
        <f aca="false">Y455+Y$16</f>
        <v>0.00174347132444383</v>
      </c>
      <c r="Z456" s="115" t="n">
        <f aca="false">(K-(L0-Y456*Ldif-alph*Y456^0.5))/R0</f>
        <v>0.847080642457428</v>
      </c>
      <c r="AA456" s="113" t="n">
        <f aca="false">IF(Z456&lt;1,X$14*((1-r_1)-Y$14*(1-r_1^2)+Z$14*(1-r_1^3)),0)</f>
        <v>409225.773446579</v>
      </c>
      <c r="AB456" s="97" t="n">
        <f aca="false">AB455+AB$15</f>
        <v>0.00174347132444383</v>
      </c>
      <c r="AC456" s="115" t="n">
        <f aca="false">(Kopt-(L0-AB456*Ldif-alph*AB456^0.5))/R0</f>
        <v>0.847080642457428</v>
      </c>
      <c r="AD456" s="113" t="n">
        <f aca="false">IF(AC456&lt;1,X$14*((1-ropt)-Y$14*(1-ropt^2)+Z$14*(1-ropt^3)),0)</f>
        <v>409225.773446579</v>
      </c>
    </row>
    <row r="457" customFormat="false" ht="12.75" hidden="false" customHeight="false" outlineLevel="0" collapsed="false">
      <c r="J457" s="67"/>
      <c r="K457" s="67"/>
      <c r="L457" s="151"/>
      <c r="M457" s="151"/>
      <c r="N457" s="151"/>
      <c r="O457" s="69"/>
      <c r="P457" s="69"/>
      <c r="Q457" s="69"/>
      <c r="R457" s="69"/>
      <c r="S457" s="69"/>
      <c r="T457" s="69"/>
      <c r="U457" s="69"/>
      <c r="V457" s="69"/>
      <c r="W457" s="159"/>
      <c r="X457" s="102" t="n">
        <v>562</v>
      </c>
      <c r="Y457" s="124" t="n">
        <f aca="false">Y456+Y$16</f>
        <v>0.00174746096134187</v>
      </c>
      <c r="Z457" s="115" t="n">
        <f aca="false">(K-(L0-Y457*Ldif-alph*Y457^0.5))/R0</f>
        <v>0.8474216948875</v>
      </c>
      <c r="AA457" s="113" t="n">
        <f aca="false">IF(Z457&lt;1,X$14*((1-r_1)-Y$14*(1-r_1^2)+Z$14*(1-r_1^3)),0)</f>
        <v>407402.435842553</v>
      </c>
      <c r="AB457" s="97" t="n">
        <f aca="false">AB456+AB$15</f>
        <v>0.00174746096134187</v>
      </c>
      <c r="AC457" s="115" t="n">
        <f aca="false">(Kopt-(L0-AB457*Ldif-alph*AB457^0.5))/R0</f>
        <v>0.8474216948875</v>
      </c>
      <c r="AD457" s="113" t="n">
        <f aca="false">IF(AC457&lt;1,X$14*((1-ropt)-Y$14*(1-ropt^2)+Z$14*(1-ropt^3)),0)</f>
        <v>407402.435842553</v>
      </c>
    </row>
    <row r="458" customFormat="false" ht="12.75" hidden="false" customHeight="false" outlineLevel="0" collapsed="false">
      <c r="J458" s="67"/>
      <c r="K458" s="67"/>
      <c r="L458" s="151"/>
      <c r="M458" s="151"/>
      <c r="N458" s="151"/>
      <c r="O458" s="69"/>
      <c r="P458" s="69"/>
      <c r="Q458" s="69"/>
      <c r="R458" s="69"/>
      <c r="S458" s="69"/>
      <c r="T458" s="69"/>
      <c r="U458" s="69"/>
      <c r="V458" s="69"/>
      <c r="W458" s="159"/>
      <c r="X458" s="102" t="n">
        <v>561</v>
      </c>
      <c r="Y458" s="124" t="n">
        <f aca="false">Y457+Y$16</f>
        <v>0.00175145059823991</v>
      </c>
      <c r="Z458" s="115" t="n">
        <f aca="false">(K-(L0-Y458*Ldif-alph*Y458^0.5))/R0</f>
        <v>0.847762358211326</v>
      </c>
      <c r="AA458" s="113" t="n">
        <f aca="false">IF(Z458&lt;1,X$14*((1-r_1)-Y$14*(1-r_1^2)+Z$14*(1-r_1^3)),0)</f>
        <v>405585.242604092</v>
      </c>
      <c r="AB458" s="97" t="n">
        <f aca="false">AB457+AB$15</f>
        <v>0.00175145059823991</v>
      </c>
      <c r="AC458" s="115" t="n">
        <f aca="false">(Kopt-(L0-AB458*Ldif-alph*AB458^0.5))/R0</f>
        <v>0.847762358211326</v>
      </c>
      <c r="AD458" s="113" t="n">
        <f aca="false">IF(AC458&lt;1,X$14*((1-ropt)-Y$14*(1-ropt^2)+Z$14*(1-ropt^3)),0)</f>
        <v>405585.242604092</v>
      </c>
    </row>
    <row r="459" customFormat="false" ht="12.75" hidden="false" customHeight="false" outlineLevel="0" collapsed="false">
      <c r="J459" s="67"/>
      <c r="K459" s="67"/>
      <c r="L459" s="151"/>
      <c r="M459" s="151"/>
      <c r="N459" s="151"/>
      <c r="O459" s="69"/>
      <c r="P459" s="69"/>
      <c r="Q459" s="69"/>
      <c r="R459" s="69"/>
      <c r="S459" s="69"/>
      <c r="T459" s="69"/>
      <c r="U459" s="69"/>
      <c r="V459" s="69"/>
      <c r="W459" s="159"/>
      <c r="X459" s="102" t="n">
        <v>560</v>
      </c>
      <c r="Y459" s="124" t="n">
        <f aca="false">Y458+Y$16</f>
        <v>0.00175544023513795</v>
      </c>
      <c r="Z459" s="115" t="n">
        <f aca="false">(K-(L0-Y459*Ldif-alph*Y459^0.5))/R0</f>
        <v>0.848102633757675</v>
      </c>
      <c r="AA459" s="113" t="n">
        <f aca="false">IF(Z459&lt;1,X$14*((1-r_1)-Y$14*(1-r_1^2)+Z$14*(1-r_1^3)),0)</f>
        <v>403774.172748716</v>
      </c>
      <c r="AB459" s="97" t="n">
        <f aca="false">AB458+AB$15</f>
        <v>0.00175544023513795</v>
      </c>
      <c r="AC459" s="115" t="n">
        <f aca="false">(Kopt-(L0-AB459*Ldif-alph*AB459^0.5))/R0</f>
        <v>0.848102633757675</v>
      </c>
      <c r="AD459" s="113" t="n">
        <f aca="false">IF(AC459&lt;1,X$14*((1-ropt)-Y$14*(1-ropt^2)+Z$14*(1-ropt^3)),0)</f>
        <v>403774.172748716</v>
      </c>
    </row>
    <row r="460" customFormat="false" ht="12.75" hidden="false" customHeight="false" outlineLevel="0" collapsed="false">
      <c r="J460" s="67"/>
      <c r="K460" s="67"/>
      <c r="L460" s="151"/>
      <c r="M460" s="151"/>
      <c r="N460" s="151"/>
      <c r="O460" s="69"/>
      <c r="P460" s="69"/>
      <c r="Q460" s="69"/>
      <c r="R460" s="69"/>
      <c r="S460" s="69"/>
      <c r="T460" s="69"/>
      <c r="U460" s="69"/>
      <c r="V460" s="69"/>
      <c r="W460" s="159"/>
      <c r="X460" s="102" t="n">
        <v>559</v>
      </c>
      <c r="Y460" s="124" t="n">
        <f aca="false">Y459+Y$16</f>
        <v>0.00175942987203599</v>
      </c>
      <c r="Z460" s="115" t="n">
        <f aca="false">(K-(L0-Y460*Ldif-alph*Y460^0.5))/R0</f>
        <v>0.848442522847763</v>
      </c>
      <c r="AA460" s="113" t="n">
        <f aca="false">IF(Z460&lt;1,X$14*((1-r_1)-Y$14*(1-r_1^2)+Z$14*(1-r_1^3)),0)</f>
        <v>401969.205413141</v>
      </c>
      <c r="AB460" s="97" t="n">
        <f aca="false">AB459+AB$15</f>
        <v>0.00175942987203599</v>
      </c>
      <c r="AC460" s="115" t="n">
        <f aca="false">(Kopt-(L0-AB460*Ldif-alph*AB460^0.5))/R0</f>
        <v>0.848442522847763</v>
      </c>
      <c r="AD460" s="113" t="n">
        <f aca="false">IF(AC460&lt;1,X$14*((1-ropt)-Y$14*(1-ropt^2)+Z$14*(1-ropt^3)),0)</f>
        <v>401969.205413141</v>
      </c>
    </row>
    <row r="461" customFormat="false" ht="12.75" hidden="false" customHeight="false" outlineLevel="0" collapsed="false">
      <c r="J461" s="67"/>
      <c r="K461" s="67"/>
      <c r="L461" s="151"/>
      <c r="M461" s="151"/>
      <c r="N461" s="151"/>
      <c r="O461" s="69"/>
      <c r="P461" s="69"/>
      <c r="Q461" s="69"/>
      <c r="R461" s="69"/>
      <c r="S461" s="69"/>
      <c r="T461" s="69"/>
      <c r="U461" s="69"/>
      <c r="V461" s="69"/>
      <c r="W461" s="159"/>
      <c r="X461" s="102" t="n">
        <v>558</v>
      </c>
      <c r="Y461" s="124" t="n">
        <f aca="false">Y460+Y$16</f>
        <v>0.00176341950893403</v>
      </c>
      <c r="Z461" s="115" t="n">
        <f aca="false">(K-(L0-Y461*Ldif-alph*Y461^0.5))/R0</f>
        <v>0.848782026795329</v>
      </c>
      <c r="AA461" s="113" t="n">
        <f aca="false">IF(Z461&lt;1,X$14*((1-r_1)-Y$14*(1-r_1^2)+Z$14*(1-r_1^3)),0)</f>
        <v>400170.31985225</v>
      </c>
      <c r="AB461" s="97" t="n">
        <f aca="false">AB460+AB$15</f>
        <v>0.00176341950893403</v>
      </c>
      <c r="AC461" s="115" t="n">
        <f aca="false">(Kopt-(L0-AB461*Ldif-alph*AB461^0.5))/R0</f>
        <v>0.848782026795329</v>
      </c>
      <c r="AD461" s="113" t="n">
        <f aca="false">IF(AC461&lt;1,X$14*((1-ropt)-Y$14*(1-ropt^2)+Z$14*(1-ropt^3)),0)</f>
        <v>400170.31985225</v>
      </c>
    </row>
    <row r="462" customFormat="false" ht="12.75" hidden="false" customHeight="false" outlineLevel="0" collapsed="false">
      <c r="J462" s="67"/>
      <c r="K462" s="67"/>
      <c r="L462" s="151"/>
      <c r="M462" s="151"/>
      <c r="N462" s="151"/>
      <c r="O462" s="69"/>
      <c r="P462" s="69"/>
      <c r="Q462" s="69"/>
      <c r="R462" s="69"/>
      <c r="S462" s="69"/>
      <c r="T462" s="69"/>
      <c r="U462" s="69"/>
      <c r="V462" s="69"/>
      <c r="W462" s="159"/>
      <c r="X462" s="102" t="n">
        <v>557</v>
      </c>
      <c r="Y462" s="124" t="n">
        <f aca="false">Y461+Y$16</f>
        <v>0.00176740914583207</v>
      </c>
      <c r="Z462" s="115" t="n">
        <f aca="false">(K-(L0-Y462*Ldif-alph*Y462^0.5))/R0</f>
        <v>0.849121146906677</v>
      </c>
      <c r="AA462" s="113" t="n">
        <f aca="false">IF(Z462&lt;1,X$14*((1-r_1)-Y$14*(1-r_1^2)+Z$14*(1-r_1^3)),0)</f>
        <v>398377.495438241</v>
      </c>
      <c r="AB462" s="97" t="n">
        <f aca="false">AB461+AB$15</f>
        <v>0.00176740914583207</v>
      </c>
      <c r="AC462" s="115" t="n">
        <f aca="false">(Kopt-(L0-AB462*Ldif-alph*AB462^0.5))/R0</f>
        <v>0.849121146906677</v>
      </c>
      <c r="AD462" s="113" t="n">
        <f aca="false">IF(AC462&lt;1,X$14*((1-ropt)-Y$14*(1-ropt^2)+Z$14*(1-ropt^3)),0)</f>
        <v>398377.495438241</v>
      </c>
    </row>
    <row r="463" customFormat="false" ht="12.75" hidden="false" customHeight="false" outlineLevel="0" collapsed="false">
      <c r="J463" s="67"/>
      <c r="K463" s="67"/>
      <c r="L463" s="151"/>
      <c r="M463" s="151"/>
      <c r="N463" s="151"/>
      <c r="O463" s="69"/>
      <c r="P463" s="69"/>
      <c r="Q463" s="69"/>
      <c r="R463" s="69"/>
      <c r="S463" s="69"/>
      <c r="T463" s="69"/>
      <c r="U463" s="69"/>
      <c r="V463" s="69"/>
      <c r="W463" s="159"/>
      <c r="X463" s="102" t="n">
        <v>556</v>
      </c>
      <c r="Y463" s="124" t="n">
        <f aca="false">Y462+Y$16</f>
        <v>0.00177139878273012</v>
      </c>
      <c r="Z463" s="115" t="n">
        <f aca="false">(K-(L0-Y463*Ldif-alph*Y463^0.5))/R0</f>
        <v>0.84945988448075</v>
      </c>
      <c r="AA463" s="113" t="n">
        <f aca="false">IF(Z463&lt;1,X$14*((1-r_1)-Y$14*(1-r_1^2)+Z$14*(1-r_1^3)),0)</f>
        <v>396590.711659611</v>
      </c>
      <c r="AB463" s="97" t="n">
        <f aca="false">AB462+AB$15</f>
        <v>0.00177139878273012</v>
      </c>
      <c r="AC463" s="115" t="n">
        <f aca="false">(Kopt-(L0-AB463*Ldif-alph*AB463^0.5))/R0</f>
        <v>0.84945988448075</v>
      </c>
      <c r="AD463" s="113" t="n">
        <f aca="false">IF(AC463&lt;1,X$14*((1-ropt)-Y$14*(1-ropt^2)+Z$14*(1-ropt^3)),0)</f>
        <v>396590.711659611</v>
      </c>
    </row>
    <row r="464" customFormat="false" ht="12.75" hidden="false" customHeight="false" outlineLevel="0" collapsed="false">
      <c r="J464" s="67"/>
      <c r="K464" s="67"/>
      <c r="L464" s="151"/>
      <c r="M464" s="151"/>
      <c r="N464" s="151"/>
      <c r="O464" s="69"/>
      <c r="P464" s="69"/>
      <c r="Q464" s="69"/>
      <c r="R464" s="69"/>
      <c r="S464" s="69"/>
      <c r="T464" s="69"/>
      <c r="U464" s="69"/>
      <c r="V464" s="69"/>
      <c r="W464" s="159"/>
      <c r="X464" s="102" t="n">
        <v>555</v>
      </c>
      <c r="Y464" s="124" t="n">
        <f aca="false">Y463+Y$16</f>
        <v>0.00177538841962816</v>
      </c>
      <c r="Z464" s="115" t="n">
        <f aca="false">(K-(L0-Y464*Ldif-alph*Y464^0.5))/R0</f>
        <v>0.849798240809175</v>
      </c>
      <c r="AA464" s="113" t="n">
        <f aca="false">IF(Z464&lt;1,X$14*((1-r_1)-Y$14*(1-r_1^2)+Z$14*(1-r_1^3)),0)</f>
        <v>394809.948120323</v>
      </c>
      <c r="AB464" s="97" t="n">
        <f aca="false">AB463+AB$15</f>
        <v>0.00177538841962816</v>
      </c>
      <c r="AC464" s="115" t="n">
        <f aca="false">(Kopt-(L0-AB464*Ldif-alph*AB464^0.5))/R0</f>
        <v>0.849798240809175</v>
      </c>
      <c r="AD464" s="113" t="n">
        <f aca="false">IF(AC464&lt;1,X$14*((1-ropt)-Y$14*(1-ropt^2)+Z$14*(1-ropt^3)),0)</f>
        <v>394809.948120323</v>
      </c>
    </row>
    <row r="465" customFormat="false" ht="12.75" hidden="false" customHeight="false" outlineLevel="0" collapsed="false">
      <c r="J465" s="67"/>
      <c r="K465" s="67"/>
      <c r="L465" s="151"/>
      <c r="M465" s="151"/>
      <c r="N465" s="151"/>
      <c r="O465" s="69"/>
      <c r="P465" s="69"/>
      <c r="Q465" s="69"/>
      <c r="R465" s="69"/>
      <c r="S465" s="69"/>
      <c r="T465" s="69"/>
      <c r="U465" s="69"/>
      <c r="V465" s="69"/>
      <c r="W465" s="159"/>
      <c r="X465" s="102" t="n">
        <v>554</v>
      </c>
      <c r="Y465" s="124" t="n">
        <f aca="false">Y464+Y$16</f>
        <v>0.0017793780565262</v>
      </c>
      <c r="Z465" s="115" t="n">
        <f aca="false">(K-(L0-Y465*Ldif-alph*Y465^0.5))/R0</f>
        <v>0.850136217176336</v>
      </c>
      <c r="AA465" s="113" t="n">
        <f aca="false">IF(Z465&lt;1,X$14*((1-r_1)-Y$14*(1-r_1^2)+Z$14*(1-r_1^3)),0)</f>
        <v>393035.18453882</v>
      </c>
      <c r="AB465" s="97" t="n">
        <f aca="false">AB464+AB$15</f>
        <v>0.0017793780565262</v>
      </c>
      <c r="AC465" s="115" t="n">
        <f aca="false">(Kopt-(L0-AB465*Ldif-alph*AB465^0.5))/R0</f>
        <v>0.850136217176336</v>
      </c>
      <c r="AD465" s="113" t="n">
        <f aca="false">IF(AC465&lt;1,X$14*((1-ropt)-Y$14*(1-ropt^2)+Z$14*(1-ropt^3)),0)</f>
        <v>393035.18453882</v>
      </c>
    </row>
    <row r="466" customFormat="false" ht="12.75" hidden="false" customHeight="false" outlineLevel="0" collapsed="false">
      <c r="J466" s="67"/>
      <c r="K466" s="67"/>
      <c r="L466" s="151"/>
      <c r="M466" s="151"/>
      <c r="N466" s="151"/>
      <c r="O466" s="69"/>
      <c r="P466" s="69"/>
      <c r="Q466" s="69"/>
      <c r="R466" s="69"/>
      <c r="S466" s="69"/>
      <c r="T466" s="69"/>
      <c r="U466" s="69"/>
      <c r="V466" s="69"/>
      <c r="W466" s="159"/>
      <c r="X466" s="102" t="n">
        <v>553</v>
      </c>
      <c r="Y466" s="124" t="n">
        <f aca="false">Y465+Y$16</f>
        <v>0.00178336769342424</v>
      </c>
      <c r="Z466" s="115" t="n">
        <f aca="false">(K-(L0-Y466*Ldif-alph*Y466^0.5))/R0</f>
        <v>0.850473814859408</v>
      </c>
      <c r="AA466" s="113" t="n">
        <f aca="false">IF(Z466&lt;1,X$14*((1-r_1)-Y$14*(1-r_1^2)+Z$14*(1-r_1^3)),0)</f>
        <v>391266.400747223</v>
      </c>
      <c r="AB466" s="97" t="n">
        <f aca="false">AB465+AB$15</f>
        <v>0.00178336769342424</v>
      </c>
      <c r="AC466" s="115" t="n">
        <f aca="false">(Kopt-(L0-AB466*Ldif-alph*AB466^0.5))/R0</f>
        <v>0.850473814859408</v>
      </c>
      <c r="AD466" s="113" t="n">
        <f aca="false">IF(AC466&lt;1,X$14*((1-ropt)-Y$14*(1-ropt^2)+Z$14*(1-ropt^3)),0)</f>
        <v>391266.400747223</v>
      </c>
    </row>
    <row r="467" customFormat="false" ht="12.75" hidden="false" customHeight="false" outlineLevel="0" collapsed="false">
      <c r="J467" s="67"/>
      <c r="K467" s="67"/>
      <c r="L467" s="151"/>
      <c r="M467" s="151"/>
      <c r="N467" s="151"/>
      <c r="O467" s="69"/>
      <c r="P467" s="69"/>
      <c r="Q467" s="69"/>
      <c r="R467" s="69"/>
      <c r="S467" s="69"/>
      <c r="T467" s="69"/>
      <c r="U467" s="69"/>
      <c r="V467" s="69"/>
      <c r="W467" s="159"/>
      <c r="X467" s="102" t="n">
        <v>552</v>
      </c>
      <c r="Y467" s="124" t="n">
        <f aca="false">Y466+Y$16</f>
        <v>0.00178735733032228</v>
      </c>
      <c r="Z467" s="115" t="n">
        <f aca="false">(K-(L0-Y467*Ldif-alph*Y467^0.5))/R0</f>
        <v>0.850811035128443</v>
      </c>
      <c r="AA467" s="113" t="n">
        <f aca="false">IF(Z467&lt;1,X$14*((1-r_1)-Y$14*(1-r_1^2)+Z$14*(1-r_1^3)),0)</f>
        <v>389503.576690316</v>
      </c>
      <c r="AB467" s="97" t="n">
        <f aca="false">AB466+AB$15</f>
        <v>0.00178735733032228</v>
      </c>
      <c r="AC467" s="115" t="n">
        <f aca="false">(Kopt-(L0-AB467*Ldif-alph*AB467^0.5))/R0</f>
        <v>0.850811035128443</v>
      </c>
      <c r="AD467" s="113" t="n">
        <f aca="false">IF(AC467&lt;1,X$14*((1-ropt)-Y$14*(1-ropt^2)+Z$14*(1-ropt^3)),0)</f>
        <v>389503.576690316</v>
      </c>
    </row>
    <row r="468" customFormat="false" ht="12.75" hidden="false" customHeight="false" outlineLevel="0" collapsed="false">
      <c r="J468" s="67"/>
      <c r="K468" s="67"/>
      <c r="L468" s="151"/>
      <c r="M468" s="151"/>
      <c r="N468" s="151"/>
      <c r="O468" s="69"/>
      <c r="P468" s="69"/>
      <c r="Q468" s="69"/>
      <c r="R468" s="69"/>
      <c r="S468" s="69"/>
      <c r="T468" s="69"/>
      <c r="U468" s="69"/>
      <c r="V468" s="69"/>
      <c r="W468" s="159"/>
      <c r="X468" s="102" t="n">
        <v>551</v>
      </c>
      <c r="Y468" s="124" t="n">
        <f aca="false">Y467+Y$16</f>
        <v>0.00179134696722032</v>
      </c>
      <c r="Z468" s="115" t="n">
        <f aca="false">(K-(L0-Y468*Ldif-alph*Y468^0.5))/R0</f>
        <v>0.851147879246394</v>
      </c>
      <c r="AA468" s="113" t="n">
        <f aca="false">IF(Z468&lt;1,X$14*((1-r_1)-Y$14*(1-r_1^2)+Z$14*(1-r_1^3)),0)</f>
        <v>387746.692424809</v>
      </c>
      <c r="AB468" s="97" t="n">
        <f aca="false">AB467+AB$15</f>
        <v>0.00179134696722032</v>
      </c>
      <c r="AC468" s="115" t="n">
        <f aca="false">(Kopt-(L0-AB468*Ldif-alph*AB468^0.5))/R0</f>
        <v>0.851147879246394</v>
      </c>
      <c r="AD468" s="113" t="n">
        <f aca="false">IF(AC468&lt;1,X$14*((1-ropt)-Y$14*(1-ropt^2)+Z$14*(1-ropt^3)),0)</f>
        <v>387746.692424809</v>
      </c>
    </row>
    <row r="469" customFormat="false" ht="12.75" hidden="false" customHeight="false" outlineLevel="0" collapsed="false">
      <c r="J469" s="67"/>
      <c r="K469" s="67"/>
      <c r="L469" s="151"/>
      <c r="M469" s="151"/>
      <c r="N469" s="151"/>
      <c r="O469" s="69"/>
      <c r="P469" s="69"/>
      <c r="Q469" s="69"/>
      <c r="R469" s="69"/>
      <c r="S469" s="69"/>
      <c r="T469" s="69"/>
      <c r="U469" s="69"/>
      <c r="V469" s="69"/>
      <c r="W469" s="159"/>
      <c r="X469" s="102" t="n">
        <v>550</v>
      </c>
      <c r="Y469" s="124" t="n">
        <f aca="false">Y468+Y$16</f>
        <v>0.00179533660411836</v>
      </c>
      <c r="Z469" s="115" t="n">
        <f aca="false">(K-(L0-Y469*Ldif-alph*Y469^0.5))/R0</f>
        <v>0.8514843484692</v>
      </c>
      <c r="AA469" s="113" t="n">
        <f aca="false">IF(Z469&lt;1,X$14*((1-r_1)-Y$14*(1-r_1^2)+Z$14*(1-r_1^3)),0)</f>
        <v>385995.728118318</v>
      </c>
      <c r="AB469" s="97" t="n">
        <f aca="false">AB468+AB$15</f>
        <v>0.00179533660411836</v>
      </c>
      <c r="AC469" s="115" t="n">
        <f aca="false">(Kopt-(L0-AB469*Ldif-alph*AB469^0.5))/R0</f>
        <v>0.8514843484692</v>
      </c>
      <c r="AD469" s="113" t="n">
        <f aca="false">IF(AC469&lt;1,X$14*((1-ropt)-Y$14*(1-ropt^2)+Z$14*(1-ropt^3)),0)</f>
        <v>385995.728118318</v>
      </c>
    </row>
    <row r="470" customFormat="false" ht="12.75" hidden="false" customHeight="false" outlineLevel="0" collapsed="false">
      <c r="J470" s="67"/>
      <c r="K470" s="67"/>
      <c r="L470" s="151"/>
      <c r="M470" s="151"/>
      <c r="N470" s="151"/>
      <c r="O470" s="69"/>
      <c r="P470" s="69"/>
      <c r="Q470" s="69"/>
      <c r="R470" s="69"/>
      <c r="S470" s="69"/>
      <c r="T470" s="69"/>
      <c r="U470" s="69"/>
      <c r="V470" s="69"/>
      <c r="W470" s="159"/>
      <c r="X470" s="102" t="n">
        <v>549</v>
      </c>
      <c r="Y470" s="124" t="n">
        <f aca="false">Y469+Y$16</f>
        <v>0.0017993262410164</v>
      </c>
      <c r="Z470" s="115" t="n">
        <f aca="false">(K-(L0-Y470*Ldif-alph*Y470^0.5))/R0</f>
        <v>0.851820444045813</v>
      </c>
      <c r="AA470" s="113" t="n">
        <f aca="false">IF(Z470&lt;1,X$14*((1-r_1)-Y$14*(1-r_1^2)+Z$14*(1-r_1^3)),0)</f>
        <v>384250.664048652</v>
      </c>
      <c r="AB470" s="97" t="n">
        <f aca="false">AB469+AB$15</f>
        <v>0.0017993262410164</v>
      </c>
      <c r="AC470" s="115" t="n">
        <f aca="false">(Kopt-(L0-AB470*Ldif-alph*AB470^0.5))/R0</f>
        <v>0.851820444045813</v>
      </c>
      <c r="AD470" s="113" t="n">
        <f aca="false">IF(AC470&lt;1,X$14*((1-ropt)-Y$14*(1-ropt^2)+Z$14*(1-ropt^3)),0)</f>
        <v>384250.664048652</v>
      </c>
    </row>
    <row r="471" customFormat="false" ht="12.75" hidden="false" customHeight="false" outlineLevel="0" collapsed="false">
      <c r="J471" s="67"/>
      <c r="K471" s="67"/>
      <c r="L471" s="151"/>
      <c r="M471" s="151"/>
      <c r="N471" s="151"/>
      <c r="O471" s="69"/>
      <c r="P471" s="69"/>
      <c r="Q471" s="69"/>
      <c r="R471" s="69"/>
      <c r="S471" s="69"/>
      <c r="T471" s="69"/>
      <c r="U471" s="69"/>
      <c r="V471" s="69"/>
      <c r="W471" s="159"/>
      <c r="X471" s="102" t="n">
        <v>548</v>
      </c>
      <c r="Y471" s="124" t="n">
        <f aca="false">Y470+Y$16</f>
        <v>0.00180331587791444</v>
      </c>
      <c r="Z471" s="115" t="n">
        <f aca="false">(K-(L0-Y471*Ldif-alph*Y471^0.5))/R0</f>
        <v>0.852156167218275</v>
      </c>
      <c r="AA471" s="113" t="n">
        <f aca="false">IF(Z471&lt;1,X$14*((1-r_1)-Y$14*(1-r_1^2)+Z$14*(1-r_1^3)),0)</f>
        <v>382511.480602839</v>
      </c>
      <c r="AB471" s="97" t="n">
        <f aca="false">AB470+AB$15</f>
        <v>0.00180331587791444</v>
      </c>
      <c r="AC471" s="115" t="n">
        <f aca="false">(Kopt-(L0-AB471*Ldif-alph*AB471^0.5))/R0</f>
        <v>0.852156167218275</v>
      </c>
      <c r="AD471" s="113" t="n">
        <f aca="false">IF(AC471&lt;1,X$14*((1-ropt)-Y$14*(1-ropt^2)+Z$14*(1-ropt^3)),0)</f>
        <v>382511.480602839</v>
      </c>
    </row>
    <row r="472" customFormat="false" ht="12.75" hidden="false" customHeight="false" outlineLevel="0" collapsed="false">
      <c r="J472" s="67"/>
      <c r="K472" s="67"/>
      <c r="L472" s="151"/>
      <c r="M472" s="151"/>
      <c r="N472" s="151"/>
      <c r="O472" s="69"/>
      <c r="P472" s="69"/>
      <c r="Q472" s="69"/>
      <c r="R472" s="69"/>
      <c r="S472" s="69"/>
      <c r="T472" s="69"/>
      <c r="U472" s="69"/>
      <c r="V472" s="69"/>
      <c r="W472" s="159"/>
      <c r="X472" s="102" t="n">
        <v>547</v>
      </c>
      <c r="Y472" s="124" t="n">
        <f aca="false">Y471+Y$16</f>
        <v>0.00180730551481248</v>
      </c>
      <c r="Z472" s="115" t="n">
        <f aca="false">(K-(L0-Y472*Ldif-alph*Y472^0.5))/R0</f>
        <v>0.852491519221759</v>
      </c>
      <c r="AA472" s="113" t="n">
        <f aca="false">IF(Z472&lt;1,X$14*((1-r_1)-Y$14*(1-r_1^2)+Z$14*(1-r_1^3)),0)</f>
        <v>380778.15827633</v>
      </c>
      <c r="AB472" s="97" t="n">
        <f aca="false">AB471+AB$15</f>
        <v>0.00180730551481248</v>
      </c>
      <c r="AC472" s="115" t="n">
        <f aca="false">(Kopt-(L0-AB472*Ldif-alph*AB472^0.5))/R0</f>
        <v>0.852491519221759</v>
      </c>
      <c r="AD472" s="113" t="n">
        <f aca="false">IF(AC472&lt;1,X$14*((1-ropt)-Y$14*(1-ropt^2)+Z$14*(1-ropt^3)),0)</f>
        <v>380778.15827633</v>
      </c>
    </row>
    <row r="473" customFormat="false" ht="12.75" hidden="false" customHeight="false" outlineLevel="0" collapsed="false">
      <c r="J473" s="67"/>
      <c r="K473" s="67"/>
      <c r="L473" s="151"/>
      <c r="M473" s="151"/>
      <c r="N473" s="151"/>
      <c r="O473" s="69"/>
      <c r="P473" s="69"/>
      <c r="Q473" s="69"/>
      <c r="R473" s="69"/>
      <c r="S473" s="69"/>
      <c r="T473" s="69"/>
      <c r="U473" s="69"/>
      <c r="V473" s="69"/>
      <c r="W473" s="159"/>
      <c r="X473" s="102" t="n">
        <v>546</v>
      </c>
      <c r="Y473" s="124" t="n">
        <f aca="false">Y472+Y$16</f>
        <v>0.00181129515171052</v>
      </c>
      <c r="Z473" s="115" t="n">
        <f aca="false">(K-(L0-Y473*Ldif-alph*Y473^0.5))/R0</f>
        <v>0.852826501284626</v>
      </c>
      <c r="AA473" s="113" t="n">
        <f aca="false">IF(Z473&lt;1,X$14*((1-r_1)-Y$14*(1-r_1^2)+Z$14*(1-r_1^3)),0)</f>
        <v>379050.677672173</v>
      </c>
      <c r="AB473" s="97" t="n">
        <f aca="false">AB472+AB$15</f>
        <v>0.00181129515171052</v>
      </c>
      <c r="AC473" s="115" t="n">
        <f aca="false">(Kopt-(L0-AB473*Ldif-alph*AB473^0.5))/R0</f>
        <v>0.852826501284626</v>
      </c>
      <c r="AD473" s="113" t="n">
        <f aca="false">IF(AC473&lt;1,X$14*((1-ropt)-Y$14*(1-ropt^2)+Z$14*(1-ropt^3)),0)</f>
        <v>379050.677672173</v>
      </c>
    </row>
    <row r="474" customFormat="false" ht="12.75" hidden="false" customHeight="false" outlineLevel="0" collapsed="false">
      <c r="J474" s="67"/>
      <c r="K474" s="67"/>
      <c r="L474" s="151"/>
      <c r="M474" s="151"/>
      <c r="N474" s="151"/>
      <c r="O474" s="69"/>
      <c r="P474" s="69"/>
      <c r="Q474" s="69"/>
      <c r="R474" s="69"/>
      <c r="S474" s="69"/>
      <c r="T474" s="69"/>
      <c r="U474" s="69"/>
      <c r="V474" s="69"/>
      <c r="W474" s="159"/>
      <c r="X474" s="102" t="n">
        <v>545</v>
      </c>
      <c r="Y474" s="124" t="n">
        <f aca="false">Y473+Y$16</f>
        <v>0.00181528478860857</v>
      </c>
      <c r="Z474" s="115" t="n">
        <f aca="false">(K-(L0-Y474*Ldif-alph*Y474^0.5))/R0</f>
        <v>0.853161114628477</v>
      </c>
      <c r="AA474" s="113" t="n">
        <f aca="false">IF(Z474&lt;1,X$14*((1-r_1)-Y$14*(1-r_1^2)+Z$14*(1-r_1^3)),0)</f>
        <v>377329.01950015</v>
      </c>
      <c r="AB474" s="97" t="n">
        <f aca="false">AB473+AB$15</f>
        <v>0.00181528478860857</v>
      </c>
      <c r="AC474" s="115" t="n">
        <f aca="false">(Kopt-(L0-AB474*Ldif-alph*AB474^0.5))/R0</f>
        <v>0.853161114628477</v>
      </c>
      <c r="AD474" s="113" t="n">
        <f aca="false">IF(AC474&lt;1,X$14*((1-ropt)-Y$14*(1-ropt^2)+Z$14*(1-ropt^3)),0)</f>
        <v>377329.01950015</v>
      </c>
    </row>
    <row r="475" customFormat="false" ht="12.75" hidden="false" customHeight="false" outlineLevel="0" collapsed="false">
      <c r="J475" s="67"/>
      <c r="K475" s="67"/>
      <c r="L475" s="151"/>
      <c r="M475" s="151"/>
      <c r="N475" s="151"/>
      <c r="O475" s="69"/>
      <c r="P475" s="69"/>
      <c r="Q475" s="69"/>
      <c r="R475" s="69"/>
      <c r="S475" s="69"/>
      <c r="T475" s="69"/>
      <c r="U475" s="69"/>
      <c r="V475" s="69"/>
      <c r="W475" s="159"/>
      <c r="X475" s="102" t="n">
        <v>544</v>
      </c>
      <c r="Y475" s="124" t="n">
        <f aca="false">Y474+Y$16</f>
        <v>0.00181927442550661</v>
      </c>
      <c r="Z475" s="115" t="n">
        <f aca="false">(K-(L0-Y475*Ldif-alph*Y475^0.5))/R0</f>
        <v>0.853495360468198</v>
      </c>
      <c r="AA475" s="113" t="n">
        <f aca="false">IF(Z475&lt;1,X$14*((1-r_1)-Y$14*(1-r_1^2)+Z$14*(1-r_1^3)),0)</f>
        <v>375613.164576006</v>
      </c>
      <c r="AB475" s="97" t="n">
        <f aca="false">AB474+AB$15</f>
        <v>0.00181927442550661</v>
      </c>
      <c r="AC475" s="115" t="n">
        <f aca="false">(Kopt-(L0-AB475*Ldif-alph*AB475^0.5))/R0</f>
        <v>0.853495360468198</v>
      </c>
      <c r="AD475" s="113" t="n">
        <f aca="false">IF(AC475&lt;1,X$14*((1-ropt)-Y$14*(1-ropt^2)+Z$14*(1-ropt^3)),0)</f>
        <v>375613.164576006</v>
      </c>
    </row>
    <row r="476" customFormat="false" ht="12.75" hidden="false" customHeight="false" outlineLevel="0" collapsed="false">
      <c r="J476" s="67"/>
      <c r="K476" s="67"/>
      <c r="L476" s="151"/>
      <c r="M476" s="151"/>
      <c r="N476" s="151"/>
      <c r="O476" s="69"/>
      <c r="P476" s="69"/>
      <c r="Q476" s="69"/>
      <c r="R476" s="69"/>
      <c r="S476" s="69"/>
      <c r="T476" s="69"/>
      <c r="U476" s="69"/>
      <c r="V476" s="69"/>
      <c r="W476" s="159"/>
      <c r="X476" s="102" t="n">
        <v>543</v>
      </c>
      <c r="Y476" s="124" t="n">
        <f aca="false">Y475+Y$16</f>
        <v>0.00182326406240465</v>
      </c>
      <c r="Z476" s="115" t="n">
        <f aca="false">(K-(L0-Y476*Ldif-alph*Y476^0.5))/R0</f>
        <v>0.85382924001203</v>
      </c>
      <c r="AA476" s="113" t="n">
        <f aca="false">IF(Z476&lt;1,X$14*((1-r_1)-Y$14*(1-r_1^2)+Z$14*(1-r_1^3)),0)</f>
        <v>373903.093820561</v>
      </c>
      <c r="AB476" s="97" t="n">
        <f aca="false">AB475+AB$15</f>
        <v>0.00182326406240465</v>
      </c>
      <c r="AC476" s="115" t="n">
        <f aca="false">(Kopt-(L0-AB476*Ldif-alph*AB476^0.5))/R0</f>
        <v>0.85382924001203</v>
      </c>
      <c r="AD476" s="113" t="n">
        <f aca="false">IF(AC476&lt;1,X$14*((1-ropt)-Y$14*(1-ropt^2)+Z$14*(1-ropt^3)),0)</f>
        <v>373903.093820561</v>
      </c>
    </row>
    <row r="477" customFormat="false" ht="12.75" hidden="false" customHeight="false" outlineLevel="0" collapsed="false">
      <c r="J477" s="67"/>
      <c r="K477" s="67"/>
      <c r="L477" s="151"/>
      <c r="M477" s="151"/>
      <c r="N477" s="151"/>
      <c r="O477" s="69"/>
      <c r="P477" s="69"/>
      <c r="Q477" s="69"/>
      <c r="R477" s="69"/>
      <c r="S477" s="69"/>
      <c r="T477" s="69"/>
      <c r="U477" s="69"/>
      <c r="V477" s="69"/>
      <c r="W477" s="159"/>
      <c r="X477" s="102" t="n">
        <v>542</v>
      </c>
      <c r="Y477" s="124" t="n">
        <f aca="false">Y476+Y$16</f>
        <v>0.00182725369930269</v>
      </c>
      <c r="Z477" s="115" t="n">
        <f aca="false">(K-(L0-Y477*Ldif-alph*Y477^0.5))/R0</f>
        <v>0.8541627544616</v>
      </c>
      <c r="AA477" s="113" t="n">
        <f aca="false">IF(Z477&lt;1,X$14*((1-r_1)-Y$14*(1-r_1^2)+Z$14*(1-r_1^3)),0)</f>
        <v>372198.788258984</v>
      </c>
      <c r="AB477" s="97" t="n">
        <f aca="false">AB476+AB$15</f>
        <v>0.00182725369930269</v>
      </c>
      <c r="AC477" s="115" t="n">
        <f aca="false">(Kopt-(L0-AB477*Ldif-alph*AB477^0.5))/R0</f>
        <v>0.8541627544616</v>
      </c>
      <c r="AD477" s="113" t="n">
        <f aca="false">IF(AC477&lt;1,X$14*((1-ropt)-Y$14*(1-ropt^2)+Z$14*(1-ropt^3)),0)</f>
        <v>372198.788258984</v>
      </c>
    </row>
    <row r="478" customFormat="false" ht="12.75" hidden="false" customHeight="false" outlineLevel="0" collapsed="false">
      <c r="J478" s="67"/>
      <c r="K478" s="67"/>
      <c r="L478" s="151"/>
      <c r="M478" s="151"/>
      <c r="N478" s="151"/>
      <c r="O478" s="69"/>
      <c r="P478" s="69"/>
      <c r="Q478" s="69"/>
      <c r="R478" s="69"/>
      <c r="S478" s="69"/>
      <c r="T478" s="69"/>
      <c r="U478" s="69"/>
      <c r="V478" s="69"/>
      <c r="W478" s="159"/>
      <c r="X478" s="102" t="n">
        <v>541</v>
      </c>
      <c r="Y478" s="124" t="n">
        <f aca="false">Y477+Y$16</f>
        <v>0.00183124333620073</v>
      </c>
      <c r="Z478" s="115" t="n">
        <f aca="false">(K-(L0-Y478*Ldif-alph*Y478^0.5))/R0</f>
        <v>0.854495905011978</v>
      </c>
      <c r="AA478" s="113" t="n">
        <f aca="false">IF(Z478&lt;1,X$14*((1-r_1)-Y$14*(1-r_1^2)+Z$14*(1-r_1^3)),0)</f>
        <v>370500.22901996</v>
      </c>
      <c r="AB478" s="97" t="n">
        <f aca="false">AB477+AB$15</f>
        <v>0.00183124333620073</v>
      </c>
      <c r="AC478" s="115" t="n">
        <f aca="false">(Kopt-(L0-AB478*Ldif-alph*AB478^0.5))/R0</f>
        <v>0.854495905011978</v>
      </c>
      <c r="AD478" s="113" t="n">
        <f aca="false">IF(AC478&lt;1,X$14*((1-ropt)-Y$14*(1-ropt^2)+Z$14*(1-ropt^3)),0)</f>
        <v>370500.22901996</v>
      </c>
    </row>
    <row r="479" customFormat="false" ht="12.75" hidden="false" customHeight="false" outlineLevel="0" collapsed="false">
      <c r="J479" s="67"/>
      <c r="K479" s="67"/>
      <c r="L479" s="151"/>
      <c r="M479" s="151"/>
      <c r="N479" s="151"/>
      <c r="O479" s="69"/>
      <c r="P479" s="69"/>
      <c r="Q479" s="69"/>
      <c r="R479" s="69"/>
      <c r="S479" s="69"/>
      <c r="T479" s="69"/>
      <c r="U479" s="69"/>
      <c r="V479" s="69"/>
      <c r="W479" s="159"/>
      <c r="X479" s="102" t="n">
        <v>540</v>
      </c>
      <c r="Y479" s="124" t="n">
        <f aca="false">Y478+Y$16</f>
        <v>0.00183523297309877</v>
      </c>
      <c r="Z479" s="115" t="n">
        <f aca="false">(K-(L0-Y479*Ldif-alph*Y479^0.5))/R0</f>
        <v>0.854828692851734</v>
      </c>
      <c r="AA479" s="113" t="n">
        <f aca="false">IF(Z479&lt;1,X$14*((1-r_1)-Y$14*(1-r_1^2)+Z$14*(1-r_1^3)),0)</f>
        <v>368807.397334885</v>
      </c>
      <c r="AB479" s="97" t="n">
        <f aca="false">AB478+AB$15</f>
        <v>0.00183523297309877</v>
      </c>
      <c r="AC479" s="115" t="n">
        <f aca="false">(Kopt-(L0-AB479*Ldif-alph*AB479^0.5))/R0</f>
        <v>0.854828692851734</v>
      </c>
      <c r="AD479" s="113" t="n">
        <f aca="false">IF(AC479&lt;1,X$14*((1-ropt)-Y$14*(1-ropt^2)+Z$14*(1-ropt^3)),0)</f>
        <v>368807.397334885</v>
      </c>
    </row>
    <row r="480" customFormat="false" ht="12.75" hidden="false" customHeight="false" outlineLevel="0" collapsed="false">
      <c r="J480" s="67"/>
      <c r="K480" s="67"/>
      <c r="L480" s="151"/>
      <c r="M480" s="151"/>
      <c r="N480" s="151"/>
      <c r="O480" s="69"/>
      <c r="P480" s="69"/>
      <c r="Q480" s="69"/>
      <c r="R480" s="69"/>
      <c r="S480" s="69"/>
      <c r="T480" s="69"/>
      <c r="U480" s="69"/>
      <c r="V480" s="69"/>
      <c r="W480" s="159"/>
      <c r="X480" s="102" t="n">
        <v>539</v>
      </c>
      <c r="Y480" s="124" t="n">
        <f aca="false">Y479+Y$16</f>
        <v>0.00183922260999681</v>
      </c>
      <c r="Z480" s="115" t="n">
        <f aca="false">(K-(L0-Y480*Ldif-alph*Y480^0.5))/R0</f>
        <v>0.855161119162978</v>
      </c>
      <c r="AA480" s="113" t="n">
        <f aca="false">IF(Z480&lt;1,X$14*((1-r_1)-Y$14*(1-r_1^2)+Z$14*(1-r_1^3)),0)</f>
        <v>367120.274537119</v>
      </c>
      <c r="AB480" s="97" t="n">
        <f aca="false">AB479+AB$15</f>
        <v>0.00183922260999681</v>
      </c>
      <c r="AC480" s="115" t="n">
        <f aca="false">(Kopt-(L0-AB480*Ldif-alph*AB480^0.5))/R0</f>
        <v>0.855161119162978</v>
      </c>
      <c r="AD480" s="113" t="n">
        <f aca="false">IF(AC480&lt;1,X$14*((1-ropt)-Y$14*(1-ropt^2)+Z$14*(1-ropt^3)),0)</f>
        <v>367120.274537119</v>
      </c>
    </row>
    <row r="481" customFormat="false" ht="12.75" hidden="false" customHeight="false" outlineLevel="0" collapsed="false">
      <c r="J481" s="67"/>
      <c r="K481" s="67"/>
      <c r="L481" s="151"/>
      <c r="M481" s="151"/>
      <c r="N481" s="151"/>
      <c r="O481" s="69"/>
      <c r="P481" s="69"/>
      <c r="Q481" s="69"/>
      <c r="R481" s="69"/>
      <c r="S481" s="69"/>
      <c r="T481" s="69"/>
      <c r="U481" s="69"/>
      <c r="V481" s="69"/>
      <c r="W481" s="159"/>
      <c r="X481" s="102" t="n">
        <v>538</v>
      </c>
      <c r="Y481" s="124" t="n">
        <f aca="false">Y480+Y$16</f>
        <v>0.00184321224689485</v>
      </c>
      <c r="Z481" s="115" t="n">
        <f aca="false">(K-(L0-Y481*Ldif-alph*Y481^0.5))/R0</f>
        <v>0.855493185121416</v>
      </c>
      <c r="AA481" s="113" t="n">
        <f aca="false">IF(Z481&lt;1,X$14*((1-r_1)-Y$14*(1-r_1^2)+Z$14*(1-r_1^3)),0)</f>
        <v>365438.842061182</v>
      </c>
      <c r="AB481" s="97" t="n">
        <f aca="false">AB480+AB$15</f>
        <v>0.00184321224689485</v>
      </c>
      <c r="AC481" s="115" t="n">
        <f aca="false">(Kopt-(L0-AB481*Ldif-alph*AB481^0.5))/R0</f>
        <v>0.855493185121416</v>
      </c>
      <c r="AD481" s="113" t="n">
        <f aca="false">IF(AC481&lt;1,X$14*((1-ropt)-Y$14*(1-ropt^2)+Z$14*(1-ropt^3)),0)</f>
        <v>365438.842061182</v>
      </c>
    </row>
    <row r="482" customFormat="false" ht="12.75" hidden="false" customHeight="false" outlineLevel="0" collapsed="false">
      <c r="J482" s="67"/>
      <c r="K482" s="67"/>
      <c r="L482" s="151"/>
      <c r="M482" s="151"/>
      <c r="N482" s="151"/>
      <c r="O482" s="69"/>
      <c r="P482" s="69"/>
      <c r="Q482" s="69"/>
      <c r="R482" s="69"/>
      <c r="S482" s="69"/>
      <c r="T482" s="69"/>
      <c r="U482" s="69"/>
      <c r="V482" s="69"/>
      <c r="W482" s="159"/>
      <c r="X482" s="102" t="n">
        <v>537</v>
      </c>
      <c r="Y482" s="124" t="n">
        <f aca="false">Y481+Y$16</f>
        <v>0.00184720188379289</v>
      </c>
      <c r="Z482" s="115" t="n">
        <f aca="false">(K-(L0-Y482*Ldif-alph*Y482^0.5))/R0</f>
        <v>0.855824891896392</v>
      </c>
      <c r="AA482" s="113" t="n">
        <f aca="false">IF(Z482&lt;1,X$14*((1-r_1)-Y$14*(1-r_1^2)+Z$14*(1-r_1^3)),0)</f>
        <v>363763.081442022</v>
      </c>
      <c r="AB482" s="97" t="n">
        <f aca="false">AB481+AB$15</f>
        <v>0.00184720188379289</v>
      </c>
      <c r="AC482" s="115" t="n">
        <f aca="false">(Kopt-(L0-AB482*Ldif-alph*AB482^0.5))/R0</f>
        <v>0.855824891896392</v>
      </c>
      <c r="AD482" s="113" t="n">
        <f aca="false">IF(AC482&lt;1,X$14*((1-ropt)-Y$14*(1-ropt^2)+Z$14*(1-ropt^3)),0)</f>
        <v>363763.081442022</v>
      </c>
    </row>
    <row r="483" customFormat="false" ht="12.75" hidden="false" customHeight="false" outlineLevel="0" collapsed="false">
      <c r="J483" s="67"/>
      <c r="K483" s="67"/>
      <c r="L483" s="151"/>
      <c r="M483" s="151"/>
      <c r="N483" s="151"/>
      <c r="O483" s="69"/>
      <c r="P483" s="69"/>
      <c r="Q483" s="69"/>
      <c r="R483" s="69"/>
      <c r="S483" s="69"/>
      <c r="T483" s="69"/>
      <c r="U483" s="69"/>
      <c r="V483" s="69"/>
      <c r="W483" s="159"/>
      <c r="X483" s="102" t="n">
        <v>536</v>
      </c>
      <c r="Y483" s="124" t="n">
        <f aca="false">Y482+Y$16</f>
        <v>0.00185119152069093</v>
      </c>
      <c r="Z483" s="115" t="n">
        <f aca="false">(K-(L0-Y483*Ldif-alph*Y483^0.5))/R0</f>
        <v>0.856156240650941</v>
      </c>
      <c r="AA483" s="113" t="n">
        <f aca="false">IF(Z483&lt;1,X$14*((1-r_1)-Y$14*(1-r_1^2)+Z$14*(1-r_1^3)),0)</f>
        <v>362092.974314225</v>
      </c>
      <c r="AB483" s="97" t="n">
        <f aca="false">AB482+AB$15</f>
        <v>0.00185119152069093</v>
      </c>
      <c r="AC483" s="115" t="n">
        <f aca="false">(Kopt-(L0-AB483*Ldif-alph*AB483^0.5))/R0</f>
        <v>0.856156240650941</v>
      </c>
      <c r="AD483" s="113" t="n">
        <f aca="false">IF(AC483&lt;1,X$14*((1-ropt)-Y$14*(1-ropt^2)+Z$14*(1-ropt^3)),0)</f>
        <v>362092.974314225</v>
      </c>
    </row>
    <row r="484" customFormat="false" ht="12.75" hidden="false" customHeight="false" outlineLevel="0" collapsed="false">
      <c r="J484" s="67"/>
      <c r="K484" s="67"/>
      <c r="L484" s="151"/>
      <c r="M484" s="151"/>
      <c r="N484" s="151"/>
      <c r="O484" s="69"/>
      <c r="P484" s="69"/>
      <c r="Q484" s="69"/>
      <c r="R484" s="69"/>
      <c r="S484" s="69"/>
      <c r="T484" s="69"/>
      <c r="U484" s="69"/>
      <c r="V484" s="69"/>
      <c r="W484" s="159"/>
      <c r="X484" s="102" t="n">
        <v>535</v>
      </c>
      <c r="Y484" s="124" t="n">
        <f aca="false">Y483+Y$16</f>
        <v>0.00185518115758897</v>
      </c>
      <c r="Z484" s="115" t="n">
        <f aca="false">(K-(L0-Y484*Ldif-alph*Y484^0.5))/R0</f>
        <v>0.856487232541838</v>
      </c>
      <c r="AA484" s="113" t="n">
        <f aca="false">IF(Z484&lt;1,X$14*((1-r_1)-Y$14*(1-r_1^2)+Z$14*(1-r_1^3)),0)</f>
        <v>360428.502411259</v>
      </c>
      <c r="AB484" s="97" t="n">
        <f aca="false">AB483+AB$15</f>
        <v>0.00185518115758897</v>
      </c>
      <c r="AC484" s="115" t="n">
        <f aca="false">(Kopt-(L0-AB484*Ldif-alph*AB484^0.5))/R0</f>
        <v>0.856487232541838</v>
      </c>
      <c r="AD484" s="113" t="n">
        <f aca="false">IF(AC484&lt;1,X$14*((1-ropt)-Y$14*(1-ropt^2)+Z$14*(1-ropt^3)),0)</f>
        <v>360428.502411259</v>
      </c>
    </row>
    <row r="485" customFormat="false" ht="12.75" hidden="false" customHeight="false" outlineLevel="0" collapsed="false">
      <c r="J485" s="67"/>
      <c r="K485" s="67"/>
      <c r="L485" s="151"/>
      <c r="M485" s="151"/>
      <c r="N485" s="151"/>
      <c r="O485" s="69"/>
      <c r="P485" s="69"/>
      <c r="Q485" s="69"/>
      <c r="R485" s="69"/>
      <c r="S485" s="69"/>
      <c r="T485" s="69"/>
      <c r="U485" s="69"/>
      <c r="V485" s="69"/>
      <c r="W485" s="159"/>
      <c r="X485" s="102" t="n">
        <v>534</v>
      </c>
      <c r="Y485" s="124" t="n">
        <f aca="false">Y484+Y$16</f>
        <v>0.00185917079448701</v>
      </c>
      <c r="Z485" s="115" t="n">
        <f aca="false">(K-(L0-Y485*Ldif-alph*Y485^0.5))/R0</f>
        <v>0.856817868719634</v>
      </c>
      <c r="AA485" s="113" t="n">
        <f aca="false">IF(Z485&lt;1,X$14*((1-r_1)-Y$14*(1-r_1^2)+Z$14*(1-r_1^3)),0)</f>
        <v>358769.64756479</v>
      </c>
      <c r="AB485" s="97" t="n">
        <f aca="false">AB484+AB$15</f>
        <v>0.00185917079448701</v>
      </c>
      <c r="AC485" s="115" t="n">
        <f aca="false">(Kopt-(L0-AB485*Ldif-alph*AB485^0.5))/R0</f>
        <v>0.856817868719634</v>
      </c>
      <c r="AD485" s="113" t="n">
        <f aca="false">IF(AC485&lt;1,X$14*((1-ropt)-Y$14*(1-ropt^2)+Z$14*(1-ropt^3)),0)</f>
        <v>358769.64756479</v>
      </c>
    </row>
    <row r="486" customFormat="false" ht="12.75" hidden="false" customHeight="false" outlineLevel="0" collapsed="false">
      <c r="J486" s="67"/>
      <c r="K486" s="67"/>
      <c r="L486" s="151"/>
      <c r="M486" s="151"/>
      <c r="N486" s="151"/>
      <c r="O486" s="69"/>
      <c r="P486" s="69"/>
      <c r="Q486" s="69"/>
      <c r="R486" s="69"/>
      <c r="S486" s="69"/>
      <c r="T486" s="69"/>
      <c r="U486" s="69"/>
      <c r="V486" s="69"/>
      <c r="W486" s="159"/>
      <c r="X486" s="102" t="n">
        <v>533</v>
      </c>
      <c r="Y486" s="124" t="n">
        <f aca="false">Y485+Y$16</f>
        <v>0.00186316043138506</v>
      </c>
      <c r="Z486" s="115" t="n">
        <f aca="false">(K-(L0-Y486*Ldif-alph*Y486^0.5))/R0</f>
        <v>0.857148150328721</v>
      </c>
      <c r="AA486" s="113" t="n">
        <f aca="false">IF(Z486&lt;1,X$14*((1-r_1)-Y$14*(1-r_1^2)+Z$14*(1-r_1^3)),0)</f>
        <v>357116.391703849</v>
      </c>
      <c r="AB486" s="97" t="n">
        <f aca="false">AB485+AB$15</f>
        <v>0.00186316043138506</v>
      </c>
      <c r="AC486" s="115" t="n">
        <f aca="false">(Kopt-(L0-AB486*Ldif-alph*AB486^0.5))/R0</f>
        <v>0.857148150328721</v>
      </c>
      <c r="AD486" s="113" t="n">
        <f aca="false">IF(AC486&lt;1,X$14*((1-ropt)-Y$14*(1-ropt^2)+Z$14*(1-ropt^3)),0)</f>
        <v>357116.391703849</v>
      </c>
    </row>
    <row r="487" customFormat="false" ht="12.75" hidden="false" customHeight="false" outlineLevel="0" collapsed="false">
      <c r="J487" s="67"/>
      <c r="K487" s="67"/>
      <c r="L487" s="151"/>
      <c r="M487" s="151"/>
      <c r="N487" s="151"/>
      <c r="O487" s="69"/>
      <c r="P487" s="69"/>
      <c r="Q487" s="69"/>
      <c r="R487" s="69"/>
      <c r="S487" s="69"/>
      <c r="T487" s="69"/>
      <c r="U487" s="69"/>
      <c r="V487" s="69"/>
      <c r="W487" s="159"/>
      <c r="X487" s="102" t="n">
        <v>532</v>
      </c>
      <c r="Y487" s="124" t="n">
        <f aca="false">Y486+Y$16</f>
        <v>0.0018671500682831</v>
      </c>
      <c r="Z487" s="115" t="n">
        <f aca="false">(K-(L0-Y487*Ldif-alph*Y487^0.5))/R0</f>
        <v>0.857478078507361</v>
      </c>
      <c r="AA487" s="113" t="n">
        <f aca="false">IF(Z487&lt;1,X$14*((1-r_1)-Y$14*(1-r_1^2)+Z$14*(1-r_1^3)),0)</f>
        <v>355468.716854196</v>
      </c>
      <c r="AB487" s="97" t="n">
        <f aca="false">AB486+AB$15</f>
        <v>0.0018671500682831</v>
      </c>
      <c r="AC487" s="115" t="n">
        <f aca="false">(Kopt-(L0-AB487*Ldif-alph*AB487^0.5))/R0</f>
        <v>0.857478078507361</v>
      </c>
      <c r="AD487" s="113" t="n">
        <f aca="false">IF(AC487&lt;1,X$14*((1-ropt)-Y$14*(1-ropt^2)+Z$14*(1-ropt^3)),0)</f>
        <v>355468.716854196</v>
      </c>
    </row>
    <row r="488" customFormat="false" ht="12.75" hidden="false" customHeight="false" outlineLevel="0" collapsed="false">
      <c r="J488" s="67"/>
      <c r="K488" s="67"/>
      <c r="L488" s="151"/>
      <c r="M488" s="151"/>
      <c r="N488" s="151"/>
      <c r="O488" s="69"/>
      <c r="P488" s="69"/>
      <c r="Q488" s="69"/>
      <c r="R488" s="69"/>
      <c r="S488" s="69"/>
      <c r="T488" s="69"/>
      <c r="U488" s="69"/>
      <c r="V488" s="69"/>
      <c r="W488" s="159"/>
      <c r="X488" s="102" t="n">
        <v>531</v>
      </c>
      <c r="Y488" s="124" t="n">
        <f aca="false">Y487+Y$16</f>
        <v>0.00187113970518114</v>
      </c>
      <c r="Z488" s="115" t="n">
        <f aca="false">(K-(L0-Y488*Ldif-alph*Y488^0.5))/R0</f>
        <v>0.85780765438774</v>
      </c>
      <c r="AA488" s="113" t="n">
        <f aca="false">IF(Z488&lt;1,X$14*((1-r_1)-Y$14*(1-r_1^2)+Z$14*(1-r_1^3)),0)</f>
        <v>353826.605137539</v>
      </c>
      <c r="AB488" s="97" t="n">
        <f aca="false">AB487+AB$15</f>
        <v>0.00187113970518114</v>
      </c>
      <c r="AC488" s="115" t="n">
        <f aca="false">(Kopt-(L0-AB488*Ldif-alph*AB488^0.5))/R0</f>
        <v>0.85780765438774</v>
      </c>
      <c r="AD488" s="113" t="n">
        <f aca="false">IF(AC488&lt;1,X$14*((1-ropt)-Y$14*(1-ropt^2)+Z$14*(1-ropt^3)),0)</f>
        <v>353826.605137539</v>
      </c>
    </row>
    <row r="489" customFormat="false" ht="12.75" hidden="false" customHeight="false" outlineLevel="0" collapsed="false">
      <c r="J489" s="67"/>
      <c r="K489" s="67"/>
      <c r="L489" s="151"/>
      <c r="M489" s="151"/>
      <c r="N489" s="151"/>
      <c r="O489" s="69"/>
      <c r="P489" s="69"/>
      <c r="Q489" s="69"/>
      <c r="R489" s="69"/>
      <c r="S489" s="69"/>
      <c r="T489" s="69"/>
      <c r="U489" s="69"/>
      <c r="V489" s="69"/>
      <c r="W489" s="159"/>
      <c r="X489" s="102" t="n">
        <v>530</v>
      </c>
      <c r="Y489" s="124" t="n">
        <f aca="false">Y488+Y$16</f>
        <v>0.00187512934207918</v>
      </c>
      <c r="Z489" s="115" t="n">
        <f aca="false">(K-(L0-Y489*Ldif-alph*Y489^0.5))/R0</f>
        <v>0.858136879096011</v>
      </c>
      <c r="AA489" s="113" t="n">
        <f aca="false">IF(Z489&lt;1,X$14*((1-r_1)-Y$14*(1-r_1^2)+Z$14*(1-r_1^3)),0)</f>
        <v>352190.038770846</v>
      </c>
      <c r="AB489" s="97" t="n">
        <f aca="false">AB488+AB$15</f>
        <v>0.00187512934207918</v>
      </c>
      <c r="AC489" s="115" t="n">
        <f aca="false">(Kopt-(L0-AB489*Ldif-alph*AB489^0.5))/R0</f>
        <v>0.858136879096011</v>
      </c>
      <c r="AD489" s="113" t="n">
        <f aca="false">IF(AC489&lt;1,X$14*((1-ropt)-Y$14*(1-ropt^2)+Z$14*(1-ropt^3)),0)</f>
        <v>352190.038770846</v>
      </c>
    </row>
    <row r="490" customFormat="false" ht="12.75" hidden="false" customHeight="false" outlineLevel="0" collapsed="false">
      <c r="J490" s="67"/>
      <c r="K490" s="67"/>
      <c r="L490" s="151"/>
      <c r="M490" s="151"/>
      <c r="N490" s="151"/>
      <c r="O490" s="69"/>
      <c r="P490" s="69"/>
      <c r="Q490" s="69"/>
      <c r="R490" s="69"/>
      <c r="S490" s="69"/>
      <c r="T490" s="69"/>
      <c r="U490" s="69"/>
      <c r="V490" s="69"/>
      <c r="W490" s="159"/>
      <c r="X490" s="102" t="n">
        <v>529</v>
      </c>
      <c r="Y490" s="124" t="n">
        <f aca="false">Y489+Y$16</f>
        <v>0.00187911897897722</v>
      </c>
      <c r="Z490" s="115" t="n">
        <f aca="false">(K-(L0-Y490*Ldif-alph*Y490^0.5))/R0</f>
        <v>0.858465753752347</v>
      </c>
      <c r="AA490" s="113" t="n">
        <f aca="false">IF(Z490&lt;1,X$14*((1-r_1)-Y$14*(1-r_1^2)+Z$14*(1-r_1^3)),0)</f>
        <v>350559.000065595</v>
      </c>
      <c r="AB490" s="97" t="n">
        <f aca="false">AB489+AB$15</f>
        <v>0.00187911897897722</v>
      </c>
      <c r="AC490" s="115" t="n">
        <f aca="false">(Kopt-(L0-AB490*Ldif-alph*AB490^0.5))/R0</f>
        <v>0.858465753752347</v>
      </c>
      <c r="AD490" s="113" t="n">
        <f aca="false">IF(AC490&lt;1,X$14*((1-ropt)-Y$14*(1-ropt^2)+Z$14*(1-ropt^3)),0)</f>
        <v>350559.000065595</v>
      </c>
    </row>
    <row r="491" customFormat="false" ht="12.75" hidden="false" customHeight="false" outlineLevel="0" collapsed="false">
      <c r="J491" s="67"/>
      <c r="K491" s="67"/>
      <c r="L491" s="151"/>
      <c r="M491" s="151"/>
      <c r="N491" s="151"/>
      <c r="O491" s="69"/>
      <c r="P491" s="69"/>
      <c r="Q491" s="69"/>
      <c r="R491" s="69"/>
      <c r="S491" s="69"/>
      <c r="T491" s="69"/>
      <c r="U491" s="69"/>
      <c r="V491" s="69"/>
      <c r="W491" s="159"/>
      <c r="X491" s="102" t="n">
        <v>528</v>
      </c>
      <c r="Y491" s="124" t="n">
        <f aca="false">Y490+Y$16</f>
        <v>0.00188310861587526</v>
      </c>
      <c r="Z491" s="115" t="n">
        <f aca="false">(K-(L0-Y491*Ldif-alph*Y491^0.5))/R0</f>
        <v>0.858794279470967</v>
      </c>
      <c r="AA491" s="113" t="n">
        <f aca="false">IF(Z491&lt;1,X$14*((1-r_1)-Y$14*(1-r_1^2)+Z$14*(1-r_1^3)),0)</f>
        <v>348933.47142716</v>
      </c>
      <c r="AB491" s="97" t="n">
        <f aca="false">AB490+AB$15</f>
        <v>0.00188310861587526</v>
      </c>
      <c r="AC491" s="115" t="n">
        <f aca="false">(Kopt-(L0-AB491*Ldif-alph*AB491^0.5))/R0</f>
        <v>0.858794279470967</v>
      </c>
      <c r="AD491" s="113" t="n">
        <f aca="false">IF(AC491&lt;1,X$14*((1-ropt)-Y$14*(1-ropt^2)+Z$14*(1-ropt^3)),0)</f>
        <v>348933.47142716</v>
      </c>
    </row>
    <row r="492" customFormat="false" ht="12.75" hidden="false" customHeight="false" outlineLevel="0" collapsed="false">
      <c r="J492" s="67"/>
      <c r="K492" s="67"/>
      <c r="L492" s="151"/>
      <c r="M492" s="151"/>
      <c r="N492" s="151"/>
      <c r="O492" s="69"/>
      <c r="P492" s="69"/>
      <c r="Q492" s="69"/>
      <c r="R492" s="69"/>
      <c r="S492" s="69"/>
      <c r="T492" s="69"/>
      <c r="U492" s="69"/>
      <c r="V492" s="69"/>
      <c r="W492" s="159"/>
      <c r="X492" s="102" t="n">
        <v>527</v>
      </c>
      <c r="Y492" s="124" t="n">
        <f aca="false">Y491+Y$16</f>
        <v>0.0018870982527733</v>
      </c>
      <c r="Z492" s="115" t="n">
        <f aca="false">(K-(L0-Y492*Ldif-alph*Y492^0.5))/R0</f>
        <v>0.859122457360204</v>
      </c>
      <c r="AA492" s="113" t="n">
        <f aca="false">IF(Z492&lt;1,X$14*((1-r_1)-Y$14*(1-r_1^2)+Z$14*(1-r_1^3)),0)</f>
        <v>347313.43535398</v>
      </c>
      <c r="AB492" s="97" t="n">
        <f aca="false">AB491+AB$15</f>
        <v>0.0018870982527733</v>
      </c>
      <c r="AC492" s="115" t="n">
        <f aca="false">(Kopt-(L0-AB492*Ldif-alph*AB492^0.5))/R0</f>
        <v>0.859122457360204</v>
      </c>
      <c r="AD492" s="113" t="n">
        <f aca="false">IF(AC492&lt;1,X$14*((1-ropt)-Y$14*(1-ropt^2)+Z$14*(1-ropt^3)),0)</f>
        <v>347313.43535398</v>
      </c>
    </row>
    <row r="493" customFormat="false" ht="12.75" hidden="false" customHeight="false" outlineLevel="0" collapsed="false">
      <c r="J493" s="67"/>
      <c r="K493" s="67"/>
      <c r="L493" s="151"/>
      <c r="M493" s="151"/>
      <c r="N493" s="151"/>
      <c r="O493" s="69"/>
      <c r="P493" s="69"/>
      <c r="Q493" s="69"/>
      <c r="R493" s="69"/>
      <c r="S493" s="69"/>
      <c r="T493" s="69"/>
      <c r="U493" s="69"/>
      <c r="V493" s="69"/>
      <c r="W493" s="159"/>
      <c r="X493" s="102" t="n">
        <v>526</v>
      </c>
      <c r="Y493" s="124" t="n">
        <f aca="false">Y492+Y$16</f>
        <v>0.00189108788967134</v>
      </c>
      <c r="Z493" s="115" t="n">
        <f aca="false">(K-(L0-Y493*Ldif-alph*Y493^0.5))/R0</f>
        <v>0.859450288522525</v>
      </c>
      <c r="AA493" s="113" t="n">
        <f aca="false">IF(Z493&lt;1,X$14*((1-r_1)-Y$14*(1-r_1^2)+Z$14*(1-r_1^3)),0)</f>
        <v>345698.874437026</v>
      </c>
      <c r="AB493" s="97" t="n">
        <f aca="false">AB492+AB$15</f>
        <v>0.00189108788967134</v>
      </c>
      <c r="AC493" s="115" t="n">
        <f aca="false">(Kopt-(L0-AB493*Ldif-alph*AB493^0.5))/R0</f>
        <v>0.859450288522525</v>
      </c>
      <c r="AD493" s="113" t="n">
        <f aca="false">IF(AC493&lt;1,X$14*((1-ropt)-Y$14*(1-ropt^2)+Z$14*(1-ropt^3)),0)</f>
        <v>345698.874437026</v>
      </c>
    </row>
    <row r="494" customFormat="false" ht="12.75" hidden="false" customHeight="false" outlineLevel="0" collapsed="false">
      <c r="J494" s="67"/>
      <c r="K494" s="67"/>
      <c r="L494" s="151"/>
      <c r="M494" s="151"/>
      <c r="N494" s="151"/>
      <c r="O494" s="69"/>
      <c r="P494" s="69"/>
      <c r="Q494" s="69"/>
      <c r="R494" s="69"/>
      <c r="S494" s="69"/>
      <c r="T494" s="69"/>
      <c r="U494" s="69"/>
      <c r="V494" s="69"/>
      <c r="W494" s="159"/>
      <c r="X494" s="102" t="n">
        <v>525</v>
      </c>
      <c r="Y494" s="124" t="n">
        <f aca="false">Y493+Y$16</f>
        <v>0.00189507752656938</v>
      </c>
      <c r="Z494" s="115" t="n">
        <f aca="false">(K-(L0-Y494*Ldif-alph*Y494^0.5))/R0</f>
        <v>0.859777774054594</v>
      </c>
      <c r="AA494" s="113" t="n">
        <f aca="false">IF(Z494&lt;1,X$14*((1-r_1)-Y$14*(1-r_1^2)+Z$14*(1-r_1^3)),0)</f>
        <v>344089.771358977</v>
      </c>
      <c r="AB494" s="97" t="n">
        <f aca="false">AB493+AB$15</f>
        <v>0.00189507752656938</v>
      </c>
      <c r="AC494" s="115" t="n">
        <f aca="false">(Kopt-(L0-AB494*Ldif-alph*AB494^0.5))/R0</f>
        <v>0.859777774054594</v>
      </c>
      <c r="AD494" s="113" t="n">
        <f aca="false">IF(AC494&lt;1,X$14*((1-ropt)-Y$14*(1-ropt^2)+Z$14*(1-ropt^3)),0)</f>
        <v>344089.771358977</v>
      </c>
    </row>
    <row r="495" customFormat="false" ht="12.75" hidden="false" customHeight="false" outlineLevel="0" collapsed="false">
      <c r="J495" s="67"/>
      <c r="K495" s="67"/>
      <c r="L495" s="151"/>
      <c r="M495" s="151"/>
      <c r="N495" s="151"/>
      <c r="O495" s="69"/>
      <c r="P495" s="69"/>
      <c r="Q495" s="69"/>
      <c r="R495" s="69"/>
      <c r="S495" s="69"/>
      <c r="T495" s="69"/>
      <c r="U495" s="69"/>
      <c r="V495" s="69"/>
      <c r="W495" s="159"/>
      <c r="X495" s="102" t="n">
        <v>524</v>
      </c>
      <c r="Y495" s="124" t="n">
        <f aca="false">Y494+Y$16</f>
        <v>0.00189906716346742</v>
      </c>
      <c r="Z495" s="115" t="n">
        <f aca="false">(K-(L0-Y495*Ldif-alph*Y495^0.5))/R0</f>
        <v>0.860104915047299</v>
      </c>
      <c r="AA495" s="113" t="n">
        <f aca="false">IF(Z495&lt;1,X$14*((1-r_1)-Y$14*(1-r_1^2)+Z$14*(1-r_1^3)),0)</f>
        <v>342486.10889366</v>
      </c>
      <c r="AB495" s="97" t="n">
        <f aca="false">AB494+AB$15</f>
        <v>0.00189906716346742</v>
      </c>
      <c r="AC495" s="115" t="n">
        <f aca="false">(Kopt-(L0-AB495*Ldif-alph*AB495^0.5))/R0</f>
        <v>0.860104915047299</v>
      </c>
      <c r="AD495" s="113" t="n">
        <f aca="false">IF(AC495&lt;1,X$14*((1-ropt)-Y$14*(1-ropt^2)+Z$14*(1-ropt^3)),0)</f>
        <v>342486.10889366</v>
      </c>
    </row>
    <row r="496" customFormat="false" ht="12.75" hidden="false" customHeight="false" outlineLevel="0" collapsed="false">
      <c r="J496" s="67"/>
      <c r="K496" s="67"/>
      <c r="L496" s="151"/>
      <c r="M496" s="151"/>
      <c r="N496" s="151"/>
      <c r="O496" s="69"/>
      <c r="P496" s="69"/>
      <c r="Q496" s="69"/>
      <c r="R496" s="69"/>
      <c r="S496" s="69"/>
      <c r="T496" s="69"/>
      <c r="U496" s="69"/>
      <c r="V496" s="69"/>
      <c r="W496" s="159"/>
      <c r="X496" s="102" t="n">
        <v>523</v>
      </c>
      <c r="Y496" s="124" t="n">
        <f aca="false">Y495+Y$16</f>
        <v>0.00190305680036546</v>
      </c>
      <c r="Z496" s="115" t="n">
        <f aca="false">(K-(L0-Y496*Ldif-alph*Y496^0.5))/R0</f>
        <v>0.860431712585805</v>
      </c>
      <c r="AA496" s="113" t="n">
        <f aca="false">IF(Z496&lt;1,X$14*((1-r_1)-Y$14*(1-r_1^2)+Z$14*(1-r_1^3)),0)</f>
        <v>340887.869905299</v>
      </c>
      <c r="AB496" s="97" t="n">
        <f aca="false">AB495+AB$15</f>
        <v>0.00190305680036546</v>
      </c>
      <c r="AC496" s="115" t="n">
        <f aca="false">(Kopt-(L0-AB496*Ldif-alph*AB496^0.5))/R0</f>
        <v>0.860431712585805</v>
      </c>
      <c r="AD496" s="113" t="n">
        <f aca="false">IF(AC496&lt;1,X$14*((1-ropt)-Y$14*(1-ropt^2)+Z$14*(1-ropt^3)),0)</f>
        <v>340887.869905299</v>
      </c>
    </row>
    <row r="497" customFormat="false" ht="12.75" hidden="false" customHeight="false" outlineLevel="0" collapsed="false">
      <c r="J497" s="67"/>
      <c r="K497" s="67"/>
      <c r="L497" s="151"/>
      <c r="M497" s="151"/>
      <c r="N497" s="151"/>
      <c r="O497" s="69"/>
      <c r="P497" s="69"/>
      <c r="Q497" s="69"/>
      <c r="R497" s="69"/>
      <c r="S497" s="69"/>
      <c r="T497" s="69"/>
      <c r="U497" s="69"/>
      <c r="V497" s="69"/>
      <c r="W497" s="159"/>
      <c r="X497" s="102" t="n">
        <v>522</v>
      </c>
      <c r="Y497" s="124" t="n">
        <f aca="false">Y496+Y$16</f>
        <v>0.0019070464372635</v>
      </c>
      <c r="Z497" s="115" t="n">
        <f aca="false">(K-(L0-Y497*Ldif-alph*Y497^0.5))/R0</f>
        <v>0.860758167749597</v>
      </c>
      <c r="AA497" s="113" t="n">
        <f aca="false">IF(Z497&lt;1,X$14*((1-r_1)-Y$14*(1-r_1^2)+Z$14*(1-r_1^3)),0)</f>
        <v>339295.037347864</v>
      </c>
      <c r="AB497" s="97" t="n">
        <f aca="false">AB496+AB$15</f>
        <v>0.0019070464372635</v>
      </c>
      <c r="AC497" s="115" t="n">
        <f aca="false">(Kopt-(L0-AB497*Ldif-alph*AB497^0.5))/R0</f>
        <v>0.860758167749597</v>
      </c>
      <c r="AD497" s="113" t="n">
        <f aca="false">IF(AC497&lt;1,X$14*((1-ropt)-Y$14*(1-ropt^2)+Z$14*(1-ropt^3)),0)</f>
        <v>339295.037347864</v>
      </c>
    </row>
    <row r="498" customFormat="false" ht="12.75" hidden="false" customHeight="false" outlineLevel="0" collapsed="false">
      <c r="J498" s="67"/>
      <c r="K498" s="67"/>
      <c r="L498" s="151"/>
      <c r="M498" s="151"/>
      <c r="N498" s="151"/>
      <c r="O498" s="69"/>
      <c r="P498" s="69"/>
      <c r="Q498" s="69"/>
      <c r="R498" s="69"/>
      <c r="S498" s="69"/>
      <c r="T498" s="69"/>
      <c r="U498" s="69"/>
      <c r="V498" s="69"/>
      <c r="W498" s="159"/>
      <c r="X498" s="102" t="n">
        <v>521</v>
      </c>
      <c r="Y498" s="124" t="n">
        <f aca="false">Y497+Y$16</f>
        <v>0.00191103607416155</v>
      </c>
      <c r="Z498" s="115" t="n">
        <f aca="false">(K-(L0-Y498*Ldif-alph*Y498^0.5))/R0</f>
        <v>0.861084281612506</v>
      </c>
      <c r="AA498" s="113" t="n">
        <f aca="false">IF(Z498&lt;1,X$14*((1-r_1)-Y$14*(1-r_1^2)+Z$14*(1-r_1^3)),0)</f>
        <v>337707.59426449</v>
      </c>
      <c r="AB498" s="97" t="n">
        <f aca="false">AB497+AB$15</f>
        <v>0.00191103607416155</v>
      </c>
      <c r="AC498" s="115" t="n">
        <f aca="false">(Kopt-(L0-AB498*Ldif-alph*AB498^0.5))/R0</f>
        <v>0.861084281612506</v>
      </c>
      <c r="AD498" s="113" t="n">
        <f aca="false">IF(AC498&lt;1,X$14*((1-ropt)-Y$14*(1-ropt^2)+Z$14*(1-ropt^3)),0)</f>
        <v>337707.59426449</v>
      </c>
    </row>
    <row r="499" customFormat="false" ht="12.75" hidden="false" customHeight="false" outlineLevel="0" collapsed="false">
      <c r="J499" s="67"/>
      <c r="K499" s="67"/>
      <c r="L499" s="151"/>
      <c r="M499" s="151"/>
      <c r="N499" s="151"/>
      <c r="O499" s="69"/>
      <c r="P499" s="69"/>
      <c r="Q499" s="69"/>
      <c r="R499" s="69"/>
      <c r="S499" s="69"/>
      <c r="T499" s="69"/>
      <c r="U499" s="69"/>
      <c r="V499" s="69"/>
      <c r="W499" s="159"/>
      <c r="X499" s="102" t="n">
        <v>520</v>
      </c>
      <c r="Y499" s="124" t="n">
        <f aca="false">Y498+Y$16</f>
        <v>0.00191502571105959</v>
      </c>
      <c r="Z499" s="115" t="n">
        <f aca="false">(K-(L0-Y499*Ldif-alph*Y499^0.5))/R0</f>
        <v>0.861410055242772</v>
      </c>
      <c r="AA499" s="113" t="n">
        <f aca="false">IF(Z499&lt;1,X$14*((1-r_1)-Y$14*(1-r_1^2)+Z$14*(1-r_1^3)),0)</f>
        <v>336125.523786703</v>
      </c>
      <c r="AB499" s="97" t="n">
        <f aca="false">AB498+AB$15</f>
        <v>0.00191502571105959</v>
      </c>
      <c r="AC499" s="115" t="n">
        <f aca="false">(Kopt-(L0-AB499*Ldif-alph*AB499^0.5))/R0</f>
        <v>0.861410055242772</v>
      </c>
      <c r="AD499" s="113" t="n">
        <f aca="false">IF(AC499&lt;1,X$14*((1-ropt)-Y$14*(1-ropt^2)+Z$14*(1-ropt^3)),0)</f>
        <v>336125.523786703</v>
      </c>
    </row>
    <row r="500" customFormat="false" ht="12.75" hidden="false" customHeight="false" outlineLevel="0" collapsed="false">
      <c r="J500" s="67"/>
      <c r="K500" s="67"/>
      <c r="L500" s="151"/>
      <c r="M500" s="151"/>
      <c r="N500" s="151"/>
      <c r="O500" s="69"/>
      <c r="P500" s="69"/>
      <c r="Q500" s="69"/>
      <c r="R500" s="69"/>
      <c r="S500" s="69"/>
      <c r="T500" s="69"/>
      <c r="U500" s="69"/>
      <c r="V500" s="69"/>
      <c r="W500" s="159"/>
      <c r="X500" s="102" t="n">
        <v>519</v>
      </c>
      <c r="Y500" s="124" t="n">
        <f aca="false">Y499+Y$16</f>
        <v>0.00191901534795763</v>
      </c>
      <c r="Z500" s="115" t="n">
        <f aca="false">(K-(L0-Y500*Ldif-alph*Y500^0.5))/R0</f>
        <v>0.861735489703068</v>
      </c>
      <c r="AA500" s="113" t="n">
        <f aca="false">IF(Z500&lt;1,X$14*((1-r_1)-Y$14*(1-r_1^2)+Z$14*(1-r_1^3)),0)</f>
        <v>334548.809133881</v>
      </c>
      <c r="AB500" s="97" t="n">
        <f aca="false">AB499+AB$15</f>
        <v>0.00191901534795763</v>
      </c>
      <c r="AC500" s="115" t="n">
        <f aca="false">(Kopt-(L0-AB500*Ldif-alph*AB500^0.5))/R0</f>
        <v>0.861735489703068</v>
      </c>
      <c r="AD500" s="113" t="n">
        <f aca="false">IF(AC500&lt;1,X$14*((1-ropt)-Y$14*(1-ropt^2)+Z$14*(1-ropt^3)),0)</f>
        <v>334548.809133881</v>
      </c>
    </row>
    <row r="501" customFormat="false" ht="12.75" hidden="false" customHeight="false" outlineLevel="0" collapsed="false">
      <c r="J501" s="67"/>
      <c r="K501" s="67"/>
      <c r="L501" s="151"/>
      <c r="M501" s="151"/>
      <c r="N501" s="151"/>
      <c r="O501" s="69"/>
      <c r="P501" s="69"/>
      <c r="Q501" s="69"/>
      <c r="R501" s="69"/>
      <c r="S501" s="69"/>
      <c r="T501" s="69"/>
      <c r="U501" s="69"/>
      <c r="V501" s="69"/>
      <c r="W501" s="159"/>
      <c r="X501" s="102" t="n">
        <v>518</v>
      </c>
      <c r="Y501" s="124" t="n">
        <f aca="false">Y500+Y$16</f>
        <v>0.00192300498485567</v>
      </c>
      <c r="Z501" s="115" t="n">
        <f aca="false">(K-(L0-Y501*Ldif-alph*Y501^0.5))/R0</f>
        <v>0.862060586050552</v>
      </c>
      <c r="AA501" s="113" t="n">
        <f aca="false">IF(Z501&lt;1,X$14*((1-r_1)-Y$14*(1-r_1^2)+Z$14*(1-r_1^3)),0)</f>
        <v>332977.433612552</v>
      </c>
      <c r="AB501" s="97" t="n">
        <f aca="false">AB500+AB$15</f>
        <v>0.00192300498485567</v>
      </c>
      <c r="AC501" s="115" t="n">
        <f aca="false">(Kopt-(L0-AB501*Ldif-alph*AB501^0.5))/R0</f>
        <v>0.862060586050552</v>
      </c>
      <c r="AD501" s="113" t="n">
        <f aca="false">IF(AC501&lt;1,X$14*((1-ropt)-Y$14*(1-ropt^2)+Z$14*(1-ropt^3)),0)</f>
        <v>332977.433612552</v>
      </c>
    </row>
    <row r="502" customFormat="false" ht="12.75" hidden="false" customHeight="false" outlineLevel="0" collapsed="false">
      <c r="J502" s="67"/>
      <c r="K502" s="67"/>
      <c r="L502" s="151"/>
      <c r="M502" s="151"/>
      <c r="N502" s="151"/>
      <c r="O502" s="69"/>
      <c r="P502" s="69"/>
      <c r="Q502" s="69"/>
      <c r="R502" s="69"/>
      <c r="S502" s="69"/>
      <c r="T502" s="69"/>
      <c r="U502" s="69"/>
      <c r="V502" s="69"/>
      <c r="W502" s="159"/>
      <c r="X502" s="102" t="n">
        <v>517</v>
      </c>
      <c r="Y502" s="124" t="n">
        <f aca="false">Y501+Y$16</f>
        <v>0.00192699462175371</v>
      </c>
      <c r="Z502" s="115" t="n">
        <f aca="false">(K-(L0-Y502*Ldif-alph*Y502^0.5))/R0</f>
        <v>0.862385345336892</v>
      </c>
      <c r="AA502" s="113" t="n">
        <f aca="false">IF(Z502&lt;1,X$14*((1-r_1)-Y$14*(1-r_1^2)+Z$14*(1-r_1^3)),0)</f>
        <v>331411.380615815</v>
      </c>
      <c r="AB502" s="97" t="n">
        <f aca="false">AB501+AB$15</f>
        <v>0.00192699462175371</v>
      </c>
      <c r="AC502" s="115" t="n">
        <f aca="false">(Kopt-(L0-AB502*Ldif-alph*AB502^0.5))/R0</f>
        <v>0.862385345336892</v>
      </c>
      <c r="AD502" s="113" t="n">
        <f aca="false">IF(AC502&lt;1,X$14*((1-ropt)-Y$14*(1-ropt^2)+Z$14*(1-ropt^3)),0)</f>
        <v>331411.380615815</v>
      </c>
    </row>
    <row r="503" customFormat="false" ht="12.75" hidden="false" customHeight="false" outlineLevel="0" collapsed="false">
      <c r="W503" s="159"/>
      <c r="X503" s="102" t="n">
        <v>516</v>
      </c>
      <c r="Y503" s="124" t="n">
        <f aca="false">Y502+Y$16</f>
        <v>0.00193098425865175</v>
      </c>
      <c r="Z503" s="115" t="n">
        <f aca="false">(K-(L0-Y503*Ldif-alph*Y503^0.5))/R0</f>
        <v>0.862709768608329</v>
      </c>
      <c r="AA503" s="113" t="n">
        <f aca="false">IF(Z503&lt;1,X$14*((1-r_1)-Y$14*(1-r_1^2)+Z$14*(1-r_1^3)),0)</f>
        <v>329850.633622626</v>
      </c>
      <c r="AB503" s="97" t="n">
        <f aca="false">AB502+AB$15</f>
        <v>0.00193098425865175</v>
      </c>
      <c r="AC503" s="115" t="n">
        <f aca="false">(Kopt-(L0-AB503*Ldif-alph*AB503^0.5))/R0</f>
        <v>0.862709768608329</v>
      </c>
      <c r="AD503" s="113" t="n">
        <f aca="false">IF(AC503&lt;1,X$14*((1-ropt)-Y$14*(1-ropt^2)+Z$14*(1-ropt^3)),0)</f>
        <v>329850.633622626</v>
      </c>
    </row>
    <row r="504" customFormat="false" ht="12.75" hidden="false" customHeight="false" outlineLevel="0" collapsed="false">
      <c r="W504" s="159"/>
      <c r="X504" s="102" t="n">
        <v>515</v>
      </c>
      <c r="Y504" s="124" t="n">
        <f aca="false">Y503+Y$16</f>
        <v>0.00193497389554979</v>
      </c>
      <c r="Z504" s="115" t="n">
        <f aca="false">(K-(L0-Y504*Ldif-alph*Y504^0.5))/R0</f>
        <v>0.863033856905689</v>
      </c>
      <c r="AA504" s="113" t="n">
        <f aca="false">IF(Z504&lt;1,X$14*((1-r_1)-Y$14*(1-r_1^2)+Z$14*(1-r_1^3)),0)</f>
        <v>328295.176197298</v>
      </c>
      <c r="AB504" s="97" t="n">
        <f aca="false">AB503+AB$15</f>
        <v>0.00193497389554979</v>
      </c>
      <c r="AC504" s="115" t="n">
        <f aca="false">(Kopt-(L0-AB504*Ldif-alph*AB504^0.5))/R0</f>
        <v>0.863033856905689</v>
      </c>
      <c r="AD504" s="113" t="n">
        <f aca="false">IF(AC504&lt;1,X$14*((1-ropt)-Y$14*(1-ropt^2)+Z$14*(1-ropt^3)),0)</f>
        <v>328295.176197298</v>
      </c>
    </row>
    <row r="505" customFormat="false" ht="12.75" hidden="false" customHeight="false" outlineLevel="0" collapsed="false">
      <c r="X505" s="102" t="n">
        <v>514</v>
      </c>
      <c r="Y505" s="124" t="n">
        <f aca="false">Y504+Y$16</f>
        <v>0.00193896353244783</v>
      </c>
      <c r="Z505" s="115" t="n">
        <f aca="false">(K-(L0-Y505*Ldif-alph*Y505^0.5))/R0</f>
        <v>0.863357611264445</v>
      </c>
      <c r="AA505" s="113" t="n">
        <f aca="false">IF(Z505&lt;1,X$14*((1-r_1)-Y$14*(1-r_1^2)+Z$14*(1-r_1^3)),0)</f>
        <v>326744.991988774</v>
      </c>
      <c r="AB505" s="97" t="n">
        <f aca="false">AB504+AB$15</f>
        <v>0.00193896353244783</v>
      </c>
      <c r="AC505" s="115" t="n">
        <f aca="false">(Kopt-(L0-AB505*Ldif-alph*AB505^0.5))/R0</f>
        <v>0.863357611264445</v>
      </c>
      <c r="AD505" s="113" t="n">
        <f aca="false">IF(AC505&lt;1,X$14*((1-ropt)-Y$14*(1-ropt^2)+Z$14*(1-ropt^3)),0)</f>
        <v>326744.991988774</v>
      </c>
    </row>
    <row r="506" customFormat="false" ht="12.75" hidden="false" customHeight="false" outlineLevel="0" collapsed="false">
      <c r="X506" s="102" t="n">
        <v>513</v>
      </c>
      <c r="Y506" s="124" t="n">
        <f aca="false">Y505+Y$16</f>
        <v>0.00194295316934587</v>
      </c>
      <c r="Z506" s="115" t="n">
        <f aca="false">(K-(L0-Y506*Ldif-alph*Y506^0.5))/R0</f>
        <v>0.863681032714742</v>
      </c>
      <c r="AA506" s="113" t="n">
        <f aca="false">IF(Z506&lt;1,X$14*((1-r_1)-Y$14*(1-r_1^2)+Z$14*(1-r_1^3)),0)</f>
        <v>325200.064730089</v>
      </c>
      <c r="AB506" s="97" t="n">
        <f aca="false">AB505+AB$15</f>
        <v>0.00194295316934587</v>
      </c>
      <c r="AC506" s="115" t="n">
        <f aca="false">(Kopt-(L0-AB506*Ldif-alph*AB506^0.5))/R0</f>
        <v>0.863681032714742</v>
      </c>
      <c r="AD506" s="113" t="n">
        <f aca="false">IF(AC506&lt;1,X$14*((1-ropt)-Y$14*(1-ropt^2)+Z$14*(1-ropt^3)),0)</f>
        <v>325200.064730089</v>
      </c>
    </row>
    <row r="507" customFormat="false" ht="12.75" hidden="false" customHeight="false" outlineLevel="0" collapsed="false">
      <c r="X507" s="102" t="n">
        <v>512</v>
      </c>
      <c r="Y507" s="124" t="n">
        <f aca="false">Y506+Y$16</f>
        <v>0.00194694280624391</v>
      </c>
      <c r="Z507" s="115" t="n">
        <f aca="false">(K-(L0-Y507*Ldif-alph*Y507^0.5))/R0</f>
        <v>0.864004122281443</v>
      </c>
      <c r="AA507" s="113" t="n">
        <f aca="false">IF(Z507&lt;1,X$14*((1-r_1)-Y$14*(1-r_1^2)+Z$14*(1-r_1^3)),0)</f>
        <v>323660.378237713</v>
      </c>
      <c r="AB507" s="97" t="n">
        <f aca="false">AB506+AB$15</f>
        <v>0.00194694280624391</v>
      </c>
      <c r="AC507" s="115" t="n">
        <f aca="false">(Kopt-(L0-AB507*Ldif-alph*AB507^0.5))/R0</f>
        <v>0.864004122281443</v>
      </c>
      <c r="AD507" s="113" t="n">
        <f aca="false">IF(AC507&lt;1,X$14*((1-ropt)-Y$14*(1-ropt^2)+Z$14*(1-ropt^3)),0)</f>
        <v>323660.378237713</v>
      </c>
    </row>
    <row r="508" customFormat="false" ht="12.75" hidden="false" customHeight="false" outlineLevel="0" collapsed="false">
      <c r="X508" s="102" t="n">
        <v>511</v>
      </c>
      <c r="Y508" s="124" t="n">
        <f aca="false">Y507+Y$16</f>
        <v>0.00195093244314195</v>
      </c>
      <c r="Z508" s="115" t="n">
        <f aca="false">(K-(L0-Y508*Ldif-alph*Y508^0.5))/R0</f>
        <v>0.864326880984158</v>
      </c>
      <c r="AA508" s="113" t="n">
        <f aca="false">IF(Z508&lt;1,X$14*((1-r_1)-Y$14*(1-r_1^2)+Z$14*(1-r_1^3)),0)</f>
        <v>322125.916411021</v>
      </c>
      <c r="AB508" s="97" t="n">
        <f aca="false">AB507+AB$15</f>
        <v>0.00195093244314195</v>
      </c>
      <c r="AC508" s="115" t="n">
        <f aca="false">(Kopt-(L0-AB508*Ldif-alph*AB508^0.5))/R0</f>
        <v>0.864326880984158</v>
      </c>
      <c r="AD508" s="113" t="n">
        <f aca="false">IF(AC508&lt;1,X$14*((1-ropt)-Y$14*(1-ropt^2)+Z$14*(1-ropt^3)),0)</f>
        <v>322125.916411021</v>
      </c>
    </row>
    <row r="509" customFormat="false" ht="12.75" hidden="false" customHeight="false" outlineLevel="0" collapsed="false">
      <c r="X509" s="102" t="n">
        <v>510</v>
      </c>
      <c r="Y509" s="124" t="n">
        <f aca="false">Y508+Y$16</f>
        <v>0.00195492208003999</v>
      </c>
      <c r="Z509" s="115" t="n">
        <f aca="false">(K-(L0-Y509*Ldif-alph*Y509^0.5))/R0</f>
        <v>0.864649309837293</v>
      </c>
      <c r="AA509" s="113" t="n">
        <f aca="false">IF(Z509&lt;1,X$14*((1-r_1)-Y$14*(1-r_1^2)+Z$14*(1-r_1^3)),0)</f>
        <v>320596.663231621</v>
      </c>
      <c r="AB509" s="97" t="n">
        <f aca="false">AB508+AB$15</f>
        <v>0.00195492208003999</v>
      </c>
      <c r="AC509" s="115" t="n">
        <f aca="false">(Kopt-(L0-AB509*Ldif-alph*AB509^0.5))/R0</f>
        <v>0.864649309837293</v>
      </c>
      <c r="AD509" s="113" t="n">
        <f aca="false">IF(AC509&lt;1,X$14*((1-ropt)-Y$14*(1-ropt^2)+Z$14*(1-ropt^3)),0)</f>
        <v>320596.663231621</v>
      </c>
    </row>
    <row r="510" customFormat="false" ht="12.75" hidden="false" customHeight="false" outlineLevel="0" collapsed="false">
      <c r="X510" s="102" t="n">
        <v>509</v>
      </c>
      <c r="Y510" s="124" t="n">
        <f aca="false">Y509+Y$16</f>
        <v>0.00195891171693804</v>
      </c>
      <c r="Z510" s="115" t="n">
        <f aca="false">(K-(L0-Y510*Ldif-alph*Y510^0.5))/R0</f>
        <v>0.864971409850074</v>
      </c>
      <c r="AA510" s="113" t="n">
        <f aca="false">IF(Z510&lt;1,X$14*((1-r_1)-Y$14*(1-r_1^2)+Z$14*(1-r_1^3)),0)</f>
        <v>319072.602762842</v>
      </c>
      <c r="AB510" s="97" t="n">
        <f aca="false">AB509+AB$15</f>
        <v>0.00195891171693804</v>
      </c>
      <c r="AC510" s="115" t="n">
        <f aca="false">(Kopt-(L0-AB510*Ldif-alph*AB510^0.5))/R0</f>
        <v>0.864971409850074</v>
      </c>
      <c r="AD510" s="113" t="n">
        <f aca="false">IF(AC510&lt;1,X$14*((1-ropt)-Y$14*(1-ropt^2)+Z$14*(1-ropt^3)),0)</f>
        <v>319072.602762842</v>
      </c>
    </row>
    <row r="511" customFormat="false" ht="12.75" hidden="false" customHeight="false" outlineLevel="0" collapsed="false">
      <c r="X511" s="102" t="n">
        <v>508</v>
      </c>
      <c r="Y511" s="124" t="n">
        <f aca="false">Y510+Y$16</f>
        <v>0.00196290135383608</v>
      </c>
      <c r="Z511" s="115" t="n">
        <f aca="false">(K-(L0-Y511*Ldif-alph*Y511^0.5))/R0</f>
        <v>0.865293182026599</v>
      </c>
      <c r="AA511" s="113" t="n">
        <f aca="false">IF(Z511&lt;1,X$14*((1-r_1)-Y$14*(1-r_1^2)+Z$14*(1-r_1^3)),0)</f>
        <v>317553.719149083</v>
      </c>
      <c r="AB511" s="97" t="n">
        <f aca="false">AB510+AB$15</f>
        <v>0.00196290135383608</v>
      </c>
      <c r="AC511" s="115" t="n">
        <f aca="false">(Kopt-(L0-AB511*Ldif-alph*AB511^0.5))/R0</f>
        <v>0.865293182026599</v>
      </c>
      <c r="AD511" s="113" t="n">
        <f aca="false">IF(AC511&lt;1,X$14*((1-ropt)-Y$14*(1-ropt^2)+Z$14*(1-ropt^3)),0)</f>
        <v>317553.719149083</v>
      </c>
    </row>
    <row r="512" customFormat="false" ht="12.75" hidden="false" customHeight="false" outlineLevel="0" collapsed="false">
      <c r="X512" s="102" t="n">
        <v>507</v>
      </c>
      <c r="Y512" s="124" t="n">
        <f aca="false">Y511+Y$16</f>
        <v>0.00196689099073412</v>
      </c>
      <c r="Z512" s="115" t="n">
        <f aca="false">(K-(L0-Y512*Ldif-alph*Y512^0.5))/R0</f>
        <v>0.865614627365859</v>
      </c>
      <c r="AA512" s="113" t="n">
        <f aca="false">IF(Z512&lt;1,X$14*((1-r_1)-Y$14*(1-r_1^2)+Z$14*(1-r_1^3)),0)</f>
        <v>316039.996615299</v>
      </c>
      <c r="AB512" s="97" t="n">
        <f aca="false">AB511+AB$15</f>
        <v>0.00196689099073412</v>
      </c>
      <c r="AC512" s="115" t="n">
        <f aca="false">(Kopt-(L0-AB512*Ldif-alph*AB512^0.5))/R0</f>
        <v>0.865614627365859</v>
      </c>
      <c r="AD512" s="113" t="n">
        <f aca="false">IF(AC512&lt;1,X$14*((1-ropt)-Y$14*(1-ropt^2)+Z$14*(1-ropt^3)),0)</f>
        <v>316039.996615299</v>
      </c>
    </row>
    <row r="513" customFormat="false" ht="12.75" hidden="false" customHeight="false" outlineLevel="0" collapsed="false">
      <c r="X513" s="102" t="n">
        <v>506</v>
      </c>
      <c r="Y513" s="124" t="n">
        <f aca="false">Y512+Y$16</f>
        <v>0.00197088062763216</v>
      </c>
      <c r="Z513" s="115" t="n">
        <f aca="false">(K-(L0-Y513*Ldif-alph*Y513^0.5))/R0</f>
        <v>0.865935746861788</v>
      </c>
      <c r="AA513" s="113" t="n">
        <f aca="false">IF(Z513&lt;1,X$14*((1-r_1)-Y$14*(1-r_1^2)+Z$14*(1-r_1^3)),0)</f>
        <v>314531.419466366</v>
      </c>
      <c r="AB513" s="97" t="n">
        <f aca="false">AB512+AB$15</f>
        <v>0.00197088062763216</v>
      </c>
      <c r="AC513" s="115" t="n">
        <f aca="false">(Kopt-(L0-AB513*Ldif-alph*AB513^0.5))/R0</f>
        <v>0.865935746861788</v>
      </c>
      <c r="AD513" s="113" t="n">
        <f aca="false">IF(AC513&lt;1,X$14*((1-ropt)-Y$14*(1-ropt^2)+Z$14*(1-ropt^3)),0)</f>
        <v>314531.419466366</v>
      </c>
    </row>
    <row r="514" customFormat="false" ht="12.75" hidden="false" customHeight="false" outlineLevel="0" collapsed="false">
      <c r="X514" s="102" t="n">
        <v>505</v>
      </c>
      <c r="Y514" s="124" t="n">
        <f aca="false">Y513+Y$16</f>
        <v>0.0019748702645302</v>
      </c>
      <c r="Z514" s="115" t="n">
        <f aca="false">(K-(L0-Y514*Ldif-alph*Y514^0.5))/R0</f>
        <v>0.866256541503288</v>
      </c>
      <c r="AA514" s="113" t="n">
        <f aca="false">IF(Z514&lt;1,X$14*((1-r_1)-Y$14*(1-r_1^2)+Z$14*(1-r_1^3)),0)</f>
        <v>313027.972086581</v>
      </c>
      <c r="AB514" s="97" t="n">
        <f aca="false">AB513+AB$15</f>
        <v>0.0019748702645302</v>
      </c>
      <c r="AC514" s="115" t="n">
        <f aca="false">(Kopt-(L0-AB514*Ldif-alph*AB514^0.5))/R0</f>
        <v>0.866256541503288</v>
      </c>
      <c r="AD514" s="113" t="n">
        <f aca="false">IF(AC514&lt;1,X$14*((1-ropt)-Y$14*(1-ropt^2)+Z$14*(1-ropt^3)),0)</f>
        <v>313027.972086581</v>
      </c>
    </row>
    <row r="515" customFormat="false" ht="12.75" hidden="false" customHeight="false" outlineLevel="0" collapsed="false">
      <c r="X515" s="102" t="n">
        <v>504</v>
      </c>
      <c r="Y515" s="124" t="n">
        <f aca="false">Y514+Y$16</f>
        <v>0.00197885990142824</v>
      </c>
      <c r="Z515" s="115" t="n">
        <f aca="false">(K-(L0-Y515*Ldif-alph*Y515^0.5))/R0</f>
        <v>0.866577012274273</v>
      </c>
      <c r="AA515" s="113" t="n">
        <f aca="false">IF(Z515&lt;1,X$14*((1-r_1)-Y$14*(1-r_1^2)+Z$14*(1-r_1^3)),0)</f>
        <v>311529.638939043</v>
      </c>
      <c r="AB515" s="97" t="n">
        <f aca="false">AB514+AB$15</f>
        <v>0.00197885990142824</v>
      </c>
      <c r="AC515" s="115" t="n">
        <f aca="false">(Kopt-(L0-AB515*Ldif-alph*AB515^0.5))/R0</f>
        <v>0.866577012274273</v>
      </c>
      <c r="AD515" s="113" t="n">
        <f aca="false">IF(AC515&lt;1,X$14*((1-ropt)-Y$14*(1-ropt^2)+Z$14*(1-ropt^3)),0)</f>
        <v>311529.638939043</v>
      </c>
    </row>
    <row r="516" customFormat="false" ht="12.75" hidden="false" customHeight="false" outlineLevel="0" collapsed="false">
      <c r="X516" s="102" t="n">
        <v>503</v>
      </c>
      <c r="Y516" s="124" t="n">
        <f aca="false">Y515+Y$16</f>
        <v>0.00198284953832628</v>
      </c>
      <c r="Z516" s="115" t="n">
        <f aca="false">(K-(L0-Y516*Ldif-alph*Y516^0.5))/R0</f>
        <v>0.866897160153692</v>
      </c>
      <c r="AA516" s="113" t="n">
        <f aca="false">IF(Z516&lt;1,X$14*((1-r_1)-Y$14*(1-r_1^2)+Z$14*(1-r_1^3)),0)</f>
        <v>310036.404565157</v>
      </c>
      <c r="AB516" s="97" t="n">
        <f aca="false">AB515+AB$15</f>
        <v>0.00198284953832628</v>
      </c>
      <c r="AC516" s="115" t="n">
        <f aca="false">(Kopt-(L0-AB516*Ldif-alph*AB516^0.5))/R0</f>
        <v>0.866897160153692</v>
      </c>
      <c r="AD516" s="113" t="n">
        <f aca="false">IF(AC516&lt;1,X$14*((1-ropt)-Y$14*(1-ropt^2)+Z$14*(1-ropt^3)),0)</f>
        <v>310036.404565157</v>
      </c>
    </row>
    <row r="517" customFormat="false" ht="12.75" hidden="false" customHeight="false" outlineLevel="0" collapsed="false">
      <c r="X517" s="102" t="n">
        <v>502</v>
      </c>
      <c r="Y517" s="124" t="n">
        <f aca="false">Y516+Y$16</f>
        <v>0.00198683917522432</v>
      </c>
      <c r="Z517" s="115" t="n">
        <f aca="false">(K-(L0-Y517*Ldif-alph*Y517^0.5))/R0</f>
        <v>0.867216986115585</v>
      </c>
      <c r="AA517" s="113" t="n">
        <f aca="false">IF(Z517&lt;1,X$14*((1-r_1)-Y$14*(1-r_1^2)+Z$14*(1-r_1^3)),0)</f>
        <v>308548.253584003</v>
      </c>
      <c r="AB517" s="97" t="n">
        <f aca="false">AB516+AB$15</f>
        <v>0.00198683917522432</v>
      </c>
      <c r="AC517" s="115" t="n">
        <f aca="false">(Kopt-(L0-AB517*Ldif-alph*AB517^0.5))/R0</f>
        <v>0.867216986115585</v>
      </c>
      <c r="AD517" s="113" t="n">
        <f aca="false">IF(AC517&lt;1,X$14*((1-ropt)-Y$14*(1-ropt^2)+Z$14*(1-ropt^3)),0)</f>
        <v>308548.253584003</v>
      </c>
    </row>
    <row r="518" customFormat="false" ht="12.75" hidden="false" customHeight="false" outlineLevel="0" collapsed="false">
      <c r="X518" s="102" t="n">
        <v>501</v>
      </c>
      <c r="Y518" s="124" t="n">
        <f aca="false">Y517+Y$16</f>
        <v>0.00199082881212236</v>
      </c>
      <c r="Z518" s="115" t="n">
        <f aca="false">(K-(L0-Y518*Ldif-alph*Y518^0.5))/R0</f>
        <v>0.867536491129094</v>
      </c>
      <c r="AA518" s="113" t="n">
        <f aca="false">IF(Z518&lt;1,X$14*((1-r_1)-Y$14*(1-r_1^2)+Z$14*(1-r_1^3)),0)</f>
        <v>307065.170691871</v>
      </c>
      <c r="AB518" s="97" t="n">
        <f aca="false">AB517+AB$15</f>
        <v>0.00199082881212236</v>
      </c>
      <c r="AC518" s="115" t="n">
        <f aca="false">(Kopt-(L0-AB518*Ldif-alph*AB518^0.5))/R0</f>
        <v>0.867536491129094</v>
      </c>
      <c r="AD518" s="113" t="n">
        <f aca="false">IF(AC518&lt;1,X$14*((1-ropt)-Y$14*(1-ropt^2)+Z$14*(1-ropt^3)),0)</f>
        <v>307065.170691871</v>
      </c>
    </row>
    <row r="519" customFormat="false" ht="12.75" hidden="false" customHeight="false" outlineLevel="0" collapsed="false">
      <c r="X519" s="102" t="n">
        <v>500</v>
      </c>
      <c r="Y519" s="124" t="n">
        <f aca="false">Y518+Y$16</f>
        <v>0.0019948184490204</v>
      </c>
      <c r="Z519" s="115" t="n">
        <f aca="false">(K-(L0-Y519*Ldif-alph*Y519^0.5))/R0</f>
        <v>0.867855676158514</v>
      </c>
      <c r="AA519" s="113" t="n">
        <f aca="false">IF(Z519&lt;1,X$14*((1-r_1)-Y$14*(1-r_1^2)+Z$14*(1-r_1^3)),0)</f>
        <v>305587.140661662</v>
      </c>
      <c r="AB519" s="97" t="n">
        <f aca="false">AB518+AB$15</f>
        <v>0.0019948184490204</v>
      </c>
      <c r="AC519" s="115" t="n">
        <f aca="false">(Kopt-(L0-AB519*Ldif-alph*AB519^0.5))/R0</f>
        <v>0.867855676158514</v>
      </c>
      <c r="AD519" s="113" t="n">
        <f aca="false">IF(AC519&lt;1,X$14*((1-ropt)-Y$14*(1-ropt^2)+Z$14*(1-ropt^3)),0)</f>
        <v>305587.140661662</v>
      </c>
    </row>
    <row r="520" customFormat="false" ht="12.75" hidden="false" customHeight="false" outlineLevel="0" collapsed="false">
      <c r="X520" s="102" t="n">
        <v>499</v>
      </c>
      <c r="Y520" s="124" t="n">
        <f aca="false">Y519+Y$16</f>
        <v>0.00199880808591844</v>
      </c>
      <c r="Z520" s="115" t="n">
        <f aca="false">(K-(L0-Y520*Ldif-alph*Y520^0.5))/R0</f>
        <v>0.868174542163318</v>
      </c>
      <c r="AA520" s="113" t="n">
        <f aca="false">IF(Z520&lt;1,X$14*((1-r_1)-Y$14*(1-r_1^2)+Z$14*(1-r_1^3)),0)</f>
        <v>304114.148342391</v>
      </c>
      <c r="AB520" s="97" t="n">
        <f aca="false">AB519+AB$15</f>
        <v>0.00199880808591844</v>
      </c>
      <c r="AC520" s="115" t="n">
        <f aca="false">(Kopt-(L0-AB520*Ldif-alph*AB520^0.5))/R0</f>
        <v>0.868174542163318</v>
      </c>
      <c r="AD520" s="113" t="n">
        <f aca="false">IF(AC520&lt;1,X$14*((1-ropt)-Y$14*(1-ropt^2)+Z$14*(1-ropt^3)),0)</f>
        <v>304114.148342391</v>
      </c>
    </row>
    <row r="521" customFormat="false" ht="12.75" hidden="false" customHeight="false" outlineLevel="0" collapsed="false">
      <c r="X521" s="102" t="n">
        <v>498</v>
      </c>
      <c r="Y521" s="124" t="n">
        <f aca="false">Y520+Y$16</f>
        <v>0.00200279772281648</v>
      </c>
      <c r="Z521" s="115" t="n">
        <f aca="false">(K-(L0-Y521*Ldif-alph*Y521^0.5))/R0</f>
        <v>0.868493090098191</v>
      </c>
      <c r="AA521" s="113" t="n">
        <f aca="false">IF(Z521&lt;1,X$14*((1-r_1)-Y$14*(1-r_1^2)+Z$14*(1-r_1^3)),0)</f>
        <v>302646.178658642</v>
      </c>
      <c r="AB521" s="97" t="n">
        <f aca="false">AB520+AB$15</f>
        <v>0.00200279772281648</v>
      </c>
      <c r="AC521" s="115" t="n">
        <f aca="false">(Kopt-(L0-AB521*Ldif-alph*AB521^0.5))/R0</f>
        <v>0.868493090098191</v>
      </c>
      <c r="AD521" s="113" t="n">
        <f aca="false">IF(AC521&lt;1,X$14*((1-ropt)-Y$14*(1-ropt^2)+Z$14*(1-ropt^3)),0)</f>
        <v>302646.178658642</v>
      </c>
    </row>
    <row r="522" customFormat="false" ht="12.75" hidden="false" customHeight="false" outlineLevel="0" collapsed="false">
      <c r="X522" s="102" t="n">
        <v>497</v>
      </c>
      <c r="Y522" s="124" t="n">
        <f aca="false">Y521+Y$16</f>
        <v>0.00200678735971452</v>
      </c>
      <c r="Z522" s="115" t="n">
        <f aca="false">(K-(L0-Y522*Ldif-alph*Y522^0.5))/R0</f>
        <v>0.868811320913076</v>
      </c>
      <c r="AA522" s="113" t="n">
        <f aca="false">IF(Z522&lt;1,X$14*((1-r_1)-Y$14*(1-r_1^2)+Z$14*(1-r_1^3)),0)</f>
        <v>301183.216610009</v>
      </c>
      <c r="AB522" s="97" t="n">
        <f aca="false">AB521+AB$15</f>
        <v>0.00200678735971452</v>
      </c>
      <c r="AC522" s="115" t="n">
        <f aca="false">(Kopt-(L0-AB522*Ldif-alph*AB522^0.5))/R0</f>
        <v>0.868811320913076</v>
      </c>
      <c r="AD522" s="113" t="n">
        <f aca="false">IF(AC522&lt;1,X$14*((1-ropt)-Y$14*(1-ropt^2)+Z$14*(1-ropt^3)),0)</f>
        <v>301183.216610009</v>
      </c>
    </row>
    <row r="523" customFormat="false" ht="12.75" hidden="false" customHeight="false" outlineLevel="0" collapsed="false">
      <c r="X523" s="102" t="n">
        <v>496</v>
      </c>
      <c r="Y523" s="124" t="n">
        <f aca="false">Y522+Y$16</f>
        <v>0.00201077699661256</v>
      </c>
      <c r="Z523" s="115" t="n">
        <f aca="false">(K-(L0-Y523*Ldif-alph*Y523^0.5))/R0</f>
        <v>0.869129235553183</v>
      </c>
      <c r="AA523" s="113" t="n">
        <f aca="false">IF(Z523&lt;1,X$14*((1-r_1)-Y$14*(1-r_1^2)+Z$14*(1-r_1^3)),0)</f>
        <v>299725.24727065</v>
      </c>
      <c r="AB523" s="97" t="n">
        <f aca="false">AB522+AB$15</f>
        <v>0.00201077699661256</v>
      </c>
      <c r="AC523" s="115" t="n">
        <f aca="false">(Kopt-(L0-AB523*Ldif-alph*AB523^0.5))/R0</f>
        <v>0.869129235553183</v>
      </c>
      <c r="AD523" s="113" t="n">
        <f aca="false">IF(AC523&lt;1,X$14*((1-ropt)-Y$14*(1-ropt^2)+Z$14*(1-ropt^3)),0)</f>
        <v>299725.24727065</v>
      </c>
    </row>
    <row r="524" customFormat="false" ht="12.75" hidden="false" customHeight="false" outlineLevel="0" collapsed="false">
      <c r="X524" s="102" t="n">
        <v>495</v>
      </c>
      <c r="Y524" s="124" t="n">
        <f aca="false">Y523+Y$16</f>
        <v>0.0020147666335106</v>
      </c>
      <c r="Z524" s="115" t="n">
        <f aca="false">(K-(L0-Y524*Ldif-alph*Y524^0.5))/R0</f>
        <v>0.869446834959048</v>
      </c>
      <c r="AA524" s="113" t="n">
        <f aca="false">IF(Z524&lt;1,X$14*((1-r_1)-Y$14*(1-r_1^2)+Z$14*(1-r_1^3)),0)</f>
        <v>298272.255788676</v>
      </c>
      <c r="AB524" s="97" t="n">
        <f aca="false">AB523+AB$15</f>
        <v>0.0020147666335106</v>
      </c>
      <c r="AC524" s="115" t="n">
        <f aca="false">(Kopt-(L0-AB524*Ldif-alph*AB524^0.5))/R0</f>
        <v>0.869446834959048</v>
      </c>
      <c r="AD524" s="113" t="n">
        <f aca="false">IF(AC524&lt;1,X$14*((1-ropt)-Y$14*(1-ropt^2)+Z$14*(1-ropt^3)),0)</f>
        <v>298272.255788676</v>
      </c>
    </row>
    <row r="525" customFormat="false" ht="12.75" hidden="false" customHeight="false" outlineLevel="0" collapsed="false">
      <c r="X525" s="102" t="n">
        <v>494</v>
      </c>
      <c r="Y525" s="124" t="n">
        <f aca="false">Y524+Y$16</f>
        <v>0.00201875627040864</v>
      </c>
      <c r="Z525" s="115" t="n">
        <f aca="false">(K-(L0-Y525*Ldif-alph*Y525^0.5))/R0</f>
        <v>0.869764120066545</v>
      </c>
      <c r="AA525" s="113" t="n">
        <f aca="false">IF(Z525&lt;1,X$14*((1-r_1)-Y$14*(1-r_1^2)+Z$14*(1-r_1^3)),0)</f>
        <v>296824.227385725</v>
      </c>
      <c r="AB525" s="97" t="n">
        <f aca="false">AB524+AB$15</f>
        <v>0.00201875627040864</v>
      </c>
      <c r="AC525" s="115" t="n">
        <f aca="false">(Kopt-(L0-AB525*Ldif-alph*AB525^0.5))/R0</f>
        <v>0.869764120066545</v>
      </c>
      <c r="AD525" s="113" t="n">
        <f aca="false">IF(AC525&lt;1,X$14*((1-ropt)-Y$14*(1-ropt^2)+Z$14*(1-ropt^3)),0)</f>
        <v>296824.227385725</v>
      </c>
    </row>
    <row r="526" customFormat="false" ht="12.75" hidden="false" customHeight="false" outlineLevel="0" collapsed="false">
      <c r="X526" s="102" t="n">
        <v>493</v>
      </c>
      <c r="Y526" s="124" t="n">
        <f aca="false">Y525+Y$16</f>
        <v>0.00202274590730669</v>
      </c>
      <c r="Z526" s="115" t="n">
        <f aca="false">(K-(L0-Y526*Ldif-alph*Y526^0.5))/R0</f>
        <v>0.870081091806933</v>
      </c>
      <c r="AA526" s="113" t="n">
        <f aca="false">IF(Z526&lt;1,X$14*((1-r_1)-Y$14*(1-r_1^2)+Z$14*(1-r_1^3)),0)</f>
        <v>295381.147356376</v>
      </c>
      <c r="AB526" s="97" t="n">
        <f aca="false">AB525+AB$15</f>
        <v>0.00202274590730669</v>
      </c>
      <c r="AC526" s="115" t="n">
        <f aca="false">(Kopt-(L0-AB526*Ldif-alph*AB526^0.5))/R0</f>
        <v>0.870081091806933</v>
      </c>
      <c r="AD526" s="113" t="n">
        <f aca="false">IF(AC526&lt;1,X$14*((1-ropt)-Y$14*(1-ropt^2)+Z$14*(1-ropt^3)),0)</f>
        <v>295381.147356376</v>
      </c>
    </row>
    <row r="527" customFormat="false" ht="12.75" hidden="false" customHeight="false" outlineLevel="0" collapsed="false">
      <c r="X527" s="102" t="n">
        <v>492</v>
      </c>
      <c r="Y527" s="124" t="n">
        <f aca="false">Y526+Y$16</f>
        <v>0.00202673554420473</v>
      </c>
      <c r="Z527" s="115" t="n">
        <f aca="false">(K-(L0-Y527*Ldif-alph*Y527^0.5))/R0</f>
        <v>0.870397751106872</v>
      </c>
      <c r="AA527" s="113" t="n">
        <f aca="false">IF(Z527&lt;1,X$14*((1-r_1)-Y$14*(1-r_1^2)+Z$14*(1-r_1^3)),0)</f>
        <v>293943.001067734</v>
      </c>
      <c r="AB527" s="97" t="n">
        <f aca="false">AB526+AB$15</f>
        <v>0.00202673554420473</v>
      </c>
      <c r="AC527" s="115" t="n">
        <f aca="false">(Kopt-(L0-AB527*Ldif-alph*AB527^0.5))/R0</f>
        <v>0.870397751106872</v>
      </c>
      <c r="AD527" s="113" t="n">
        <f aca="false">IF(AC527&lt;1,X$14*((1-ropt)-Y$14*(1-ropt^2)+Z$14*(1-ropt^3)),0)</f>
        <v>293943.001067734</v>
      </c>
    </row>
    <row r="528" customFormat="false" ht="12.75" hidden="false" customHeight="false" outlineLevel="0" collapsed="false">
      <c r="X528" s="102" t="n">
        <v>491</v>
      </c>
      <c r="Y528" s="124" t="n">
        <f aca="false">Y527+Y$16</f>
        <v>0.00203072518110277</v>
      </c>
      <c r="Z528" s="115" t="n">
        <f aca="false">(K-(L0-Y528*Ldif-alph*Y528^0.5))/R0</f>
        <v>0.870714098888478</v>
      </c>
      <c r="AA528" s="113" t="n">
        <f aca="false">IF(Z528&lt;1,X$14*((1-r_1)-Y$14*(1-r_1^2)+Z$14*(1-r_1^3)),0)</f>
        <v>292509.773958818</v>
      </c>
      <c r="AB528" s="97" t="n">
        <f aca="false">AB527+AB$15</f>
        <v>0.00203072518110277</v>
      </c>
      <c r="AC528" s="115" t="n">
        <f aca="false">(Kopt-(L0-AB528*Ldif-alph*AB528^0.5))/R0</f>
        <v>0.870714098888478</v>
      </c>
      <c r="AD528" s="113" t="n">
        <f aca="false">IF(AC528&lt;1,X$14*((1-ropt)-Y$14*(1-ropt^2)+Z$14*(1-ropt^3)),0)</f>
        <v>292509.773958818</v>
      </c>
    </row>
    <row r="529" customFormat="false" ht="12.75" hidden="false" customHeight="false" outlineLevel="0" collapsed="false">
      <c r="X529" s="102" t="n">
        <v>490</v>
      </c>
      <c r="Y529" s="124" t="n">
        <f aca="false">Y528+Y$16</f>
        <v>0.00203471481800081</v>
      </c>
      <c r="Z529" s="115" t="n">
        <f aca="false">(K-(L0-Y529*Ldif-alph*Y529^0.5))/R0</f>
        <v>0.871030136069324</v>
      </c>
      <c r="AA529" s="113" t="n">
        <f aca="false">IF(Z529&lt;1,X$14*((1-r_1)-Y$14*(1-r_1^2)+Z$14*(1-r_1^3)),0)</f>
        <v>291081.451540197</v>
      </c>
      <c r="AB529" s="97" t="n">
        <f aca="false">AB528+AB$15</f>
        <v>0.00203471481800081</v>
      </c>
      <c r="AC529" s="115" t="n">
        <f aca="false">(Kopt-(L0-AB529*Ldif-alph*AB529^0.5))/R0</f>
        <v>0.871030136069324</v>
      </c>
      <c r="AD529" s="113" t="n">
        <f aca="false">IF(AC529&lt;1,X$14*((1-ropt)-Y$14*(1-ropt^2)+Z$14*(1-ropt^3)),0)</f>
        <v>291081.451540197</v>
      </c>
    </row>
    <row r="530" customFormat="false" ht="12.75" hidden="false" customHeight="false" outlineLevel="0" collapsed="false">
      <c r="X530" s="102" t="n">
        <v>489</v>
      </c>
      <c r="Y530" s="124" t="n">
        <f aca="false">Y529+Y$16</f>
        <v>0.00203870445489885</v>
      </c>
      <c r="Z530" s="115" t="n">
        <f aca="false">(K-(L0-Y530*Ldif-alph*Y530^0.5))/R0</f>
        <v>0.871345863562503</v>
      </c>
      <c r="AA530" s="113" t="n">
        <f aca="false">IF(Z530&lt;1,X$14*((1-r_1)-Y$14*(1-r_1^2)+Z$14*(1-r_1^3)),0)</f>
        <v>289658.019393365</v>
      </c>
      <c r="AB530" s="97" t="n">
        <f aca="false">AB529+AB$15</f>
        <v>0.00203870445489885</v>
      </c>
      <c r="AC530" s="115" t="n">
        <f aca="false">(Kopt-(L0-AB530*Ldif-alph*AB530^0.5))/R0</f>
        <v>0.871345863562503</v>
      </c>
      <c r="AD530" s="113" t="n">
        <f aca="false">IF(AC530&lt;1,X$14*((1-ropt)-Y$14*(1-ropt^2)+Z$14*(1-ropt^3)),0)</f>
        <v>289658.019393365</v>
      </c>
    </row>
    <row r="531" customFormat="false" ht="12.75" hidden="false" customHeight="false" outlineLevel="0" collapsed="false">
      <c r="X531" s="102" t="n">
        <v>488</v>
      </c>
      <c r="Y531" s="124" t="n">
        <f aca="false">Y530+Y$16</f>
        <v>0.00204269409179689</v>
      </c>
      <c r="Z531" s="115" t="n">
        <f aca="false">(K-(L0-Y531*Ldif-alph*Y531^0.5))/R0</f>
        <v>0.871661282276627</v>
      </c>
      <c r="AA531" s="113" t="n">
        <f aca="false">IF(Z531&lt;1,X$14*((1-r_1)-Y$14*(1-r_1^2)+Z$14*(1-r_1^3)),0)</f>
        <v>288239.463170395</v>
      </c>
      <c r="AB531" s="97" t="n">
        <f aca="false">AB530+AB$15</f>
        <v>0.00204269409179689</v>
      </c>
      <c r="AC531" s="115" t="n">
        <f aca="false">(Kopt-(L0-AB531*Ldif-alph*AB531^0.5))/R0</f>
        <v>0.871661282276627</v>
      </c>
      <c r="AD531" s="113" t="n">
        <f aca="false">IF(AC531&lt;1,X$14*((1-ropt)-Y$14*(1-ropt^2)+Z$14*(1-ropt^3)),0)</f>
        <v>288239.463170395</v>
      </c>
    </row>
    <row r="532" customFormat="false" ht="12.75" hidden="false" customHeight="false" outlineLevel="0" collapsed="false">
      <c r="X532" s="102" t="n">
        <v>487</v>
      </c>
      <c r="Y532" s="124" t="n">
        <f aca="false">Y531+Y$16</f>
        <v>0.00204668372869493</v>
      </c>
      <c r="Z532" s="115" t="n">
        <f aca="false">(K-(L0-Y532*Ldif-alph*Y532^0.5))/R0</f>
        <v>0.871976393115888</v>
      </c>
      <c r="AA532" s="113" t="n">
        <f aca="false">IF(Z532&lt;1,X$14*((1-r_1)-Y$14*(1-r_1^2)+Z$14*(1-r_1^3)),0)</f>
        <v>286825.76859331</v>
      </c>
      <c r="AB532" s="97" t="n">
        <f aca="false">AB531+AB$15</f>
        <v>0.00204668372869493</v>
      </c>
      <c r="AC532" s="115" t="n">
        <f aca="false">(Kopt-(L0-AB532*Ldif-alph*AB532^0.5))/R0</f>
        <v>0.871976393115888</v>
      </c>
      <c r="AD532" s="113" t="n">
        <f aca="false">IF(AC532&lt;1,X$14*((1-ropt)-Y$14*(1-ropt^2)+Z$14*(1-ropt^3)),0)</f>
        <v>286825.76859331</v>
      </c>
    </row>
    <row r="533" customFormat="false" ht="12.75" hidden="false" customHeight="false" outlineLevel="0" collapsed="false">
      <c r="X533" s="102" t="n">
        <v>486</v>
      </c>
      <c r="Y533" s="124" t="n">
        <f aca="false">Y532+Y$16</f>
        <v>0.00205067336559297</v>
      </c>
      <c r="Z533" s="115" t="n">
        <f aca="false">(K-(L0-Y533*Ldif-alph*Y533^0.5))/R0</f>
        <v>0.872291196980062</v>
      </c>
      <c r="AA533" s="113" t="n">
        <f aca="false">IF(Z533&lt;1,X$14*((1-r_1)-Y$14*(1-r_1^2)+Z$14*(1-r_1^3)),0)</f>
        <v>285416.921453742</v>
      </c>
      <c r="AB533" s="97" t="n">
        <f aca="false">AB532+AB$15</f>
        <v>0.00205067336559297</v>
      </c>
      <c r="AC533" s="115" t="n">
        <f aca="false">(Kopt-(L0-AB533*Ldif-alph*AB533^0.5))/R0</f>
        <v>0.872291196980062</v>
      </c>
      <c r="AD533" s="113" t="n">
        <f aca="false">IF(AC533&lt;1,X$14*((1-ropt)-Y$14*(1-ropt^2)+Z$14*(1-ropt^3)),0)</f>
        <v>285416.921453742</v>
      </c>
    </row>
    <row r="534" customFormat="false" ht="12.75" hidden="false" customHeight="false" outlineLevel="0" collapsed="false">
      <c r="X534" s="102" t="n">
        <v>485</v>
      </c>
      <c r="Y534" s="124" t="n">
        <f aca="false">Y533+Y$16</f>
        <v>0.00205466300249101</v>
      </c>
      <c r="Z534" s="115" t="n">
        <f aca="false">(K-(L0-Y534*Ldif-alph*Y534^0.5))/R0</f>
        <v>0.872605694764562</v>
      </c>
      <c r="AA534" s="113" t="n">
        <f aca="false">IF(Z534&lt;1,X$14*((1-r_1)-Y$14*(1-r_1^2)+Z$14*(1-r_1^3)),0)</f>
        <v>284012.907612351</v>
      </c>
      <c r="AB534" s="97" t="n">
        <f aca="false">AB533+AB$15</f>
        <v>0.00205466300249101</v>
      </c>
      <c r="AC534" s="115" t="n">
        <f aca="false">(Kopt-(L0-AB534*Ldif-alph*AB534^0.5))/R0</f>
        <v>0.872605694764562</v>
      </c>
      <c r="AD534" s="113" t="n">
        <f aca="false">IF(AC534&lt;1,X$14*((1-ropt)-Y$14*(1-ropt^2)+Z$14*(1-ropt^3)),0)</f>
        <v>284012.907612351</v>
      </c>
    </row>
    <row r="535" customFormat="false" ht="12.75" hidden="false" customHeight="false" outlineLevel="0" collapsed="false">
      <c r="X535" s="102" t="n">
        <v>484</v>
      </c>
      <c r="Y535" s="124" t="n">
        <f aca="false">Y534+Y$16</f>
        <v>0.00205865263938905</v>
      </c>
      <c r="Z535" s="115" t="n">
        <f aca="false">(K-(L0-Y535*Ldif-alph*Y535^0.5))/R0</f>
        <v>0.872919887360445</v>
      </c>
      <c r="AA535" s="113" t="n">
        <f aca="false">IF(Z535&lt;1,X$14*((1-r_1)-Y$14*(1-r_1^2)+Z$14*(1-r_1^3)),0)</f>
        <v>282613.712998434</v>
      </c>
      <c r="AB535" s="97" t="n">
        <f aca="false">AB534+AB$15</f>
        <v>0.00205865263938905</v>
      </c>
      <c r="AC535" s="115" t="n">
        <f aca="false">(Kopt-(L0-AB535*Ldif-alph*AB535^0.5))/R0</f>
        <v>0.872919887360445</v>
      </c>
      <c r="AD535" s="113" t="n">
        <f aca="false">IF(AC535&lt;1,X$14*((1-ropt)-Y$14*(1-ropt^2)+Z$14*(1-ropt^3)),0)</f>
        <v>282613.712998434</v>
      </c>
    </row>
    <row r="536" customFormat="false" ht="12.75" hidden="false" customHeight="false" outlineLevel="0" collapsed="false">
      <c r="X536" s="102" t="n">
        <v>483</v>
      </c>
      <c r="Y536" s="124" t="n">
        <f aca="false">Y535+Y$16</f>
        <v>0.00206264227628709</v>
      </c>
      <c r="Z536" s="115" t="n">
        <f aca="false">(K-(L0-Y536*Ldif-alph*Y536^0.5))/R0</f>
        <v>0.873233775654465</v>
      </c>
      <c r="AA536" s="113" t="n">
        <f aca="false">IF(Z536&lt;1,X$14*((1-r_1)-Y$14*(1-r_1^2)+Z$14*(1-r_1^3)),0)</f>
        <v>281219.323609396</v>
      </c>
      <c r="AB536" s="97" t="n">
        <f aca="false">AB535+AB$15</f>
        <v>0.00206264227628709</v>
      </c>
      <c r="AC536" s="115" t="n">
        <f aca="false">(Kopt-(L0-AB536*Ldif-alph*AB536^0.5))/R0</f>
        <v>0.873233775654465</v>
      </c>
      <c r="AD536" s="113" t="n">
        <f aca="false">IF(AC536&lt;1,X$14*((1-ropt)-Y$14*(1-ropt^2)+Z$14*(1-ropt^3)),0)</f>
        <v>281219.323609396</v>
      </c>
    </row>
    <row r="537" customFormat="false" ht="12.75" hidden="false" customHeight="false" outlineLevel="0" collapsed="false">
      <c r="X537" s="102" t="n">
        <v>482</v>
      </c>
      <c r="Y537" s="124" t="n">
        <f aca="false">Y536+Y$16</f>
        <v>0.00206663191318513</v>
      </c>
      <c r="Z537" s="115" t="n">
        <f aca="false">(K-(L0-Y537*Ldif-alph*Y537^0.5))/R0</f>
        <v>0.873547360529077</v>
      </c>
      <c r="AA537" s="113" t="n">
        <f aca="false">IF(Z537&lt;1,X$14*((1-r_1)-Y$14*(1-r_1^2)+Z$14*(1-r_1^3)),0)</f>
        <v>279829.725510356</v>
      </c>
      <c r="AB537" s="97" t="n">
        <f aca="false">AB536+AB$15</f>
        <v>0.00206663191318513</v>
      </c>
      <c r="AC537" s="115" t="n">
        <f aca="false">(Kopt-(L0-AB537*Ldif-alph*AB537^0.5))/R0</f>
        <v>0.873547360529077</v>
      </c>
      <c r="AD537" s="113" t="n">
        <f aca="false">IF(AC537&lt;1,X$14*((1-ropt)-Y$14*(1-ropt^2)+Z$14*(1-ropt^3)),0)</f>
        <v>279829.725510356</v>
      </c>
    </row>
    <row r="538" customFormat="false" ht="12.75" hidden="false" customHeight="false" outlineLevel="0" collapsed="false">
      <c r="X538" s="102" t="n">
        <v>481</v>
      </c>
      <c r="Y538" s="124" t="n">
        <f aca="false">Y537+Y$16</f>
        <v>0.00207062155008317</v>
      </c>
      <c r="Z538" s="115" t="n">
        <f aca="false">(K-(L0-Y538*Ldif-alph*Y538^0.5))/R0</f>
        <v>0.873860642862492</v>
      </c>
      <c r="AA538" s="113" t="n">
        <f aca="false">IF(Z538&lt;1,X$14*((1-r_1)-Y$14*(1-r_1^2)+Z$14*(1-r_1^3)),0)</f>
        <v>278444.904833619</v>
      </c>
      <c r="AB538" s="97" t="n">
        <f aca="false">AB537+AB$15</f>
        <v>0.00207062155008317</v>
      </c>
      <c r="AC538" s="115" t="n">
        <f aca="false">(Kopt-(L0-AB538*Ldif-alph*AB538^0.5))/R0</f>
        <v>0.873860642862492</v>
      </c>
      <c r="AD538" s="113" t="n">
        <f aca="false">IF(AC538&lt;1,X$14*((1-ropt)-Y$14*(1-ropt^2)+Z$14*(1-ropt^3)),0)</f>
        <v>278444.904833619</v>
      </c>
    </row>
    <row r="539" customFormat="false" ht="12.75" hidden="false" customHeight="false" outlineLevel="0" collapsed="false">
      <c r="X539" s="102" t="n">
        <v>480</v>
      </c>
      <c r="Y539" s="124" t="n">
        <f aca="false">Y538+Y$16</f>
        <v>0.00207461118698121</v>
      </c>
      <c r="Z539" s="115" t="n">
        <f aca="false">(K-(L0-Y539*Ldif-alph*Y539^0.5))/R0</f>
        <v>0.874173623528681</v>
      </c>
      <c r="AA539" s="113" t="n">
        <f aca="false">IF(Z539&lt;1,X$14*((1-r_1)-Y$14*(1-r_1^2)+Z$14*(1-r_1^3)),0)</f>
        <v>277064.847778288</v>
      </c>
      <c r="AB539" s="97" t="n">
        <f aca="false">AB538+AB$15</f>
        <v>0.00207461118698121</v>
      </c>
      <c r="AC539" s="115" t="n">
        <f aca="false">(Kopt-(L0-AB539*Ldif-alph*AB539^0.5))/R0</f>
        <v>0.874173623528681</v>
      </c>
      <c r="AD539" s="113" t="n">
        <f aca="false">IF(AC539&lt;1,X$14*((1-ropt)-Y$14*(1-ropt^2)+Z$14*(1-ropt^3)),0)</f>
        <v>277064.847778288</v>
      </c>
    </row>
    <row r="540" customFormat="false" ht="12.75" hidden="false" customHeight="false" outlineLevel="0" collapsed="false">
      <c r="X540" s="102" t="n">
        <v>479</v>
      </c>
      <c r="Y540" s="124" t="n">
        <f aca="false">Y539+Y$16</f>
        <v>0.00207860082387925</v>
      </c>
      <c r="Z540" s="115" t="n">
        <f aca="false">(K-(L0-Y540*Ldif-alph*Y540^0.5))/R0</f>
        <v>0.874486303397425</v>
      </c>
      <c r="AA540" s="113" t="n">
        <f aca="false">IF(Z540&lt;1,X$14*((1-r_1)-Y$14*(1-r_1^2)+Z$14*(1-r_1^3)),0)</f>
        <v>275689.540609757</v>
      </c>
      <c r="AB540" s="97" t="n">
        <f aca="false">AB539+AB$15</f>
        <v>0.00207860082387925</v>
      </c>
      <c r="AC540" s="115" t="n">
        <f aca="false">(Kopt-(L0-AB540*Ldif-alph*AB540^0.5))/R0</f>
        <v>0.874486303397425</v>
      </c>
      <c r="AD540" s="113" t="n">
        <f aca="false">IF(AC540&lt;1,X$14*((1-ropt)-Y$14*(1-ropt^2)+Z$14*(1-ropt^3)),0)</f>
        <v>275689.540609757</v>
      </c>
    </row>
    <row r="541" customFormat="false" ht="12.75" hidden="false" customHeight="false" outlineLevel="0" collapsed="false">
      <c r="X541" s="102" t="n">
        <v>478</v>
      </c>
      <c r="Y541" s="124" t="n">
        <f aca="false">Y540+Y$16</f>
        <v>0.0020825904607773</v>
      </c>
      <c r="Z541" s="115" t="n">
        <f aca="false">(K-(L0-Y541*Ldif-alph*Y541^0.5))/R0</f>
        <v>0.874798683334327</v>
      </c>
      <c r="AA541" s="113" t="n">
        <f aca="false">IF(Z541&lt;1,X$14*((1-r_1)-Y$14*(1-r_1^2)+Z$14*(1-r_1^3)),0)</f>
        <v>274318.969659319</v>
      </c>
      <c r="AB541" s="97" t="n">
        <f aca="false">AB540+AB$15</f>
        <v>0.0020825904607773</v>
      </c>
      <c r="AC541" s="115" t="n">
        <f aca="false">(Kopt-(L0-AB541*Ldif-alph*AB541^0.5))/R0</f>
        <v>0.874798683334327</v>
      </c>
      <c r="AD541" s="113" t="n">
        <f aca="false">IF(AC541&lt;1,X$14*((1-ropt)-Y$14*(1-ropt^2)+Z$14*(1-ropt^3)),0)</f>
        <v>274318.969659319</v>
      </c>
    </row>
    <row r="542" customFormat="false" ht="12.75" hidden="false" customHeight="false" outlineLevel="0" collapsed="false">
      <c r="X542" s="102" t="n">
        <v>477</v>
      </c>
      <c r="Y542" s="124" t="n">
        <f aca="false">Y541+Y$16</f>
        <v>0.00208658009767534</v>
      </c>
      <c r="Z542" s="115" t="n">
        <f aca="false">(K-(L0-Y542*Ldif-alph*Y542^0.5))/R0</f>
        <v>0.875110764200849</v>
      </c>
      <c r="AA542" s="113" t="n">
        <f aca="false">IF(Z542&lt;1,X$14*((1-r_1)-Y$14*(1-r_1^2)+Z$14*(1-r_1^3)),0)</f>
        <v>272953.12132368</v>
      </c>
      <c r="AB542" s="97" t="n">
        <f aca="false">AB541+AB$15</f>
        <v>0.00208658009767534</v>
      </c>
      <c r="AC542" s="115" t="n">
        <f aca="false">(Kopt-(L0-AB542*Ldif-alph*AB542^0.5))/R0</f>
        <v>0.875110764200849</v>
      </c>
      <c r="AD542" s="113" t="n">
        <f aca="false">IF(AC542&lt;1,X$14*((1-ropt)-Y$14*(1-ropt^2)+Z$14*(1-ropt^3)),0)</f>
        <v>272953.12132368</v>
      </c>
    </row>
    <row r="543" customFormat="false" ht="12.75" hidden="false" customHeight="false" outlineLevel="0" collapsed="false">
      <c r="X543" s="102" t="n">
        <v>476</v>
      </c>
      <c r="Y543" s="124" t="n">
        <f aca="false">Y542+Y$16</f>
        <v>0.00209056973457338</v>
      </c>
      <c r="Z543" s="115" t="n">
        <f aca="false">(K-(L0-Y543*Ldif-alph*Y543^0.5))/R0</f>
        <v>0.875422546854336</v>
      </c>
      <c r="AA543" s="113" t="n">
        <f aca="false">IF(Z543&lt;1,X$14*((1-r_1)-Y$14*(1-r_1^2)+Z$14*(1-r_1^3)),0)</f>
        <v>271591.982064552</v>
      </c>
      <c r="AB543" s="97" t="n">
        <f aca="false">AB542+AB$15</f>
        <v>0.00209056973457338</v>
      </c>
      <c r="AC543" s="115" t="n">
        <f aca="false">(Kopt-(L0-AB543*Ldif-alph*AB543^0.5))/R0</f>
        <v>0.875422546854336</v>
      </c>
      <c r="AD543" s="113" t="n">
        <f aca="false">IF(AC543&lt;1,X$14*((1-ropt)-Y$14*(1-ropt^2)+Z$14*(1-ropt^3)),0)</f>
        <v>271591.982064552</v>
      </c>
    </row>
    <row r="544" customFormat="false" ht="12.75" hidden="false" customHeight="false" outlineLevel="0" collapsed="false">
      <c r="X544" s="102" t="n">
        <v>475</v>
      </c>
      <c r="Y544" s="124" t="n">
        <f aca="false">Y543+Y$16</f>
        <v>0.00209455937147142</v>
      </c>
      <c r="Z544" s="115" t="n">
        <f aca="false">(K-(L0-Y544*Ldif-alph*Y544^0.5))/R0</f>
        <v>0.875734032148048</v>
      </c>
      <c r="AA544" s="113" t="n">
        <f aca="false">IF(Z544&lt;1,X$14*((1-r_1)-Y$14*(1-r_1^2)+Z$14*(1-r_1^3)),0)</f>
        <v>270235.538408191</v>
      </c>
      <c r="AB544" s="97" t="n">
        <f aca="false">AB543+AB$15</f>
        <v>0.00209455937147142</v>
      </c>
      <c r="AC544" s="115" t="n">
        <f aca="false">(Kopt-(L0-AB544*Ldif-alph*AB544^0.5))/R0</f>
        <v>0.875734032148048</v>
      </c>
      <c r="AD544" s="113" t="n">
        <f aca="false">IF(AC544&lt;1,X$14*((1-ropt)-Y$14*(1-ropt^2)+Z$14*(1-ropt^3)),0)</f>
        <v>270235.538408191</v>
      </c>
    </row>
    <row r="545" customFormat="false" ht="12.75" hidden="false" customHeight="false" outlineLevel="0" collapsed="false">
      <c r="X545" s="102" t="n">
        <v>474</v>
      </c>
      <c r="Y545" s="124" t="n">
        <f aca="false">Y544+Y$16</f>
        <v>0.00209854900836946</v>
      </c>
      <c r="Z545" s="115" t="n">
        <f aca="false">(K-(L0-Y545*Ldif-alph*Y545^0.5))/R0</f>
        <v>0.876045220931177</v>
      </c>
      <c r="AA545" s="113" t="n">
        <f aca="false">IF(Z545&lt;1,X$14*((1-r_1)-Y$14*(1-r_1^2)+Z$14*(1-r_1^3)),0)</f>
        <v>268883.776945012</v>
      </c>
      <c r="AB545" s="97" t="n">
        <f aca="false">AB544+AB$15</f>
        <v>0.00209854900836946</v>
      </c>
      <c r="AC545" s="115" t="n">
        <f aca="false">(Kopt-(L0-AB545*Ldif-alph*AB545^0.5))/R0</f>
        <v>0.876045220931177</v>
      </c>
      <c r="AD545" s="113" t="n">
        <f aca="false">IF(AC545&lt;1,X$14*((1-ropt)-Y$14*(1-ropt^2)+Z$14*(1-ropt^3)),0)</f>
        <v>268883.776945012</v>
      </c>
    </row>
    <row r="546" customFormat="false" ht="12.75" hidden="false" customHeight="false" outlineLevel="0" collapsed="false">
      <c r="X546" s="102" t="n">
        <v>473</v>
      </c>
      <c r="Y546" s="124" t="n">
        <f aca="false">Y545+Y$16</f>
        <v>0.0021025386452675</v>
      </c>
      <c r="Z546" s="115" t="n">
        <f aca="false">(K-(L0-Y546*Ldif-alph*Y546^0.5))/R0</f>
        <v>0.876356114048887</v>
      </c>
      <c r="AA546" s="113" t="n">
        <f aca="false">IF(Z546&lt;1,X$14*((1-r_1)-Y$14*(1-r_1^2)+Z$14*(1-r_1^3)),0)</f>
        <v>267536.684329107</v>
      </c>
      <c r="AB546" s="97" t="n">
        <f aca="false">AB545+AB$15</f>
        <v>0.0021025386452675</v>
      </c>
      <c r="AC546" s="115" t="n">
        <f aca="false">(Kopt-(L0-AB546*Ldif-alph*AB546^0.5))/R0</f>
        <v>0.876356114048887</v>
      </c>
      <c r="AD546" s="113" t="n">
        <f aca="false">IF(AC546&lt;1,X$14*((1-ropt)-Y$14*(1-ropt^2)+Z$14*(1-ropt^3)),0)</f>
        <v>267536.684329107</v>
      </c>
    </row>
    <row r="547" customFormat="false" ht="12.75" hidden="false" customHeight="false" outlineLevel="0" collapsed="false">
      <c r="X547" s="102" t="n">
        <v>472</v>
      </c>
      <c r="Y547" s="124" t="n">
        <f aca="false">Y546+Y$16</f>
        <v>0.00210652828216554</v>
      </c>
      <c r="Z547" s="115" t="n">
        <f aca="false">(K-(L0-Y547*Ldif-alph*Y547^0.5))/R0</f>
        <v>0.876666712342333</v>
      </c>
      <c r="AA547" s="113" t="n">
        <f aca="false">IF(Z547&lt;1,X$14*((1-r_1)-Y$14*(1-r_1^2)+Z$14*(1-r_1^3)),0)</f>
        <v>266194.247277854</v>
      </c>
      <c r="AB547" s="97" t="n">
        <f aca="false">AB546+AB$15</f>
        <v>0.00210652828216554</v>
      </c>
      <c r="AC547" s="115" t="n">
        <f aca="false">(Kopt-(L0-AB547*Ldif-alph*AB547^0.5))/R0</f>
        <v>0.876666712342333</v>
      </c>
      <c r="AD547" s="113" t="n">
        <f aca="false">IF(AC547&lt;1,X$14*((1-ropt)-Y$14*(1-ropt^2)+Z$14*(1-ropt^3)),0)</f>
        <v>266194.247277854</v>
      </c>
    </row>
    <row r="548" customFormat="false" ht="12.75" hidden="false" customHeight="false" outlineLevel="0" collapsed="false">
      <c r="X548" s="102" t="n">
        <v>471</v>
      </c>
      <c r="Y548" s="124" t="n">
        <f aca="false">Y547+Y$16</f>
        <v>0.00211051791906358</v>
      </c>
      <c r="Z548" s="115" t="n">
        <f aca="false">(K-(L0-Y548*Ldif-alph*Y548^0.5))/R0</f>
        <v>0.876977016648685</v>
      </c>
      <c r="AA548" s="113" t="n">
        <f aca="false">IF(Z548&lt;1,X$14*((1-r_1)-Y$14*(1-r_1^2)+Z$14*(1-r_1^3)),0)</f>
        <v>264856.452571514</v>
      </c>
      <c r="AB548" s="97" t="n">
        <f aca="false">AB547+AB$15</f>
        <v>0.00211051791906358</v>
      </c>
      <c r="AC548" s="115" t="n">
        <f aca="false">(Kopt-(L0-AB548*Ldif-alph*AB548^0.5))/R0</f>
        <v>0.876977016648685</v>
      </c>
      <c r="AD548" s="113" t="n">
        <f aca="false">IF(AC548&lt;1,X$14*((1-ropt)-Y$14*(1-ropt^2)+Z$14*(1-ropt^3)),0)</f>
        <v>264856.452571514</v>
      </c>
    </row>
    <row r="549" customFormat="false" ht="12.75" hidden="false" customHeight="false" outlineLevel="0" collapsed="false">
      <c r="X549" s="102" t="n">
        <v>470</v>
      </c>
      <c r="Y549" s="124" t="n">
        <f aca="false">Y548+Y$16</f>
        <v>0.00211450755596162</v>
      </c>
      <c r="Z549" s="115" t="n">
        <f aca="false">(K-(L0-Y549*Ldif-alph*Y549^0.5))/R0</f>
        <v>0.877287027801164</v>
      </c>
      <c r="AA549" s="113" t="n">
        <f aca="false">IF(Z549&lt;1,X$14*((1-r_1)-Y$14*(1-r_1^2)+Z$14*(1-r_1^3)),0)</f>
        <v>263523.287052764</v>
      </c>
      <c r="AB549" s="97" t="n">
        <f aca="false">AB548+AB$15</f>
        <v>0.00211450755596162</v>
      </c>
      <c r="AC549" s="115" t="n">
        <f aca="false">(Kopt-(L0-AB549*Ldif-alph*AB549^0.5))/R0</f>
        <v>0.877287027801164</v>
      </c>
      <c r="AD549" s="113" t="n">
        <f aca="false">IF(AC549&lt;1,X$14*((1-ropt)-Y$14*(1-ropt^2)+Z$14*(1-ropt^3)),0)</f>
        <v>263523.287052764</v>
      </c>
    </row>
    <row r="550" customFormat="false" ht="12.75" hidden="false" customHeight="false" outlineLevel="0" collapsed="false">
      <c r="X550" s="102" t="n">
        <v>469</v>
      </c>
      <c r="Y550" s="124" t="n">
        <f aca="false">Y549+Y$16</f>
        <v>0.00211849719285966</v>
      </c>
      <c r="Z550" s="115" t="n">
        <f aca="false">(K-(L0-Y550*Ldif-alph*Y550^0.5))/R0</f>
        <v>0.877596746629062</v>
      </c>
      <c r="AA550" s="113" t="n">
        <f aca="false">IF(Z550&lt;1,X$14*((1-r_1)-Y$14*(1-r_1^2)+Z$14*(1-r_1^3)),0)</f>
        <v>262194.737626324</v>
      </c>
      <c r="AB550" s="97" t="n">
        <f aca="false">AB549+AB$15</f>
        <v>0.00211849719285966</v>
      </c>
      <c r="AC550" s="115" t="n">
        <f aca="false">(Kopt-(L0-AB550*Ldif-alph*AB550^0.5))/R0</f>
        <v>0.877596746629062</v>
      </c>
      <c r="AD550" s="113" t="n">
        <f aca="false">IF(AC550&lt;1,X$14*((1-ropt)-Y$14*(1-ropt^2)+Z$14*(1-ropt^3)),0)</f>
        <v>262194.737626324</v>
      </c>
    </row>
    <row r="551" customFormat="false" ht="12.75" hidden="false" customHeight="false" outlineLevel="0" collapsed="false">
      <c r="X551" s="102" t="n">
        <v>468</v>
      </c>
      <c r="Y551" s="124" t="n">
        <f aca="false">Y550+Y$16</f>
        <v>0.0021224868297577</v>
      </c>
      <c r="Z551" s="115" t="n">
        <f aca="false">(K-(L0-Y551*Ldif-alph*Y551^0.5))/R0</f>
        <v>0.877906173957767</v>
      </c>
      <c r="AA551" s="113" t="n">
        <f aca="false">IF(Z551&lt;1,X$14*((1-r_1)-Y$14*(1-r_1^2)+Z$14*(1-r_1^3)),0)</f>
        <v>260870.791258541</v>
      </c>
      <c r="AB551" s="97" t="n">
        <f aca="false">AB550+AB$15</f>
        <v>0.0021224868297577</v>
      </c>
      <c r="AC551" s="115" t="n">
        <f aca="false">(Kopt-(L0-AB551*Ldif-alph*AB551^0.5))/R0</f>
        <v>0.877906173957767</v>
      </c>
      <c r="AD551" s="113" t="n">
        <f aca="false">IF(AC551&lt;1,X$14*((1-ropt)-Y$14*(1-ropt^2)+Z$14*(1-ropt^3)),0)</f>
        <v>260870.791258541</v>
      </c>
    </row>
    <row r="552" customFormat="false" ht="12.75" hidden="false" customHeight="false" outlineLevel="0" collapsed="false">
      <c r="X552" s="102" t="n">
        <v>467</v>
      </c>
      <c r="Y552" s="124" t="n">
        <f aca="false">Y551+Y$16</f>
        <v>0.00212647646665574</v>
      </c>
      <c r="Z552" s="115" t="n">
        <f aca="false">(K-(L0-Y552*Ldif-alph*Y552^0.5))/R0</f>
        <v>0.878215310608787</v>
      </c>
      <c r="AA552" s="113" t="n">
        <f aca="false">IF(Z552&lt;1,X$14*((1-r_1)-Y$14*(1-r_1^2)+Z$14*(1-r_1^3)),0)</f>
        <v>259551.434976999</v>
      </c>
      <c r="AB552" s="97" t="n">
        <f aca="false">AB551+AB$15</f>
        <v>0.00212647646665574</v>
      </c>
      <c r="AC552" s="115" t="n">
        <f aca="false">(Kopt-(L0-AB552*Ldif-alph*AB552^0.5))/R0</f>
        <v>0.878215310608787</v>
      </c>
      <c r="AD552" s="113" t="n">
        <f aca="false">IF(AC552&lt;1,X$14*((1-ropt)-Y$14*(1-ropt^2)+Z$14*(1-ropt^3)),0)</f>
        <v>259551.434976999</v>
      </c>
    </row>
    <row r="553" customFormat="false" ht="12.75" hidden="false" customHeight="false" outlineLevel="0" collapsed="false">
      <c r="X553" s="102" t="n">
        <v>466</v>
      </c>
      <c r="Y553" s="124" t="n">
        <f aca="false">Y552+Y$16</f>
        <v>0.00213046610355378</v>
      </c>
      <c r="Z553" s="115" t="n">
        <f aca="false">(K-(L0-Y553*Ldif-alph*Y553^0.5))/R0</f>
        <v>0.878524157399786</v>
      </c>
      <c r="AA553" s="113" t="n">
        <f aca="false">IF(Z553&lt;1,X$14*((1-r_1)-Y$14*(1-r_1^2)+Z$14*(1-r_1^3)),0)</f>
        <v>258236.655870063</v>
      </c>
      <c r="AB553" s="97" t="n">
        <f aca="false">AB552+AB$15</f>
        <v>0.00213046610355378</v>
      </c>
      <c r="AC553" s="115" t="n">
        <f aca="false">(Kopt-(L0-AB553*Ldif-alph*AB553^0.5))/R0</f>
        <v>0.878524157399786</v>
      </c>
      <c r="AD553" s="113" t="n">
        <f aca="false">IF(AC553&lt;1,X$14*((1-ropt)-Y$14*(1-ropt^2)+Z$14*(1-ropt^3)),0)</f>
        <v>258236.655870063</v>
      </c>
    </row>
    <row r="554" customFormat="false" ht="12.75" hidden="false" customHeight="false" outlineLevel="0" collapsed="false">
      <c r="X554" s="102" t="n">
        <v>465</v>
      </c>
      <c r="Y554" s="124" t="n">
        <f aca="false">Y553+Y$16</f>
        <v>0.00213445574045182</v>
      </c>
      <c r="Z554" s="115" t="n">
        <f aca="false">(K-(L0-Y554*Ldif-alph*Y554^0.5))/R0</f>
        <v>0.878832715144591</v>
      </c>
      <c r="AA554" s="113" t="n">
        <f aca="false">IF(Z554&lt;1,X$14*((1-r_1)-Y$14*(1-r_1^2)+Z$14*(1-r_1^3)),0)</f>
        <v>256926.441086558</v>
      </c>
      <c r="AB554" s="97" t="n">
        <f aca="false">AB553+AB$15</f>
        <v>0.00213445574045182</v>
      </c>
      <c r="AC554" s="115" t="n">
        <f aca="false">(Kopt-(L0-AB554*Ldif-alph*AB554^0.5))/R0</f>
        <v>0.878832715144591</v>
      </c>
      <c r="AD554" s="113" t="n">
        <f aca="false">IF(AC554&lt;1,X$14*((1-ropt)-Y$14*(1-ropt^2)+Z$14*(1-ropt^3)),0)</f>
        <v>256926.441086558</v>
      </c>
    </row>
    <row r="555" customFormat="false" ht="12.75" hidden="false" customHeight="false" outlineLevel="0" collapsed="false">
      <c r="X555" s="102" t="n">
        <v>464</v>
      </c>
      <c r="Y555" s="124" t="n">
        <f aca="false">Y554+Y$16</f>
        <v>0.00213844537734986</v>
      </c>
      <c r="Z555" s="115" t="n">
        <f aca="false">(K-(L0-Y555*Ldif-alph*Y555^0.5))/R0</f>
        <v>0.879140984653242</v>
      </c>
      <c r="AA555" s="113" t="n">
        <f aca="false">IF(Z555&lt;1,X$14*((1-r_1)-Y$14*(1-r_1^2)+Z$14*(1-r_1^3)),0)</f>
        <v>255620.77783529</v>
      </c>
      <c r="AB555" s="97" t="n">
        <f aca="false">AB554+AB$15</f>
        <v>0.00213844537734986</v>
      </c>
      <c r="AC555" s="115" t="n">
        <f aca="false">(Kopt-(L0-AB555*Ldif-alph*AB555^0.5))/R0</f>
        <v>0.879140984653242</v>
      </c>
      <c r="AD555" s="113" t="n">
        <f aca="false">IF(AC555&lt;1,X$14*((1-ropt)-Y$14*(1-ropt^2)+Z$14*(1-ropt^3)),0)</f>
        <v>255620.77783529</v>
      </c>
    </row>
    <row r="556" customFormat="false" ht="12.75" hidden="false" customHeight="false" outlineLevel="0" collapsed="false">
      <c r="X556" s="102" t="n">
        <v>463</v>
      </c>
      <c r="Y556" s="124" t="n">
        <f aca="false">Y555+Y$16</f>
        <v>0.0021424350142479</v>
      </c>
      <c r="Z556" s="115" t="n">
        <f aca="false">(K-(L0-Y556*Ldif-alph*Y556^0.5))/R0</f>
        <v>0.879448966731989</v>
      </c>
      <c r="AA556" s="113" t="n">
        <f aca="false">IF(Z556&lt;1,X$14*((1-r_1)-Y$14*(1-r_1^2)+Z$14*(1-r_1^3)),0)</f>
        <v>254319.653384741</v>
      </c>
      <c r="AB556" s="97" t="n">
        <f aca="false">AB555+AB$15</f>
        <v>0.0021424350142479</v>
      </c>
      <c r="AC556" s="115" t="n">
        <f aca="false">(Kopt-(L0-AB556*Ldif-alph*AB556^0.5))/R0</f>
        <v>0.879448966731989</v>
      </c>
      <c r="AD556" s="113" t="n">
        <f aca="false">IF(AC556&lt;1,X$14*((1-ropt)-Y$14*(1-ropt^2)+Z$14*(1-ropt^3)),0)</f>
        <v>254319.653384741</v>
      </c>
    </row>
    <row r="557" customFormat="false" ht="12.75" hidden="false" customHeight="false" outlineLevel="0" collapsed="false">
      <c r="X557" s="102" t="n">
        <v>462</v>
      </c>
      <c r="Y557" s="124" t="n">
        <f aca="false">Y556+Y$16</f>
        <v>0.00214642465114595</v>
      </c>
      <c r="Z557" s="115" t="n">
        <f aca="false">(K-(L0-Y557*Ldif-alph*Y557^0.5))/R0</f>
        <v>0.879756662183339</v>
      </c>
      <c r="AA557" s="113" t="n">
        <f aca="false">IF(Z557&lt;1,X$14*((1-r_1)-Y$14*(1-r_1^2)+Z$14*(1-r_1^3)),0)</f>
        <v>253023.055062602</v>
      </c>
      <c r="AB557" s="97" t="n">
        <f aca="false">AB556+AB$15</f>
        <v>0.00214642465114595</v>
      </c>
      <c r="AC557" s="115" t="n">
        <f aca="false">(Kopt-(L0-AB557*Ldif-alph*AB557^0.5))/R0</f>
        <v>0.879756662183339</v>
      </c>
      <c r="AD557" s="113" t="n">
        <f aca="false">IF(AC557&lt;1,X$14*((1-ropt)-Y$14*(1-ropt^2)+Z$14*(1-ropt^3)),0)</f>
        <v>253023.055062602</v>
      </c>
    </row>
    <row r="558" customFormat="false" ht="12.75" hidden="false" customHeight="false" outlineLevel="0" collapsed="false">
      <c r="X558" s="102" t="n">
        <v>461</v>
      </c>
      <c r="Y558" s="124" t="n">
        <f aca="false">Y557+Y$16</f>
        <v>0.00215041428804399</v>
      </c>
      <c r="Z558" s="115" t="n">
        <f aca="false">(K-(L0-Y558*Ldif-alph*Y558^0.5))/R0</f>
        <v>0.880064071806067</v>
      </c>
      <c r="AA558" s="113" t="n">
        <f aca="false">IF(Z558&lt;1,X$14*((1-r_1)-Y$14*(1-r_1^2)+Z$14*(1-r_1^3)),0)</f>
        <v>251730.970255456</v>
      </c>
      <c r="AB558" s="97" t="n">
        <f aca="false">AB557+AB$15</f>
        <v>0.00215041428804399</v>
      </c>
      <c r="AC558" s="115" t="n">
        <f aca="false">(Kopt-(L0-AB558*Ldif-alph*AB558^0.5))/R0</f>
        <v>0.880064071806067</v>
      </c>
      <c r="AD558" s="113" t="n">
        <f aca="false">IF(AC558&lt;1,X$14*((1-ropt)-Y$14*(1-ropt^2)+Z$14*(1-ropt^3)),0)</f>
        <v>251730.970255456</v>
      </c>
    </row>
    <row r="559" customFormat="false" ht="12.75" hidden="false" customHeight="false" outlineLevel="0" collapsed="false">
      <c r="X559" s="102" t="n">
        <v>460</v>
      </c>
      <c r="Y559" s="124" t="n">
        <f aca="false">Y558+Y$16</f>
        <v>0.00215440392494203</v>
      </c>
      <c r="Z559" s="115" t="n">
        <f aca="false">(K-(L0-Y559*Ldif-alph*Y559^0.5))/R0</f>
        <v>0.880371196395248</v>
      </c>
      <c r="AA559" s="113" t="n">
        <f aca="false">IF(Z559&lt;1,X$14*((1-r_1)-Y$14*(1-r_1^2)+Z$14*(1-r_1^3)),0)</f>
        <v>250443.386408327</v>
      </c>
      <c r="AB559" s="97" t="n">
        <f aca="false">AB558+AB$15</f>
        <v>0.00215440392494203</v>
      </c>
      <c r="AC559" s="115" t="n">
        <f aca="false">(Kopt-(L0-AB559*Ldif-alph*AB559^0.5))/R0</f>
        <v>0.880371196395248</v>
      </c>
      <c r="AD559" s="113" t="n">
        <f aca="false">IF(AC559&lt;1,X$14*((1-ropt)-Y$14*(1-ropt^2)+Z$14*(1-ropt^3)),0)</f>
        <v>250443.386408327</v>
      </c>
    </row>
    <row r="560" customFormat="false" ht="12.75" hidden="false" customHeight="false" outlineLevel="0" collapsed="false">
      <c r="X560" s="102" t="n">
        <v>459</v>
      </c>
      <c r="Y560" s="124" t="n">
        <f aca="false">Y559+Y$16</f>
        <v>0.00215839356184007</v>
      </c>
      <c r="Z560" s="115" t="n">
        <f aca="false">(K-(L0-Y560*Ldif-alph*Y560^0.5))/R0</f>
        <v>0.880678036742274</v>
      </c>
      <c r="AA560" s="113" t="n">
        <f aca="false">IF(Z560&lt;1,X$14*((1-r_1)-Y$14*(1-r_1^2)+Z$14*(1-r_1^3)),0)</f>
        <v>249160.291024368</v>
      </c>
      <c r="AB560" s="97" t="n">
        <f aca="false">AB559+AB$15</f>
        <v>0.00215839356184007</v>
      </c>
      <c r="AC560" s="115" t="n">
        <f aca="false">(Kopt-(L0-AB560*Ldif-alph*AB560^0.5))/R0</f>
        <v>0.880678036742274</v>
      </c>
      <c r="AD560" s="113" t="n">
        <f aca="false">IF(AC560&lt;1,X$14*((1-ropt)-Y$14*(1-ropt^2)+Z$14*(1-ropt^3)),0)</f>
        <v>249160.291024368</v>
      </c>
    </row>
    <row r="561" customFormat="false" ht="12.75" hidden="false" customHeight="false" outlineLevel="0" collapsed="false">
      <c r="X561" s="102" t="n">
        <v>458</v>
      </c>
      <c r="Y561" s="124" t="n">
        <f aca="false">Y560+Y$16</f>
        <v>0.00216238319873811</v>
      </c>
      <c r="Z561" s="115" t="n">
        <f aca="false">(K-(L0-Y561*Ldif-alph*Y561^0.5))/R0</f>
        <v>0.880984593634889</v>
      </c>
      <c r="AA561" s="113" t="n">
        <f aca="false">IF(Z561&lt;1,X$14*((1-r_1)-Y$14*(1-r_1^2)+Z$14*(1-r_1^3)),0)</f>
        <v>247881.671664421</v>
      </c>
      <c r="AB561" s="97" t="n">
        <f aca="false">AB560+AB$15</f>
        <v>0.00216238319873811</v>
      </c>
      <c r="AC561" s="115" t="n">
        <f aca="false">(Kopt-(L0-AB561*Ldif-alph*AB561^0.5))/R0</f>
        <v>0.880984593634889</v>
      </c>
      <c r="AD561" s="113" t="n">
        <f aca="false">IF(AC561&lt;1,X$14*((1-ropt)-Y$14*(1-ropt^2)+Z$14*(1-ropt^3)),0)</f>
        <v>247881.671664421</v>
      </c>
    </row>
    <row r="562" customFormat="false" ht="12.75" hidden="false" customHeight="false" outlineLevel="0" collapsed="false">
      <c r="X562" s="102" t="n">
        <v>457</v>
      </c>
      <c r="Y562" s="124" t="n">
        <f aca="false">Y561+Y$16</f>
        <v>0.00216637283563615</v>
      </c>
      <c r="Z562" s="115" t="n">
        <f aca="false">(K-(L0-Y562*Ldif-alph*Y562^0.5))/R0</f>
        <v>0.881290867857192</v>
      </c>
      <c r="AA562" s="113" t="n">
        <f aca="false">IF(Z562&lt;1,X$14*((1-r_1)-Y$14*(1-r_1^2)+Z$14*(1-r_1^3)),0)</f>
        <v>246607.515946726</v>
      </c>
      <c r="AB562" s="97" t="n">
        <f aca="false">AB561+AB$15</f>
        <v>0.00216637283563615</v>
      </c>
      <c r="AC562" s="115" t="n">
        <f aca="false">(Kopt-(L0-AB562*Ldif-alph*AB562^0.5))/R0</f>
        <v>0.881290867857192</v>
      </c>
      <c r="AD562" s="113" t="n">
        <f aca="false">IF(AC562&lt;1,X$14*((1-ropt)-Y$14*(1-ropt^2)+Z$14*(1-ropt^3)),0)</f>
        <v>246607.515946726</v>
      </c>
    </row>
    <row r="563" customFormat="false" ht="12.75" hidden="false" customHeight="false" outlineLevel="0" collapsed="false">
      <c r="X563" s="102" t="n">
        <v>456</v>
      </c>
      <c r="Y563" s="124" t="n">
        <f aca="false">Y562+Y$16</f>
        <v>0.00217036247253419</v>
      </c>
      <c r="Z563" s="115" t="n">
        <f aca="false">(K-(L0-Y563*Ldif-alph*Y563^0.5))/R0</f>
        <v>0.881596860189689</v>
      </c>
      <c r="AA563" s="113" t="n">
        <f aca="false">IF(Z563&lt;1,X$14*((1-r_1)-Y$14*(1-r_1^2)+Z$14*(1-r_1^3)),0)</f>
        <v>245337.811546451</v>
      </c>
      <c r="AB563" s="97" t="n">
        <f aca="false">AB562+AB$15</f>
        <v>0.00217036247253419</v>
      </c>
      <c r="AC563" s="115" t="n">
        <f aca="false">(Kopt-(L0-AB563*Ldif-alph*AB563^0.5))/R0</f>
        <v>0.881596860189689</v>
      </c>
      <c r="AD563" s="113" t="n">
        <f aca="false">IF(AC563&lt;1,X$14*((1-ropt)-Y$14*(1-ropt^2)+Z$14*(1-ropt^3)),0)</f>
        <v>245337.811546451</v>
      </c>
    </row>
    <row r="564" customFormat="false" ht="12.75" hidden="false" customHeight="false" outlineLevel="0" collapsed="false">
      <c r="X564" s="102" t="n">
        <v>455</v>
      </c>
      <c r="Y564" s="124" t="n">
        <f aca="false">Y563+Y$16</f>
        <v>0.00217435210943223</v>
      </c>
      <c r="Z564" s="115" t="n">
        <f aca="false">(K-(L0-Y564*Ldif-alph*Y564^0.5))/R0</f>
        <v>0.881902571409292</v>
      </c>
      <c r="AA564" s="113" t="n">
        <f aca="false">IF(Z564&lt;1,X$14*((1-r_1)-Y$14*(1-r_1^2)+Z$14*(1-r_1^3)),0)</f>
        <v>244072.546195404</v>
      </c>
      <c r="AB564" s="97" t="n">
        <f aca="false">AB563+AB$15</f>
        <v>0.00217435210943223</v>
      </c>
      <c r="AC564" s="115" t="n">
        <f aca="false">(Kopt-(L0-AB564*Ldif-alph*AB564^0.5))/R0</f>
        <v>0.881902571409292</v>
      </c>
      <c r="AD564" s="113" t="n">
        <f aca="false">IF(AC564&lt;1,X$14*((1-ropt)-Y$14*(1-ropt^2)+Z$14*(1-ropt^3)),0)</f>
        <v>244072.546195404</v>
      </c>
    </row>
    <row r="565" customFormat="false" ht="12.75" hidden="false" customHeight="false" outlineLevel="0" collapsed="false">
      <c r="X565" s="102" t="n">
        <v>454</v>
      </c>
      <c r="Y565" s="124" t="n">
        <f aca="false">Y564+Y$16</f>
        <v>0.00217834174633027</v>
      </c>
      <c r="Z565" s="115" t="n">
        <f aca="false">(K-(L0-Y565*Ldif-alph*Y565^0.5))/R0</f>
        <v>0.88220800228935</v>
      </c>
      <c r="AA565" s="113" t="n">
        <f aca="false">IF(Z565&lt;1,X$14*((1-r_1)-Y$14*(1-r_1^2)+Z$14*(1-r_1^3)),0)</f>
        <v>242811.707681652</v>
      </c>
      <c r="AB565" s="97" t="n">
        <f aca="false">AB564+AB$15</f>
        <v>0.00217834174633027</v>
      </c>
      <c r="AC565" s="115" t="n">
        <f aca="false">(Kopt-(L0-AB565*Ldif-alph*AB565^0.5))/R0</f>
        <v>0.88220800228935</v>
      </c>
      <c r="AD565" s="113" t="n">
        <f aca="false">IF(AC565&lt;1,X$14*((1-ropt)-Y$14*(1-ropt^2)+Z$14*(1-ropt^3)),0)</f>
        <v>242811.707681652</v>
      </c>
    </row>
    <row r="566" customFormat="false" ht="12.75" hidden="false" customHeight="false" outlineLevel="0" collapsed="false">
      <c r="X566" s="102" t="n">
        <v>453</v>
      </c>
      <c r="Y566" s="124" t="n">
        <f aca="false">Y565+Y$16</f>
        <v>0.00218233138322831</v>
      </c>
      <c r="Z566" s="115" t="n">
        <f aca="false">(K-(L0-Y566*Ldif-alph*Y566^0.5))/R0</f>
        <v>0.882513153599675</v>
      </c>
      <c r="AA566" s="113" t="n">
        <f aca="false">IF(Z566&lt;1,X$14*((1-r_1)-Y$14*(1-r_1^2)+Z$14*(1-r_1^3)),0)</f>
        <v>241555.283849138</v>
      </c>
      <c r="AB566" s="97" t="n">
        <f aca="false">AB565+AB$15</f>
        <v>0.00218233138322831</v>
      </c>
      <c r="AC566" s="115" t="n">
        <f aca="false">(Kopt-(L0-AB566*Ldif-alph*AB566^0.5))/R0</f>
        <v>0.882513153599675</v>
      </c>
      <c r="AD566" s="113" t="n">
        <f aca="false">IF(AC566&lt;1,X$14*((1-ropt)-Y$14*(1-ropt^2)+Z$14*(1-ropt^3)),0)</f>
        <v>241555.283849138</v>
      </c>
    </row>
    <row r="567" customFormat="false" ht="12.75" hidden="false" customHeight="false" outlineLevel="0" collapsed="false">
      <c r="X567" s="102" t="n">
        <v>452</v>
      </c>
      <c r="Y567" s="124" t="n">
        <f aca="false">Y566+Y$16</f>
        <v>0.00218632102012635</v>
      </c>
      <c r="Z567" s="115" t="n">
        <f aca="false">(K-(L0-Y567*Ldif-alph*Y567^0.5))/R0</f>
        <v>0.882818026106566</v>
      </c>
      <c r="AA567" s="113" t="n">
        <f aca="false">IF(Z567&lt;1,X$14*((1-r_1)-Y$14*(1-r_1^2)+Z$14*(1-r_1^3)),0)</f>
        <v>240303.262597327</v>
      </c>
      <c r="AB567" s="97" t="n">
        <f aca="false">AB566+AB$15</f>
        <v>0.00218632102012635</v>
      </c>
      <c r="AC567" s="115" t="n">
        <f aca="false">(Kopt-(L0-AB567*Ldif-alph*AB567^0.5))/R0</f>
        <v>0.882818026106566</v>
      </c>
      <c r="AD567" s="113" t="n">
        <f aca="false">IF(AC567&lt;1,X$14*((1-ropt)-Y$14*(1-ropt^2)+Z$14*(1-ropt^3)),0)</f>
        <v>240303.262597327</v>
      </c>
    </row>
    <row r="568" customFormat="false" ht="12.75" hidden="false" customHeight="false" outlineLevel="0" collapsed="false">
      <c r="X568" s="102" t="n">
        <v>451</v>
      </c>
      <c r="Y568" s="124" t="n">
        <f aca="false">Y567+Y$16</f>
        <v>0.00219031065702439</v>
      </c>
      <c r="Z568" s="115" t="n">
        <f aca="false">(K-(L0-Y568*Ldif-alph*Y568^0.5))/R0</f>
        <v>0.883122620572818</v>
      </c>
      <c r="AA568" s="113" t="n">
        <f aca="false">IF(Z568&lt;1,X$14*((1-r_1)-Y$14*(1-r_1^2)+Z$14*(1-r_1^3)),0)</f>
        <v>239055.631880896</v>
      </c>
      <c r="AB568" s="97" t="n">
        <f aca="false">AB567+AB$15</f>
        <v>0.00219031065702439</v>
      </c>
      <c r="AC568" s="115" t="n">
        <f aca="false">(Kopt-(L0-AB568*Ldif-alph*AB568^0.5))/R0</f>
        <v>0.883122620572818</v>
      </c>
      <c r="AD568" s="113" t="n">
        <f aca="false">IF(AC568&lt;1,X$14*((1-ropt)-Y$14*(1-ropt^2)+Z$14*(1-ropt^3)),0)</f>
        <v>239055.631880896</v>
      </c>
    </row>
    <row r="569" customFormat="false" ht="12.75" hidden="false" customHeight="false" outlineLevel="0" collapsed="false">
      <c r="X569" s="102" t="n">
        <v>450</v>
      </c>
      <c r="Y569" s="124" t="n">
        <f aca="false">Y568+Y$16</f>
        <v>0.00219430029392243</v>
      </c>
      <c r="Z569" s="115" t="n">
        <f aca="false">(K-(L0-Y569*Ldif-alph*Y569^0.5))/R0</f>
        <v>0.883426937757765</v>
      </c>
      <c r="AA569" s="113" t="n">
        <f aca="false">IF(Z569&lt;1,X$14*((1-r_1)-Y$14*(1-r_1^2)+Z$14*(1-r_1^3)),0)</f>
        <v>237812.379709311</v>
      </c>
      <c r="AB569" s="97" t="n">
        <f aca="false">AB568+AB$15</f>
        <v>0.00219430029392243</v>
      </c>
      <c r="AC569" s="115" t="n">
        <f aca="false">(Kopt-(L0-AB569*Ldif-alph*AB569^0.5))/R0</f>
        <v>0.883426937757765</v>
      </c>
      <c r="AD569" s="113" t="n">
        <f aca="false">IF(AC569&lt;1,X$14*((1-ropt)-Y$14*(1-ropt^2)+Z$14*(1-ropt^3)),0)</f>
        <v>237812.379709311</v>
      </c>
    </row>
    <row r="570" customFormat="false" ht="12.75" hidden="false" customHeight="false" outlineLevel="0" collapsed="false">
      <c r="X570" s="102" t="n">
        <v>449</v>
      </c>
      <c r="Y570" s="124" t="n">
        <f aca="false">Y569+Y$16</f>
        <v>0.00219828993082047</v>
      </c>
      <c r="Z570" s="115" t="n">
        <f aca="false">(K-(L0-Y570*Ldif-alph*Y570^0.5))/R0</f>
        <v>0.883730978417283</v>
      </c>
      <c r="AA570" s="113" t="n">
        <f aca="false">IF(Z570&lt;1,X$14*((1-r_1)-Y$14*(1-r_1^2)+Z$14*(1-r_1^3)),0)</f>
        <v>236573.494146542</v>
      </c>
      <c r="AB570" s="97" t="n">
        <f aca="false">AB569+AB$15</f>
        <v>0.00219828993082047</v>
      </c>
      <c r="AC570" s="115" t="n">
        <f aca="false">(Kopt-(L0-AB570*Ldif-alph*AB570^0.5))/R0</f>
        <v>0.883730978417283</v>
      </c>
      <c r="AD570" s="113" t="n">
        <f aca="false">IF(AC570&lt;1,X$14*((1-ropt)-Y$14*(1-ropt^2)+Z$14*(1-ropt^3)),0)</f>
        <v>236573.494146542</v>
      </c>
    </row>
    <row r="571" customFormat="false" ht="12.75" hidden="false" customHeight="false" outlineLevel="0" collapsed="false">
      <c r="X571" s="102" t="n">
        <v>448</v>
      </c>
      <c r="Y571" s="124" t="n">
        <f aca="false">Y570+Y$16</f>
        <v>0.00220227956771851</v>
      </c>
      <c r="Z571" s="115" t="n">
        <f aca="false">(K-(L0-Y571*Ldif-alph*Y571^0.5))/R0</f>
        <v>0.884034743303824</v>
      </c>
      <c r="AA571" s="113" t="n">
        <f aca="false">IF(Z571&lt;1,X$14*((1-r_1)-Y$14*(1-r_1^2)+Z$14*(1-r_1^3)),0)</f>
        <v>235338.963310676</v>
      </c>
      <c r="AB571" s="97" t="n">
        <f aca="false">AB570+AB$15</f>
        <v>0.00220227956771851</v>
      </c>
      <c r="AC571" s="115" t="n">
        <f aca="false">(Kopt-(L0-AB571*Ldif-alph*AB571^0.5))/R0</f>
        <v>0.884034743303824</v>
      </c>
      <c r="AD571" s="113" t="n">
        <f aca="false">IF(AC571&lt;1,X$14*((1-ropt)-Y$14*(1-ropt^2)+Z$14*(1-ropt^3)),0)</f>
        <v>235338.963310676</v>
      </c>
    </row>
    <row r="572" customFormat="false" ht="12.75" hidden="false" customHeight="false" outlineLevel="0" collapsed="false">
      <c r="X572" s="102" t="n">
        <v>447</v>
      </c>
      <c r="Y572" s="124" t="n">
        <f aca="false">Y571+Y$16</f>
        <v>0.00220626920461655</v>
      </c>
      <c r="Z572" s="115" t="n">
        <f aca="false">(K-(L0-Y572*Ldif-alph*Y572^0.5))/R0</f>
        <v>0.884338233166432</v>
      </c>
      <c r="AA572" s="113" t="n">
        <f aca="false">IF(Z572&lt;1,X$14*((1-r_1)-Y$14*(1-r_1^2)+Z$14*(1-r_1^3)),0)</f>
        <v>234108.775373595</v>
      </c>
      <c r="AB572" s="97" t="n">
        <f aca="false">AB571+AB$15</f>
        <v>0.00220626920461655</v>
      </c>
      <c r="AC572" s="115" t="n">
        <f aca="false">(Kopt-(L0-AB572*Ldif-alph*AB572^0.5))/R0</f>
        <v>0.884338233166432</v>
      </c>
      <c r="AD572" s="113" t="n">
        <f aca="false">IF(AC572&lt;1,X$14*((1-ropt)-Y$14*(1-ropt^2)+Z$14*(1-ropt^3)),0)</f>
        <v>234108.775373595</v>
      </c>
    </row>
    <row r="573" customFormat="false" ht="12.75" hidden="false" customHeight="false" outlineLevel="0" collapsed="false">
      <c r="X573" s="102" t="n">
        <v>446</v>
      </c>
      <c r="Y573" s="124" t="n">
        <f aca="false">Y572+Y$16</f>
        <v>0.0022102588415146</v>
      </c>
      <c r="Z573" s="115" t="n">
        <f aca="false">(K-(L0-Y573*Ldif-alph*Y573^0.5))/R0</f>
        <v>0.884641448750768</v>
      </c>
      <c r="AA573" s="113" t="n">
        <f aca="false">IF(Z573&lt;1,X$14*((1-r_1)-Y$14*(1-r_1^2)+Z$14*(1-r_1^3)),0)</f>
        <v>232882.918560631</v>
      </c>
      <c r="AB573" s="97" t="n">
        <f aca="false">AB572+AB$15</f>
        <v>0.0022102588415146</v>
      </c>
      <c r="AC573" s="115" t="n">
        <f aca="false">(Kopt-(L0-AB573*Ldif-alph*AB573^0.5))/R0</f>
        <v>0.884641448750768</v>
      </c>
      <c r="AD573" s="113" t="n">
        <f aca="false">IF(AC573&lt;1,X$14*((1-ropt)-Y$14*(1-ropt^2)+Z$14*(1-ropt^3)),0)</f>
        <v>232882.918560631</v>
      </c>
    </row>
    <row r="574" customFormat="false" ht="12.75" hidden="false" customHeight="false" outlineLevel="0" collapsed="false">
      <c r="X574" s="102" t="n">
        <v>445</v>
      </c>
      <c r="Y574" s="124" t="n">
        <f aca="false">Y573+Y$16</f>
        <v>0.00221424847841264</v>
      </c>
      <c r="Z574" s="115" t="n">
        <f aca="false">(K-(L0-Y574*Ldif-alph*Y574^0.5))/R0</f>
        <v>0.884944390799129</v>
      </c>
      <c r="AA574" s="113" t="n">
        <f aca="false">IF(Z574&lt;1,X$14*((1-r_1)-Y$14*(1-r_1^2)+Z$14*(1-r_1^3)),0)</f>
        <v>231661.381150214</v>
      </c>
      <c r="AB574" s="97" t="n">
        <f aca="false">AB573+AB$15</f>
        <v>0.00221424847841264</v>
      </c>
      <c r="AC574" s="115" t="n">
        <f aca="false">(Kopt-(L0-AB574*Ldif-alph*AB574^0.5))/R0</f>
        <v>0.884944390799129</v>
      </c>
      <c r="AD574" s="113" t="n">
        <f aca="false">IF(AC574&lt;1,X$14*((1-ropt)-Y$14*(1-ropt^2)+Z$14*(1-ropt^3)),0)</f>
        <v>231661.381150214</v>
      </c>
    </row>
    <row r="575" customFormat="false" ht="12.75" hidden="false" customHeight="false" outlineLevel="0" collapsed="false">
      <c r="X575" s="102" t="n">
        <v>444</v>
      </c>
      <c r="Y575" s="124" t="n">
        <f aca="false">Y574+Y$16</f>
        <v>0.00221823811531068</v>
      </c>
      <c r="Z575" s="115" t="n">
        <f aca="false">(K-(L0-Y575*Ldif-alph*Y575^0.5))/R0</f>
        <v>0.885247060050466</v>
      </c>
      <c r="AA575" s="113" t="n">
        <f aca="false">IF(Z575&lt;1,X$14*((1-r_1)-Y$14*(1-r_1^2)+Z$14*(1-r_1^3)),0)</f>
        <v>230444.151473573</v>
      </c>
      <c r="AB575" s="97" t="n">
        <f aca="false">AB574+AB$15</f>
        <v>0.00221823811531068</v>
      </c>
      <c r="AC575" s="115" t="n">
        <f aca="false">(Kopt-(L0-AB575*Ldif-alph*AB575^0.5))/R0</f>
        <v>0.885247060050466</v>
      </c>
      <c r="AD575" s="113" t="n">
        <f aca="false">IF(AC575&lt;1,X$14*((1-ropt)-Y$14*(1-ropt^2)+Z$14*(1-ropt^3)),0)</f>
        <v>230444.151473573</v>
      </c>
    </row>
    <row r="576" customFormat="false" ht="12.75" hidden="false" customHeight="false" outlineLevel="0" collapsed="false">
      <c r="X576" s="102" t="n">
        <v>443</v>
      </c>
      <c r="Y576" s="124" t="n">
        <f aca="false">Y575+Y$16</f>
        <v>0.00222222775220872</v>
      </c>
      <c r="Z576" s="115" t="n">
        <f aca="false">(K-(L0-Y576*Ldif-alph*Y576^0.5))/R0</f>
        <v>0.885549457240415</v>
      </c>
      <c r="AA576" s="113" t="n">
        <f aca="false">IF(Z576&lt;1,X$14*((1-r_1)-Y$14*(1-r_1^2)+Z$14*(1-r_1^3)),0)</f>
        <v>229231.217914362</v>
      </c>
      <c r="AB576" s="97" t="n">
        <f aca="false">AB575+AB$15</f>
        <v>0.00222222775220872</v>
      </c>
      <c r="AC576" s="115" t="n">
        <f aca="false">(Kopt-(L0-AB576*Ldif-alph*AB576^0.5))/R0</f>
        <v>0.885549457240415</v>
      </c>
      <c r="AD576" s="113" t="n">
        <f aca="false">IF(AC576&lt;1,X$14*((1-ropt)-Y$14*(1-ropt^2)+Z$14*(1-ropt^3)),0)</f>
        <v>229231.217914362</v>
      </c>
    </row>
    <row r="577" customFormat="false" ht="12.75" hidden="false" customHeight="false" outlineLevel="0" collapsed="false">
      <c r="X577" s="102" t="n">
        <v>442</v>
      </c>
      <c r="Y577" s="124" t="n">
        <f aca="false">Y576+Y$16</f>
        <v>0.00222621738910676</v>
      </c>
      <c r="Z577" s="115" t="n">
        <f aca="false">(K-(L0-Y577*Ldif-alph*Y577^0.5))/R0</f>
        <v>0.885851583101308</v>
      </c>
      <c r="AA577" s="113" t="n">
        <f aca="false">IF(Z577&lt;1,X$14*((1-r_1)-Y$14*(1-r_1^2)+Z$14*(1-r_1^3)),0)</f>
        <v>228022.568908357</v>
      </c>
      <c r="AB577" s="97" t="n">
        <f aca="false">AB576+AB$15</f>
        <v>0.00222621738910676</v>
      </c>
      <c r="AC577" s="115" t="n">
        <f aca="false">(Kopt-(L0-AB577*Ldif-alph*AB577^0.5))/R0</f>
        <v>0.885851583101308</v>
      </c>
      <c r="AD577" s="113" t="n">
        <f aca="false">IF(AC577&lt;1,X$14*((1-ropt)-Y$14*(1-ropt^2)+Z$14*(1-ropt^3)),0)</f>
        <v>228022.568908357</v>
      </c>
    </row>
    <row r="578" customFormat="false" ht="12.75" hidden="false" customHeight="false" outlineLevel="0" collapsed="false">
      <c r="X578" s="102" t="n">
        <v>441</v>
      </c>
      <c r="Y578" s="124" t="n">
        <f aca="false">Y577+Y$16</f>
        <v>0.0022302070260048</v>
      </c>
      <c r="Z578" s="115" t="n">
        <f aca="false">(K-(L0-Y578*Ldif-alph*Y578^0.5))/R0</f>
        <v>0.886153438362199</v>
      </c>
      <c r="AA578" s="113" t="n">
        <f aca="false">IF(Z578&lt;1,X$14*((1-r_1)-Y$14*(1-r_1^2)+Z$14*(1-r_1^3)),0)</f>
        <v>226818.192943117</v>
      </c>
      <c r="AB578" s="97" t="n">
        <f aca="false">AB577+AB$15</f>
        <v>0.0022302070260048</v>
      </c>
      <c r="AC578" s="115" t="n">
        <f aca="false">(Kopt-(L0-AB578*Ldif-alph*AB578^0.5))/R0</f>
        <v>0.886153438362199</v>
      </c>
      <c r="AD578" s="113" t="n">
        <f aca="false">IF(AC578&lt;1,X$14*((1-ropt)-Y$14*(1-ropt^2)+Z$14*(1-ropt^3)),0)</f>
        <v>226818.192943117</v>
      </c>
    </row>
    <row r="579" customFormat="false" ht="12.75" hidden="false" customHeight="false" outlineLevel="0" collapsed="false">
      <c r="X579" s="102" t="n">
        <v>440</v>
      </c>
      <c r="Y579" s="124" t="n">
        <f aca="false">Y578+Y$16</f>
        <v>0.00223419666290284</v>
      </c>
      <c r="Z579" s="115" t="n">
        <f aca="false">(K-(L0-Y579*Ldif-alph*Y579^0.5))/R0</f>
        <v>0.886455023748881</v>
      </c>
      <c r="AA579" s="113" t="n">
        <f aca="false">IF(Z579&lt;1,X$14*((1-r_1)-Y$14*(1-r_1^2)+Z$14*(1-r_1^3)),0)</f>
        <v>225618.078557676</v>
      </c>
      <c r="AB579" s="97" t="n">
        <f aca="false">AB578+AB$15</f>
        <v>0.00223419666290284</v>
      </c>
      <c r="AC579" s="115" t="n">
        <f aca="false">(Kopt-(L0-AB579*Ldif-alph*AB579^0.5))/R0</f>
        <v>0.886455023748881</v>
      </c>
      <c r="AD579" s="113" t="n">
        <f aca="false">IF(AC579&lt;1,X$14*((1-ropt)-Y$14*(1-ropt^2)+Z$14*(1-ropt^3)),0)</f>
        <v>225618.078557676</v>
      </c>
    </row>
    <row r="580" customFormat="false" ht="12.75" hidden="false" customHeight="false" outlineLevel="0" collapsed="false">
      <c r="X580" s="102" t="n">
        <v>439</v>
      </c>
      <c r="Y580" s="124" t="n">
        <f aca="false">Y579+Y$16</f>
        <v>0.00223818629980088</v>
      </c>
      <c r="Z580" s="115" t="n">
        <f aca="false">(K-(L0-Y580*Ldif-alph*Y580^0.5))/R0</f>
        <v>0.886756339983911</v>
      </c>
      <c r="AA580" s="113" t="n">
        <f aca="false">IF(Z580&lt;1,X$14*((1-r_1)-Y$14*(1-r_1^2)+Z$14*(1-r_1^3)),0)</f>
        <v>224422.214342195</v>
      </c>
      <c r="AB580" s="97" t="n">
        <f aca="false">AB579+AB$15</f>
        <v>0.00223818629980088</v>
      </c>
      <c r="AC580" s="115" t="n">
        <f aca="false">(Kopt-(L0-AB580*Ldif-alph*AB580^0.5))/R0</f>
        <v>0.886756339983911</v>
      </c>
      <c r="AD580" s="113" t="n">
        <f aca="false">IF(AC580&lt;1,X$14*((1-ropt)-Y$14*(1-ropt^2)+Z$14*(1-ropt^3)),0)</f>
        <v>224422.214342195</v>
      </c>
    </row>
    <row r="581" customFormat="false" ht="12.75" hidden="false" customHeight="false" outlineLevel="0" collapsed="false">
      <c r="X581" s="102" t="n">
        <v>438</v>
      </c>
      <c r="Y581" s="124" t="n">
        <f aca="false">Y580+Y$16</f>
        <v>0.00224217593669892</v>
      </c>
      <c r="Z581" s="115" t="n">
        <f aca="false">(K-(L0-Y581*Ldif-alph*Y581^0.5))/R0</f>
        <v>0.887057387786624</v>
      </c>
      <c r="AA581" s="113" t="n">
        <f aca="false">IF(Z581&lt;1,X$14*((1-r_1)-Y$14*(1-r_1^2)+Z$14*(1-r_1^3)),0)</f>
        <v>223230.588937668</v>
      </c>
      <c r="AB581" s="97" t="n">
        <f aca="false">AB580+AB$15</f>
        <v>0.00224217593669892</v>
      </c>
      <c r="AC581" s="115" t="n">
        <f aca="false">(Kopt-(L0-AB581*Ldif-alph*AB581^0.5))/R0</f>
        <v>0.887057387786624</v>
      </c>
      <c r="AD581" s="113" t="n">
        <f aca="false">IF(AC581&lt;1,X$14*((1-ropt)-Y$14*(1-ropt^2)+Z$14*(1-ropt^3)),0)</f>
        <v>223230.588937668</v>
      </c>
    </row>
    <row r="582" customFormat="false" ht="12.75" hidden="false" customHeight="false" outlineLevel="0" collapsed="false">
      <c r="X582" s="102" t="n">
        <v>437</v>
      </c>
      <c r="Y582" s="124" t="n">
        <f aca="false">Y581+Y$16</f>
        <v>0.00224616557359696</v>
      </c>
      <c r="Z582" s="115" t="n">
        <f aca="false">(K-(L0-Y582*Ldif-alph*Y582^0.5))/R0</f>
        <v>0.887358167873161</v>
      </c>
      <c r="AA582" s="113" t="n">
        <f aca="false">IF(Z582&lt;1,X$14*((1-r_1)-Y$14*(1-r_1^2)+Z$14*(1-r_1^3)),0)</f>
        <v>222043.191035593</v>
      </c>
      <c r="AB582" s="97" t="n">
        <f aca="false">AB581+AB$15</f>
        <v>0.00224616557359696</v>
      </c>
      <c r="AC582" s="115" t="n">
        <f aca="false">(Kopt-(L0-AB582*Ldif-alph*AB582^0.5))/R0</f>
        <v>0.887358167873161</v>
      </c>
      <c r="AD582" s="113" t="n">
        <f aca="false">IF(AC582&lt;1,X$14*((1-ropt)-Y$14*(1-ropt^2)+Z$14*(1-ropt^3)),0)</f>
        <v>222043.191035593</v>
      </c>
    </row>
    <row r="583" customFormat="false" ht="12.75" hidden="false" customHeight="false" outlineLevel="0" collapsed="false">
      <c r="X583" s="102" t="n">
        <v>436</v>
      </c>
      <c r="Y583" s="124" t="n">
        <f aca="false">Y582+Y$16</f>
        <v>0.002250155210495</v>
      </c>
      <c r="Z583" s="115" t="n">
        <f aca="false">(K-(L0-Y583*Ldif-alph*Y583^0.5))/R0</f>
        <v>0.88765868095648</v>
      </c>
      <c r="AA583" s="113" t="n">
        <f aca="false">IF(Z583&lt;1,X$14*((1-r_1)-Y$14*(1-r_1^2)+Z$14*(1-r_1^3)),0)</f>
        <v>220860.009377663</v>
      </c>
      <c r="AB583" s="97" t="n">
        <f aca="false">AB582+AB$15</f>
        <v>0.002250155210495</v>
      </c>
      <c r="AC583" s="115" t="n">
        <f aca="false">(Kopt-(L0-AB583*Ldif-alph*AB583^0.5))/R0</f>
        <v>0.88765868095648</v>
      </c>
      <c r="AD583" s="113" t="n">
        <f aca="false">IF(AC583&lt;1,X$14*((1-ropt)-Y$14*(1-ropt^2)+Z$14*(1-ropt^3)),0)</f>
        <v>220860.009377663</v>
      </c>
    </row>
    <row r="584" customFormat="false" ht="12.75" hidden="false" customHeight="false" outlineLevel="0" collapsed="false">
      <c r="X584" s="102" t="n">
        <v>435</v>
      </c>
      <c r="Y584" s="124" t="n">
        <f aca="false">Y583+Y$16</f>
        <v>0.00225414484739304</v>
      </c>
      <c r="Z584" s="115" t="n">
        <f aca="false">(K-(L0-Y584*Ldif-alph*Y584^0.5))/R0</f>
        <v>0.887958927746382</v>
      </c>
      <c r="AA584" s="113" t="n">
        <f aca="false">IF(Z584&lt;1,X$14*((1-r_1)-Y$14*(1-r_1^2)+Z$14*(1-r_1^3)),0)</f>
        <v>219681.032755458</v>
      </c>
      <c r="AB584" s="97" t="n">
        <f aca="false">AB583+AB$15</f>
        <v>0.00225414484739304</v>
      </c>
      <c r="AC584" s="115" t="n">
        <f aca="false">(Kopt-(L0-AB584*Ldif-alph*AB584^0.5))/R0</f>
        <v>0.887958927746382</v>
      </c>
      <c r="AD584" s="113" t="n">
        <f aca="false">IF(AC584&lt;1,X$14*((1-ropt)-Y$14*(1-ropt^2)+Z$14*(1-ropt^3)),0)</f>
        <v>219681.032755458</v>
      </c>
    </row>
    <row r="585" customFormat="false" ht="12.75" hidden="false" customHeight="false" outlineLevel="0" collapsed="false">
      <c r="X585" s="102" t="n">
        <v>434</v>
      </c>
      <c r="Y585" s="124" t="n">
        <f aca="false">Y584+Y$16</f>
        <v>0.00225813448429108</v>
      </c>
      <c r="Z585" s="115" t="n">
        <f aca="false">(K-(L0-Y585*Ldif-alph*Y585^0.5))/R0</f>
        <v>0.888258908949528</v>
      </c>
      <c r="AA585" s="113" t="n">
        <f aca="false">IF(Z585&lt;1,X$14*((1-r_1)-Y$14*(1-r_1^2)+Z$14*(1-r_1^3)),0)</f>
        <v>218506.250010122</v>
      </c>
      <c r="AB585" s="97" t="n">
        <f aca="false">AB584+AB$15</f>
        <v>0.00225813448429108</v>
      </c>
      <c r="AC585" s="115" t="n">
        <f aca="false">(Kopt-(L0-AB585*Ldif-alph*AB585^0.5))/R0</f>
        <v>0.888258908949528</v>
      </c>
      <c r="AD585" s="113" t="n">
        <f aca="false">IF(AC585&lt;1,X$14*((1-ropt)-Y$14*(1-ropt^2)+Z$14*(1-ropt^3)),0)</f>
        <v>218506.250010122</v>
      </c>
    </row>
    <row r="586" customFormat="false" ht="12.75" hidden="false" customHeight="false" outlineLevel="0" collapsed="false">
      <c r="X586" s="102" t="n">
        <v>433</v>
      </c>
      <c r="Y586" s="124" t="n">
        <f aca="false">Y585+Y$16</f>
        <v>0.00226212412118912</v>
      </c>
      <c r="Z586" s="115" t="n">
        <f aca="false">(K-(L0-Y586*Ldif-alph*Y586^0.5))/R0</f>
        <v>0.888558625269465</v>
      </c>
      <c r="AA586" s="113" t="n">
        <f aca="false">IF(Z586&lt;1,X$14*((1-r_1)-Y$14*(1-r_1^2)+Z$14*(1-r_1^3)),0)</f>
        <v>217335.650032051</v>
      </c>
      <c r="AB586" s="97" t="n">
        <f aca="false">AB585+AB$15</f>
        <v>0.00226212412118912</v>
      </c>
      <c r="AC586" s="115" t="n">
        <f aca="false">(Kopt-(L0-AB586*Ldif-alph*AB586^0.5))/R0</f>
        <v>0.888558625269465</v>
      </c>
      <c r="AD586" s="113" t="n">
        <f aca="false">IF(AC586&lt;1,X$14*((1-ropt)-Y$14*(1-ropt^2)+Z$14*(1-ropt^3)),0)</f>
        <v>217335.650032051</v>
      </c>
    </row>
    <row r="587" customFormat="false" ht="12.75" hidden="false" customHeight="false" outlineLevel="0" collapsed="false">
      <c r="X587" s="102" t="n">
        <v>432</v>
      </c>
      <c r="Y587" s="124" t="n">
        <f aca="false">Y586+Y$16</f>
        <v>0.00226611375808716</v>
      </c>
      <c r="Z587" s="115" t="n">
        <f aca="false">(K-(L0-Y587*Ldif-alph*Y587^0.5))/R0</f>
        <v>0.888858077406625</v>
      </c>
      <c r="AA587" s="113" t="n">
        <f aca="false">IF(Z587&lt;1,X$14*((1-r_1)-Y$14*(1-r_1^2)+Z$14*(1-r_1^3)),0)</f>
        <v>216169.221760655</v>
      </c>
      <c r="AB587" s="97" t="n">
        <f aca="false">AB586+AB$15</f>
        <v>0.00226611375808716</v>
      </c>
      <c r="AC587" s="115" t="n">
        <f aca="false">(Kopt-(L0-AB587*Ldif-alph*AB587^0.5))/R0</f>
        <v>0.888858077406625</v>
      </c>
      <c r="AD587" s="113" t="n">
        <f aca="false">IF(AC587&lt;1,X$14*((1-ropt)-Y$14*(1-ropt^2)+Z$14*(1-ropt^3)),0)</f>
        <v>216169.221760655</v>
      </c>
    </row>
    <row r="588" customFormat="false" ht="12.75" hidden="false" customHeight="false" outlineLevel="0" collapsed="false">
      <c r="X588" s="102" t="n">
        <v>431</v>
      </c>
      <c r="Y588" s="124" t="n">
        <f aca="false">Y587+Y$16</f>
        <v>0.0022701033949852</v>
      </c>
      <c r="Z588" s="115" t="n">
        <f aca="false">(K-(L0-Y588*Ldif-alph*Y588^0.5))/R0</f>
        <v>0.889157266058377</v>
      </c>
      <c r="AA588" s="113" t="n">
        <f aca="false">IF(Z588&lt;1,X$14*((1-r_1)-Y$14*(1-r_1^2)+Z$14*(1-r_1^3)),0)</f>
        <v>215006.954183936</v>
      </c>
      <c r="AB588" s="97" t="n">
        <f aca="false">AB587+AB$15</f>
        <v>0.0022701033949852</v>
      </c>
      <c r="AC588" s="115" t="n">
        <f aca="false">(Kopt-(L0-AB588*Ldif-alph*AB588^0.5))/R0</f>
        <v>0.889157266058377</v>
      </c>
      <c r="AD588" s="113" t="n">
        <f aca="false">IF(AC588&lt;1,X$14*((1-ropt)-Y$14*(1-ropt^2)+Z$14*(1-ropt^3)),0)</f>
        <v>215006.954183936</v>
      </c>
    </row>
    <row r="589" customFormat="false" ht="12.75" hidden="false" customHeight="false" outlineLevel="0" collapsed="false">
      <c r="X589" s="102" t="n">
        <v>430</v>
      </c>
      <c r="Y589" s="124" t="n">
        <f aca="false">Y588+Y$16</f>
        <v>0.00227409303188325</v>
      </c>
      <c r="Z589" s="115" t="n">
        <f aca="false">(K-(L0-Y589*Ldif-alph*Y589^0.5))/R0</f>
        <v>0.88945619191901</v>
      </c>
      <c r="AA589" s="113" t="n">
        <f aca="false">IF(Z589&lt;1,X$14*((1-r_1)-Y$14*(1-r_1^2)+Z$14*(1-r_1^3)),0)</f>
        <v>213848.836338317</v>
      </c>
      <c r="AB589" s="97" t="n">
        <f aca="false">AB588+AB$15</f>
        <v>0.00227409303188325</v>
      </c>
      <c r="AC589" s="115" t="n">
        <f aca="false">(Kopt-(L0-AB589*Ldif-alph*AB589^0.5))/R0</f>
        <v>0.88945619191901</v>
      </c>
      <c r="AD589" s="113" t="n">
        <f aca="false">IF(AC589&lt;1,X$14*((1-ropt)-Y$14*(1-ropt^2)+Z$14*(1-ropt^3)),0)</f>
        <v>213848.836338317</v>
      </c>
    </row>
    <row r="590" customFormat="false" ht="12.75" hidden="false" customHeight="false" outlineLevel="0" collapsed="false">
      <c r="X590" s="102" t="n">
        <v>429</v>
      </c>
      <c r="Y590" s="124" t="n">
        <f aca="false">Y589+Y$16</f>
        <v>0.00227808266878129</v>
      </c>
      <c r="Z590" s="115" t="n">
        <f aca="false">(K-(L0-Y590*Ldif-alph*Y590^0.5))/R0</f>
        <v>0.889754855679785</v>
      </c>
      <c r="AA590" s="113" t="n">
        <f aca="false">IF(Z590&lt;1,X$14*((1-r_1)-Y$14*(1-r_1^2)+Z$14*(1-r_1^3)),0)</f>
        <v>212694.85730824</v>
      </c>
      <c r="AB590" s="97" t="n">
        <f aca="false">AB589+AB$15</f>
        <v>0.00227808266878129</v>
      </c>
      <c r="AC590" s="115" t="n">
        <f aca="false">(Kopt-(L0-AB590*Ldif-alph*AB590^0.5))/R0</f>
        <v>0.889754855679785</v>
      </c>
      <c r="AD590" s="113" t="n">
        <f aca="false">IF(AC590&lt;1,X$14*((1-ropt)-Y$14*(1-ropt^2)+Z$14*(1-ropt^3)),0)</f>
        <v>212694.85730824</v>
      </c>
    </row>
    <row r="591" customFormat="false" ht="12.75" hidden="false" customHeight="false" outlineLevel="0" collapsed="false">
      <c r="X591" s="102" t="n">
        <v>428</v>
      </c>
      <c r="Y591" s="124" t="n">
        <f aca="false">Y590+Y$16</f>
        <v>0.00228207230567933</v>
      </c>
      <c r="Z591" s="115" t="n">
        <f aca="false">(K-(L0-Y591*Ldif-alph*Y591^0.5))/R0</f>
        <v>0.890053258028921</v>
      </c>
      <c r="AA591" s="113" t="n">
        <f aca="false">IF(Z591&lt;1,X$14*((1-r_1)-Y$14*(1-r_1^2)+Z$14*(1-r_1^3)),0)</f>
        <v>211545.006225964</v>
      </c>
      <c r="AB591" s="97" t="n">
        <f aca="false">AB590+AB$15</f>
        <v>0.00228207230567933</v>
      </c>
      <c r="AC591" s="115" t="n">
        <f aca="false">(Kopt-(L0-AB591*Ldif-alph*AB591^0.5))/R0</f>
        <v>0.890053258028921</v>
      </c>
      <c r="AD591" s="113" t="n">
        <f aca="false">IF(AC591&lt;1,X$14*((1-ropt)-Y$14*(1-ropt^2)+Z$14*(1-ropt^3)),0)</f>
        <v>211545.006225964</v>
      </c>
    </row>
    <row r="592" customFormat="false" ht="12.75" hidden="false" customHeight="false" outlineLevel="0" collapsed="false">
      <c r="X592" s="102" t="n">
        <v>427</v>
      </c>
      <c r="Y592" s="124" t="n">
        <f aca="false">Y591+Y$16</f>
        <v>0.00228606194257737</v>
      </c>
      <c r="Z592" s="115" t="n">
        <f aca="false">(K-(L0-Y592*Ldif-alph*Y592^0.5))/R0</f>
        <v>0.890351399651645</v>
      </c>
      <c r="AA592" s="113" t="n">
        <f aca="false">IF(Z592&lt;1,X$14*((1-r_1)-Y$14*(1-r_1^2)+Z$14*(1-r_1^3)),0)</f>
        <v>210399.27227118</v>
      </c>
      <c r="AB592" s="97" t="n">
        <f aca="false">AB591+AB$15</f>
        <v>0.00228606194257737</v>
      </c>
      <c r="AC592" s="115" t="n">
        <f aca="false">(Kopt-(L0-AB592*Ldif-alph*AB592^0.5))/R0</f>
        <v>0.890351399651645</v>
      </c>
      <c r="AD592" s="113" t="n">
        <f aca="false">IF(AC592&lt;1,X$14*((1-ropt)-Y$14*(1-ropt^2)+Z$14*(1-ropt^3)),0)</f>
        <v>210399.27227118</v>
      </c>
    </row>
    <row r="593" customFormat="false" ht="12.75" hidden="false" customHeight="false" outlineLevel="0" collapsed="false">
      <c r="X593" s="102" t="n">
        <v>426</v>
      </c>
      <c r="Y593" s="124" t="n">
        <f aca="false">Y592+Y$16</f>
        <v>0.00229005157947541</v>
      </c>
      <c r="Z593" s="115" t="n">
        <f aca="false">(K-(L0-Y593*Ldif-alph*Y593^0.5))/R0</f>
        <v>0.890649281230188</v>
      </c>
      <c r="AA593" s="113" t="n">
        <f aca="false">IF(Z593&lt;1,X$14*((1-r_1)-Y$14*(1-r_1^2)+Z$14*(1-r_1^3)),0)</f>
        <v>209257.644670806</v>
      </c>
      <c r="AB593" s="97" t="n">
        <f aca="false">AB592+AB$15</f>
        <v>0.00229005157947541</v>
      </c>
      <c r="AC593" s="115" t="n">
        <f aca="false">(Kopt-(L0-AB593*Ldif-alph*AB593^0.5))/R0</f>
        <v>0.890649281230188</v>
      </c>
      <c r="AD593" s="113" t="n">
        <f aca="false">IF(AC593&lt;1,X$14*((1-ropt)-Y$14*(1-ropt^2)+Z$14*(1-ropt^3)),0)</f>
        <v>209257.644670806</v>
      </c>
    </row>
    <row r="594" customFormat="false" ht="12.75" hidden="false" customHeight="false" outlineLevel="0" collapsed="false">
      <c r="X594" s="102" t="n">
        <v>425</v>
      </c>
      <c r="Y594" s="124" t="n">
        <f aca="false">Y593+Y$16</f>
        <v>0.00229404121637345</v>
      </c>
      <c r="Z594" s="115" t="n">
        <f aca="false">(K-(L0-Y594*Ldif-alph*Y594^0.5))/R0</f>
        <v>0.890946903443814</v>
      </c>
      <c r="AA594" s="113" t="n">
        <f aca="false">IF(Z594&lt;1,X$14*((1-r_1)-Y$14*(1-r_1^2)+Z$14*(1-r_1^3)),0)</f>
        <v>208120.112698625</v>
      </c>
      <c r="AB594" s="97" t="n">
        <f aca="false">AB593+AB$15</f>
        <v>0.00229404121637345</v>
      </c>
      <c r="AC594" s="115" t="n">
        <f aca="false">(Kopt-(L0-AB594*Ldif-alph*AB594^0.5))/R0</f>
        <v>0.890946903443814</v>
      </c>
      <c r="AD594" s="113" t="n">
        <f aca="false">IF(AC594&lt;1,X$14*((1-ropt)-Y$14*(1-ropt^2)+Z$14*(1-ropt^3)),0)</f>
        <v>208120.112698625</v>
      </c>
    </row>
    <row r="595" customFormat="false" ht="12.75" hidden="false" customHeight="false" outlineLevel="0" collapsed="false">
      <c r="X595" s="102" t="n">
        <v>424</v>
      </c>
      <c r="Y595" s="124" t="n">
        <f aca="false">Y594+Y$16</f>
        <v>0.00229803085327149</v>
      </c>
      <c r="Z595" s="115" t="n">
        <f aca="false">(K-(L0-Y595*Ldif-alph*Y595^0.5))/R0</f>
        <v>0.891244266968834</v>
      </c>
      <c r="AA595" s="113" t="n">
        <f aca="false">IF(Z595&lt;1,X$14*((1-r_1)-Y$14*(1-r_1^2)+Z$14*(1-r_1^3)),0)</f>
        <v>206986.665675061</v>
      </c>
      <c r="AB595" s="97" t="n">
        <f aca="false">AB594+AB$15</f>
        <v>0.00229803085327149</v>
      </c>
      <c r="AC595" s="115" t="n">
        <f aca="false">(Kopt-(L0-AB595*Ldif-alph*AB595^0.5))/R0</f>
        <v>0.891244266968834</v>
      </c>
      <c r="AD595" s="113" t="n">
        <f aca="false">IF(AC595&lt;1,X$14*((1-ropt)-Y$14*(1-ropt^2)+Z$14*(1-ropt^3)),0)</f>
        <v>206986.665675061</v>
      </c>
    </row>
    <row r="596" customFormat="false" ht="12.75" hidden="false" customHeight="false" outlineLevel="0" collapsed="false">
      <c r="X596" s="102" t="n">
        <v>423</v>
      </c>
      <c r="Y596" s="124" t="n">
        <f aca="false">Y595+Y$16</f>
        <v>0.00230202049016953</v>
      </c>
      <c r="Z596" s="115" t="n">
        <f aca="false">(K-(L0-Y596*Ldif-alph*Y596^0.5))/R0</f>
        <v>0.891541372478621</v>
      </c>
      <c r="AA596" s="113" t="n">
        <f aca="false">IF(Z596&lt;1,X$14*((1-r_1)-Y$14*(1-r_1^2)+Z$14*(1-r_1^3)),0)</f>
        <v>205857.29296687</v>
      </c>
      <c r="AB596" s="97" t="n">
        <f aca="false">AB595+AB$15</f>
        <v>0.00230202049016953</v>
      </c>
      <c r="AC596" s="115" t="n">
        <f aca="false">(Kopt-(L0-AB596*Ldif-alph*AB596^0.5))/R0</f>
        <v>0.891541372478621</v>
      </c>
      <c r="AD596" s="113" t="n">
        <f aca="false">IF(AC596&lt;1,X$14*((1-ropt)-Y$14*(1-ropt^2)+Z$14*(1-ropt^3)),0)</f>
        <v>205857.29296687</v>
      </c>
    </row>
    <row r="597" customFormat="false" ht="12.75" hidden="false" customHeight="false" outlineLevel="0" collapsed="false">
      <c r="X597" s="102" t="n">
        <v>422</v>
      </c>
      <c r="Y597" s="124" t="n">
        <f aca="false">Y596+Y$16</f>
        <v>0.00230601012706757</v>
      </c>
      <c r="Z597" s="115" t="n">
        <f aca="false">(K-(L0-Y597*Ldif-alph*Y597^0.5))/R0</f>
        <v>0.89183822064364</v>
      </c>
      <c r="AA597" s="113" t="n">
        <f aca="false">IF(Z597&lt;1,X$14*((1-r_1)-Y$14*(1-r_1^2)+Z$14*(1-r_1^3)),0)</f>
        <v>204731.983986843</v>
      </c>
      <c r="AB597" s="97" t="n">
        <f aca="false">AB596+AB$15</f>
        <v>0.00230601012706757</v>
      </c>
      <c r="AC597" s="115" t="n">
        <f aca="false">(Kopt-(L0-AB597*Ldif-alph*AB597^0.5))/R0</f>
        <v>0.89183822064364</v>
      </c>
      <c r="AD597" s="113" t="n">
        <f aca="false">IF(AC597&lt;1,X$14*((1-ropt)-Y$14*(1-ropt^2)+Z$14*(1-ropt^3)),0)</f>
        <v>204731.983986843</v>
      </c>
    </row>
    <row r="598" customFormat="false" ht="12.75" hidden="false" customHeight="false" outlineLevel="0" collapsed="false">
      <c r="X598" s="102" t="n">
        <v>421</v>
      </c>
      <c r="Y598" s="124" t="n">
        <f aca="false">Y597+Y$16</f>
        <v>0.00230999976396561</v>
      </c>
      <c r="Z598" s="115" t="n">
        <f aca="false">(K-(L0-Y598*Ldif-alph*Y598^0.5))/R0</f>
        <v>0.892134812131449</v>
      </c>
      <c r="AA598" s="113" t="n">
        <f aca="false">IF(Z598&lt;1,X$14*((1-r_1)-Y$14*(1-r_1^2)+Z$14*(1-r_1^3)),0)</f>
        <v>203610.728193561</v>
      </c>
      <c r="AB598" s="97" t="n">
        <f aca="false">AB597+AB$15</f>
        <v>0.00230999976396561</v>
      </c>
      <c r="AC598" s="115" t="n">
        <f aca="false">(Kopt-(L0-AB598*Ldif-alph*AB598^0.5))/R0</f>
        <v>0.892134812131449</v>
      </c>
      <c r="AD598" s="113" t="n">
        <f aca="false">IF(AC598&lt;1,X$14*((1-ropt)-Y$14*(1-ropt^2)+Z$14*(1-ropt^3)),0)</f>
        <v>203610.728193561</v>
      </c>
    </row>
    <row r="599" customFormat="false" ht="12.75" hidden="false" customHeight="false" outlineLevel="0" collapsed="false">
      <c r="X599" s="102" t="n">
        <v>420</v>
      </c>
      <c r="Y599" s="124" t="n">
        <f aca="false">Y598+Y$16</f>
        <v>0.00231398940086365</v>
      </c>
      <c r="Z599" s="115" t="n">
        <f aca="false">(K-(L0-Y599*Ldif-alph*Y599^0.5))/R0</f>
        <v>0.892431147606732</v>
      </c>
      <c r="AA599" s="113" t="n">
        <f aca="false">IF(Z599&lt;1,X$14*((1-r_1)-Y$14*(1-r_1^2)+Z$14*(1-r_1^3)),0)</f>
        <v>202493.515091083</v>
      </c>
      <c r="AB599" s="97" t="n">
        <f aca="false">AB598+AB$15</f>
        <v>0.00231398940086365</v>
      </c>
      <c r="AC599" s="115" t="n">
        <f aca="false">(Kopt-(L0-AB599*Ldif-alph*AB599^0.5))/R0</f>
        <v>0.892431147606732</v>
      </c>
      <c r="AD599" s="113" t="n">
        <f aca="false">IF(AC599&lt;1,X$14*((1-ropt)-Y$14*(1-ropt^2)+Z$14*(1-ropt^3)),0)</f>
        <v>202493.515091083</v>
      </c>
    </row>
    <row r="600" customFormat="false" ht="12.75" hidden="false" customHeight="false" outlineLevel="0" collapsed="false">
      <c r="X600" s="102" t="n">
        <v>419</v>
      </c>
      <c r="Y600" s="124" t="n">
        <f aca="false">Y599+Y$16</f>
        <v>0.00231797903776169</v>
      </c>
      <c r="Z600" s="115" t="n">
        <f aca="false">(K-(L0-Y600*Ldif-alph*Y600^0.5))/R0</f>
        <v>0.8927272277313</v>
      </c>
      <c r="AA600" s="113" t="n">
        <f aca="false">IF(Z600&lt;1,X$14*((1-r_1)-Y$14*(1-r_1^2)+Z$14*(1-r_1^3)),0)</f>
        <v>201380.334228717</v>
      </c>
      <c r="AB600" s="97" t="n">
        <f aca="false">AB599+AB$15</f>
        <v>0.00231797903776169</v>
      </c>
      <c r="AC600" s="115" t="n">
        <f aca="false">(Kopt-(L0-AB600*Ldif-alph*AB600^0.5))/R0</f>
        <v>0.8927272277313</v>
      </c>
      <c r="AD600" s="113" t="n">
        <f aca="false">IF(AC600&lt;1,X$14*((1-ropt)-Y$14*(1-ropt^2)+Z$14*(1-ropt^3)),0)</f>
        <v>201380.334228717</v>
      </c>
    </row>
    <row r="601" customFormat="false" ht="12.75" hidden="false" customHeight="false" outlineLevel="0" collapsed="false">
      <c r="X601" s="102" t="n">
        <v>418</v>
      </c>
      <c r="Y601" s="124" t="n">
        <f aca="false">Y600+Y$16</f>
        <v>0.00232196867465973</v>
      </c>
      <c r="Z601" s="115" t="n">
        <f aca="false">(K-(L0-Y601*Ldif-alph*Y601^0.5))/R0</f>
        <v>0.89302305316413</v>
      </c>
      <c r="AA601" s="113" t="n">
        <f aca="false">IF(Z601&lt;1,X$14*((1-r_1)-Y$14*(1-r_1^2)+Z$14*(1-r_1^3)),0)</f>
        <v>200271.17520068</v>
      </c>
      <c r="AB601" s="97" t="n">
        <f aca="false">AB600+AB$15</f>
        <v>0.00232196867465973</v>
      </c>
      <c r="AC601" s="115" t="n">
        <f aca="false">(Kopt-(L0-AB601*Ldif-alph*AB601^0.5))/R0</f>
        <v>0.89302305316413</v>
      </c>
      <c r="AD601" s="113" t="n">
        <f aca="false">IF(AC601&lt;1,X$14*((1-ropt)-Y$14*(1-ropt^2)+Z$14*(1-ropt^3)),0)</f>
        <v>200271.17520068</v>
      </c>
    </row>
    <row r="602" customFormat="false" ht="12.75" hidden="false" customHeight="false" outlineLevel="0" collapsed="false">
      <c r="X602" s="102" t="n">
        <v>417</v>
      </c>
      <c r="Y602" s="124" t="n">
        <f aca="false">Y601+Y$16</f>
        <v>0.00232595831155777</v>
      </c>
      <c r="Z602" s="115" t="n">
        <f aca="false">(K-(L0-Y602*Ldif-alph*Y602^0.5))/R0</f>
        <v>0.893318624561357</v>
      </c>
      <c r="AA602" s="113" t="n">
        <f aca="false">IF(Z602&lt;1,X$14*((1-r_1)-Y$14*(1-r_1^2)+Z$14*(1-r_1^3)),0)</f>
        <v>199166.027645911</v>
      </c>
      <c r="AB602" s="97" t="n">
        <f aca="false">AB601+AB$15</f>
        <v>0.00232595831155777</v>
      </c>
      <c r="AC602" s="115" t="n">
        <f aca="false">(Kopt-(L0-AB602*Ldif-alph*AB602^0.5))/R0</f>
        <v>0.893318624561357</v>
      </c>
      <c r="AD602" s="113" t="n">
        <f aca="false">IF(AC602&lt;1,X$14*((1-ropt)-Y$14*(1-ropt^2)+Z$14*(1-ropt^3)),0)</f>
        <v>199166.027645911</v>
      </c>
    </row>
    <row r="603" customFormat="false" ht="12.75" hidden="false" customHeight="false" outlineLevel="0" collapsed="false">
      <c r="X603" s="102" t="n">
        <v>416</v>
      </c>
      <c r="Y603" s="124" t="n">
        <f aca="false">Y602+Y$16</f>
        <v>0.00232994794845581</v>
      </c>
      <c r="Z603" s="115" t="n">
        <f aca="false">(K-(L0-Y603*Ldif-alph*Y603^0.5))/R0</f>
        <v>0.893613942576316</v>
      </c>
      <c r="AA603" s="113" t="n">
        <f aca="false">IF(Z603&lt;1,X$14*((1-r_1)-Y$14*(1-r_1^2)+Z$14*(1-r_1^3)),0)</f>
        <v>198064.881247717</v>
      </c>
      <c r="AB603" s="97" t="n">
        <f aca="false">AB602+AB$15</f>
        <v>0.00232994794845581</v>
      </c>
      <c r="AC603" s="115" t="n">
        <f aca="false">(Kopt-(L0-AB603*Ldif-alph*AB603^0.5))/R0</f>
        <v>0.893613942576316</v>
      </c>
      <c r="AD603" s="113" t="n">
        <f aca="false">IF(AC603&lt;1,X$14*((1-ropt)-Y$14*(1-ropt^2)+Z$14*(1-ropt^3)),0)</f>
        <v>198064.881247717</v>
      </c>
    </row>
    <row r="604" customFormat="false" ht="12.75" hidden="false" customHeight="false" outlineLevel="0" collapsed="false">
      <c r="X604" s="102" t="n">
        <v>415</v>
      </c>
      <c r="Y604" s="124" t="n">
        <f aca="false">Y603+Y$16</f>
        <v>0.00233393758535385</v>
      </c>
      <c r="Z604" s="115" t="n">
        <f aca="false">(K-(L0-Y604*Ldif-alph*Y604^0.5))/R0</f>
        <v>0.893909007859533</v>
      </c>
      <c r="AA604" s="113" t="n">
        <f aca="false">IF(Z604&lt;1,X$14*((1-r_1)-Y$14*(1-r_1^2)+Z$14*(1-r_1^3)),0)</f>
        <v>196967.725733603</v>
      </c>
      <c r="AB604" s="97" t="n">
        <f aca="false">AB603+AB$15</f>
        <v>0.00233393758535385</v>
      </c>
      <c r="AC604" s="115" t="n">
        <f aca="false">(Kopt-(L0-AB604*Ldif-alph*AB604^0.5))/R0</f>
        <v>0.893909007859533</v>
      </c>
      <c r="AD604" s="113" t="n">
        <f aca="false">IF(AC604&lt;1,X$14*((1-ropt)-Y$14*(1-ropt^2)+Z$14*(1-ropt^3)),0)</f>
        <v>196967.725733603</v>
      </c>
    </row>
    <row r="605" customFormat="false" ht="12.75" hidden="false" customHeight="false" outlineLevel="0" collapsed="false">
      <c r="X605" s="102" t="n">
        <v>414</v>
      </c>
      <c r="Y605" s="124" t="n">
        <f aca="false">Y604+Y$16</f>
        <v>0.0023379272222519</v>
      </c>
      <c r="Z605" s="115" t="n">
        <f aca="false">(K-(L0-Y605*Ldif-alph*Y605^0.5))/R0</f>
        <v>0.894203821058765</v>
      </c>
      <c r="AA605" s="113" t="n">
        <f aca="false">IF(Z605&lt;1,X$14*((1-r_1)-Y$14*(1-r_1^2)+Z$14*(1-r_1^3)),0)</f>
        <v>195874.550874901</v>
      </c>
      <c r="AB605" s="97" t="n">
        <f aca="false">AB604+AB$15</f>
        <v>0.0023379272222519</v>
      </c>
      <c r="AC605" s="115" t="n">
        <f aca="false">(Kopt-(L0-AB605*Ldif-alph*AB605^0.5))/R0</f>
        <v>0.894203821058765</v>
      </c>
      <c r="AD605" s="113" t="n">
        <f aca="false">IF(AC605&lt;1,X$14*((1-ropt)-Y$14*(1-ropt^2)+Z$14*(1-ropt^3)),0)</f>
        <v>195874.550874901</v>
      </c>
    </row>
    <row r="606" customFormat="false" ht="12.75" hidden="false" customHeight="false" outlineLevel="0" collapsed="false">
      <c r="X606" s="102" t="n">
        <v>413</v>
      </c>
      <c r="Y606" s="124" t="n">
        <f aca="false">Y605+Y$16</f>
        <v>0.00234191685914994</v>
      </c>
      <c r="Z606" s="115" t="n">
        <f aca="false">(K-(L0-Y606*Ldif-alph*Y606^0.5))/R0</f>
        <v>0.894498382819001</v>
      </c>
      <c r="AA606" s="113" t="n">
        <f aca="false">IF(Z606&lt;1,X$14*((1-r_1)-Y$14*(1-r_1^2)+Z$14*(1-r_1^3)),0)</f>
        <v>194785.346486605</v>
      </c>
      <c r="AB606" s="97" t="n">
        <f aca="false">AB605+AB$15</f>
        <v>0.00234191685914994</v>
      </c>
      <c r="AC606" s="115" t="n">
        <f aca="false">(Kopt-(L0-AB606*Ldif-alph*AB606^0.5))/R0</f>
        <v>0.894498382819001</v>
      </c>
      <c r="AD606" s="113" t="n">
        <f aca="false">IF(AC606&lt;1,X$14*((1-ropt)-Y$14*(1-ropt^2)+Z$14*(1-ropt^3)),0)</f>
        <v>194785.346486605</v>
      </c>
    </row>
    <row r="607" customFormat="false" ht="12.75" hidden="false" customHeight="false" outlineLevel="0" collapsed="false">
      <c r="X607" s="102" t="n">
        <v>412</v>
      </c>
      <c r="Y607" s="124" t="n">
        <f aca="false">Y606+Y$16</f>
        <v>0.00234590649604798</v>
      </c>
      <c r="Z607" s="115" t="n">
        <f aca="false">(K-(L0-Y607*Ldif-alph*Y607^0.5))/R0</f>
        <v>0.894792693782494</v>
      </c>
      <c r="AA607" s="113" t="n">
        <f aca="false">IF(Z607&lt;1,X$14*((1-r_1)-Y$14*(1-r_1^2)+Z$14*(1-r_1^3)),0)</f>
        <v>193700.102427022</v>
      </c>
      <c r="AB607" s="97" t="n">
        <f aca="false">AB606+AB$15</f>
        <v>0.00234590649604798</v>
      </c>
      <c r="AC607" s="115" t="n">
        <f aca="false">(Kopt-(L0-AB607*Ldif-alph*AB607^0.5))/R0</f>
        <v>0.894792693782494</v>
      </c>
      <c r="AD607" s="113" t="n">
        <f aca="false">IF(AC607&lt;1,X$14*((1-ropt)-Y$14*(1-ropt^2)+Z$14*(1-ropt^3)),0)</f>
        <v>193700.102427022</v>
      </c>
    </row>
    <row r="608" customFormat="false" ht="12.75" hidden="false" customHeight="false" outlineLevel="0" collapsed="false">
      <c r="X608" s="102" t="n">
        <v>411</v>
      </c>
      <c r="Y608" s="124" t="n">
        <f aca="false">Y607+Y$16</f>
        <v>0.00234989613294602</v>
      </c>
      <c r="Z608" s="115" t="n">
        <f aca="false">(K-(L0-Y608*Ldif-alph*Y608^0.5))/R0</f>
        <v>0.895086754588751</v>
      </c>
      <c r="AA608" s="113" t="n">
        <f aca="false">IF(Z608&lt;1,X$14*((1-r_1)-Y$14*(1-r_1^2)+Z$14*(1-r_1^3)),0)</f>
        <v>192618.808597616</v>
      </c>
      <c r="AB608" s="97" t="n">
        <f aca="false">AB607+AB$15</f>
        <v>0.00234989613294602</v>
      </c>
      <c r="AC608" s="115" t="n">
        <f aca="false">(Kopt-(L0-AB608*Ldif-alph*AB608^0.5))/R0</f>
        <v>0.895086754588751</v>
      </c>
      <c r="AD608" s="113" t="n">
        <f aca="false">IF(AC608&lt;1,X$14*((1-ropt)-Y$14*(1-ropt^2)+Z$14*(1-ropt^3)),0)</f>
        <v>192618.808597616</v>
      </c>
    </row>
    <row r="609" customFormat="false" ht="12.75" hidden="false" customHeight="false" outlineLevel="0" collapsed="false">
      <c r="X609" s="102" t="n">
        <v>410</v>
      </c>
      <c r="Y609" s="124" t="n">
        <f aca="false">Y608+Y$16</f>
        <v>0.00235388576984406</v>
      </c>
      <c r="Z609" s="115" t="n">
        <f aca="false">(K-(L0-Y609*Ldif-alph*Y609^0.5))/R0</f>
        <v>0.895380565874582</v>
      </c>
      <c r="AA609" s="113" t="n">
        <f aca="false">IF(Z609&lt;1,X$14*((1-r_1)-Y$14*(1-r_1^2)+Z$14*(1-r_1^3)),0)</f>
        <v>191541.454942646</v>
      </c>
      <c r="AB609" s="97" t="n">
        <f aca="false">AB608+AB$15</f>
        <v>0.00235388576984406</v>
      </c>
      <c r="AC609" s="115" t="n">
        <f aca="false">(Kopt-(L0-AB609*Ldif-alph*AB609^0.5))/R0</f>
        <v>0.895380565874582</v>
      </c>
      <c r="AD609" s="113" t="n">
        <f aca="false">IF(AC609&lt;1,X$14*((1-ropt)-Y$14*(1-ropt^2)+Z$14*(1-ropt^3)),0)</f>
        <v>191541.454942646</v>
      </c>
    </row>
    <row r="610" customFormat="false" ht="12.75" hidden="false" customHeight="false" outlineLevel="0" collapsed="false">
      <c r="X610" s="102" t="n">
        <v>409</v>
      </c>
      <c r="Y610" s="124" t="n">
        <f aca="false">Y609+Y$16</f>
        <v>0.0023578754067421</v>
      </c>
      <c r="Z610" s="115" t="n">
        <f aca="false">(K-(L0-Y610*Ldif-alph*Y610^0.5))/R0</f>
        <v>0.895674128274088</v>
      </c>
      <c r="AA610" s="113" t="n">
        <f aca="false">IF(Z610&lt;1,X$14*((1-r_1)-Y$14*(1-r_1^2)+Z$14*(1-r_1^3)),0)</f>
        <v>190468.031448999</v>
      </c>
      <c r="AB610" s="97" t="n">
        <f aca="false">AB609+AB$15</f>
        <v>0.0023578754067421</v>
      </c>
      <c r="AC610" s="115" t="n">
        <f aca="false">(Kopt-(L0-AB610*Ldif-alph*AB610^0.5))/R0</f>
        <v>0.895674128274088</v>
      </c>
      <c r="AD610" s="113" t="n">
        <f aca="false">IF(AC610&lt;1,X$14*((1-ropt)-Y$14*(1-ropt^2)+Z$14*(1-ropt^3)),0)</f>
        <v>190468.031448999</v>
      </c>
    </row>
    <row r="611" customFormat="false" ht="12.75" hidden="false" customHeight="false" outlineLevel="0" collapsed="false">
      <c r="X611" s="102" t="n">
        <v>408</v>
      </c>
      <c r="Y611" s="124" t="n">
        <f aca="false">Y610+Y$16</f>
        <v>0.00236186504364014</v>
      </c>
      <c r="Z611" s="115" t="n">
        <f aca="false">(K-(L0-Y611*Ldif-alph*Y611^0.5))/R0</f>
        <v>0.895967442418696</v>
      </c>
      <c r="AA611" s="113" t="n">
        <f aca="false">IF(Z611&lt;1,X$14*((1-r_1)-Y$14*(1-r_1^2)+Z$14*(1-r_1^3)),0)</f>
        <v>189398.528145879</v>
      </c>
      <c r="AB611" s="97" t="n">
        <f aca="false">AB610+AB$15</f>
        <v>0.00236186504364014</v>
      </c>
      <c r="AC611" s="115" t="n">
        <f aca="false">(Kopt-(L0-AB611*Ldif-alph*AB611^0.5))/R0</f>
        <v>0.895967442418696</v>
      </c>
      <c r="AD611" s="113" t="n">
        <f aca="false">IF(AC611&lt;1,X$14*((1-ropt)-Y$14*(1-ropt^2)+Z$14*(1-ropt^3)),0)</f>
        <v>189398.528145879</v>
      </c>
    </row>
    <row r="612" customFormat="false" ht="12.75" hidden="false" customHeight="false" outlineLevel="0" collapsed="false">
      <c r="X612" s="102" t="n">
        <v>407</v>
      </c>
      <c r="Y612" s="124" t="n">
        <f aca="false">Y611+Y$16</f>
        <v>0.00236585468053818</v>
      </c>
      <c r="Z612" s="115" t="n">
        <f aca="false">(K-(L0-Y612*Ldif-alph*Y612^0.5))/R0</f>
        <v>0.896260508937167</v>
      </c>
      <c r="AA612" s="113" t="n">
        <f aca="false">IF(Z612&lt;1,X$14*((1-r_1)-Y$14*(1-r_1^2)+Z$14*(1-r_1^3)),0)</f>
        <v>188332.935104575</v>
      </c>
      <c r="AB612" s="97" t="n">
        <f aca="false">AB611+AB$15</f>
        <v>0.00236585468053818</v>
      </c>
      <c r="AC612" s="115" t="n">
        <f aca="false">(Kopt-(L0-AB612*Ldif-alph*AB612^0.5))/R0</f>
        <v>0.896260508937167</v>
      </c>
      <c r="AD612" s="113" t="n">
        <f aca="false">IF(AC612&lt;1,X$14*((1-ropt)-Y$14*(1-ropt^2)+Z$14*(1-ropt^3)),0)</f>
        <v>188332.935104575</v>
      </c>
    </row>
    <row r="613" customFormat="false" ht="12.75" hidden="false" customHeight="false" outlineLevel="0" collapsed="false">
      <c r="X613" s="102" t="n">
        <v>406</v>
      </c>
      <c r="Y613" s="124" t="n">
        <f aca="false">Y612+Y$16</f>
        <v>0.00236984431743622</v>
      </c>
      <c r="Z613" s="115" t="n">
        <f aca="false">(K-(L0-Y613*Ldif-alph*Y613^0.5))/R0</f>
        <v>0.896553328455607</v>
      </c>
      <c r="AA613" s="113" t="n">
        <f aca="false">IF(Z613&lt;1,X$14*((1-r_1)-Y$14*(1-r_1^2)+Z$14*(1-r_1^3)),0)</f>
        <v>187271.242438239</v>
      </c>
      <c r="AB613" s="97" t="n">
        <f aca="false">AB612+AB$15</f>
        <v>0.00236984431743622</v>
      </c>
      <c r="AC613" s="115" t="n">
        <f aca="false">(Kopt-(L0-AB613*Ldif-alph*AB613^0.5))/R0</f>
        <v>0.896553328455607</v>
      </c>
      <c r="AD613" s="113" t="n">
        <f aca="false">IF(AC613&lt;1,X$14*((1-ropt)-Y$14*(1-ropt^2)+Z$14*(1-ropt^3)),0)</f>
        <v>187271.242438239</v>
      </c>
    </row>
    <row r="614" customFormat="false" ht="12.75" hidden="false" customHeight="false" outlineLevel="0" collapsed="false">
      <c r="X614" s="102" t="n">
        <v>405</v>
      </c>
      <c r="Y614" s="124" t="n">
        <f aca="false">Y613+Y$16</f>
        <v>0.00237383395433426</v>
      </c>
      <c r="Z614" s="115" t="n">
        <f aca="false">(K-(L0-Y614*Ldif-alph*Y614^0.5))/R0</f>
        <v>0.896845901597493</v>
      </c>
      <c r="AA614" s="113" t="n">
        <f aca="false">IF(Z614&lt;1,X$14*((1-r_1)-Y$14*(1-r_1^2)+Z$14*(1-r_1^3)),0)</f>
        <v>186213.440301597</v>
      </c>
      <c r="AB614" s="97" t="n">
        <f aca="false">AB613+AB$15</f>
        <v>0.00237383395433426</v>
      </c>
      <c r="AC614" s="115" t="n">
        <f aca="false">(Kopt-(L0-AB614*Ldif-alph*AB614^0.5))/R0</f>
        <v>0.896845901597493</v>
      </c>
      <c r="AD614" s="113" t="n">
        <f aca="false">IF(AC614&lt;1,X$14*((1-ropt)-Y$14*(1-ropt^2)+Z$14*(1-ropt^3)),0)</f>
        <v>186213.440301597</v>
      </c>
    </row>
    <row r="615" customFormat="false" ht="12.75" hidden="false" customHeight="false" outlineLevel="0" collapsed="false">
      <c r="X615" s="102" t="n">
        <v>404</v>
      </c>
      <c r="Y615" s="124" t="n">
        <f aca="false">Y614+Y$16</f>
        <v>0.0023778235912323</v>
      </c>
      <c r="Z615" s="115" t="n">
        <f aca="false">(K-(L0-Y615*Ldif-alph*Y615^0.5))/R0</f>
        <v>0.897138228983683</v>
      </c>
      <c r="AA615" s="113" t="n">
        <f aca="false">IF(Z615&lt;1,X$14*((1-r_1)-Y$14*(1-r_1^2)+Z$14*(1-r_1^3)),0)</f>
        <v>185159.518890733</v>
      </c>
      <c r="AB615" s="97" t="n">
        <f aca="false">AB614+AB$15</f>
        <v>0.0023778235912323</v>
      </c>
      <c r="AC615" s="115" t="n">
        <f aca="false">(Kopt-(L0-AB615*Ldif-alph*AB615^0.5))/R0</f>
        <v>0.897138228983683</v>
      </c>
      <c r="AD615" s="113" t="n">
        <f aca="false">IF(AC615&lt;1,X$14*((1-ropt)-Y$14*(1-ropt^2)+Z$14*(1-ropt^3)),0)</f>
        <v>185159.518890733</v>
      </c>
    </row>
    <row r="616" customFormat="false" ht="12.75" hidden="false" customHeight="false" outlineLevel="0" collapsed="false">
      <c r="X616" s="102" t="n">
        <v>403</v>
      </c>
      <c r="Y616" s="124" t="n">
        <f aca="false">Y615+Y$16</f>
        <v>0.00238181322813034</v>
      </c>
      <c r="Z616" s="115" t="n">
        <f aca="false">(K-(L0-Y616*Ldif-alph*Y616^0.5))/R0</f>
        <v>0.897430311232429</v>
      </c>
      <c r="AA616" s="113" t="n">
        <f aca="false">IF(Z616&lt;1,X$14*((1-r_1)-Y$14*(1-r_1^2)+Z$14*(1-r_1^3)),0)</f>
        <v>184109.468442838</v>
      </c>
      <c r="AB616" s="97" t="n">
        <f aca="false">AB615+AB$15</f>
        <v>0.00238181322813034</v>
      </c>
      <c r="AC616" s="115" t="n">
        <f aca="false">(Kopt-(L0-AB616*Ldif-alph*AB616^0.5))/R0</f>
        <v>0.897430311232429</v>
      </c>
      <c r="AD616" s="113" t="n">
        <f aca="false">IF(AC616&lt;1,X$14*((1-ropt)-Y$14*(1-ropt^2)+Z$14*(1-ropt^3)),0)</f>
        <v>184109.468442838</v>
      </c>
    </row>
    <row r="617" customFormat="false" ht="12.75" hidden="false" customHeight="false" outlineLevel="0" collapsed="false">
      <c r="X617" s="102" t="n">
        <v>402</v>
      </c>
      <c r="Y617" s="124" t="n">
        <f aca="false">Y616+Y$16</f>
        <v>0.00238580286502838</v>
      </c>
      <c r="Z617" s="115" t="n">
        <f aca="false">(K-(L0-Y617*Ldif-alph*Y617^0.5))/R0</f>
        <v>0.8977221489594</v>
      </c>
      <c r="AA617" s="113" t="n">
        <f aca="false">IF(Z617&lt;1,X$14*((1-r_1)-Y$14*(1-r_1^2)+Z$14*(1-r_1^3)),0)</f>
        <v>183063.279235956</v>
      </c>
      <c r="AB617" s="97" t="n">
        <f aca="false">AB616+AB$15</f>
        <v>0.00238580286502838</v>
      </c>
      <c r="AC617" s="115" t="n">
        <f aca="false">(Kopt-(L0-AB617*Ldif-alph*AB617^0.5))/R0</f>
        <v>0.8977221489594</v>
      </c>
      <c r="AD617" s="113" t="n">
        <f aca="false">IF(AC617&lt;1,X$14*((1-ropt)-Y$14*(1-ropt^2)+Z$14*(1-ropt^3)),0)</f>
        <v>183063.279235956</v>
      </c>
    </row>
    <row r="618" customFormat="false" ht="12.75" hidden="false" customHeight="false" outlineLevel="0" collapsed="false">
      <c r="X618" s="102" t="n">
        <v>401</v>
      </c>
      <c r="Y618" s="124" t="n">
        <f aca="false">Y617+Y$16</f>
        <v>0.00238979250192642</v>
      </c>
      <c r="Z618" s="115" t="n">
        <f aca="false">(K-(L0-Y618*Ldif-alph*Y618^0.5))/R0</f>
        <v>0.898013742777687</v>
      </c>
      <c r="AA618" s="113" t="n">
        <f aca="false">IF(Z618&lt;1,X$14*((1-r_1)-Y$14*(1-r_1^2)+Z$14*(1-r_1^3)),0)</f>
        <v>182020.941588775</v>
      </c>
      <c r="AB618" s="97" t="n">
        <f aca="false">AB617+AB$15</f>
        <v>0.00238979250192642</v>
      </c>
      <c r="AC618" s="115" t="n">
        <f aca="false">(Kopt-(L0-AB618*Ldif-alph*AB618^0.5))/R0</f>
        <v>0.898013742777687</v>
      </c>
      <c r="AD618" s="113" t="n">
        <f aca="false">IF(AC618&lt;1,X$14*((1-ropt)-Y$14*(1-ropt^2)+Z$14*(1-ropt^3)),0)</f>
        <v>182020.941588775</v>
      </c>
    </row>
    <row r="619" customFormat="false" ht="12.75" hidden="false" customHeight="false" outlineLevel="0" collapsed="false">
      <c r="X619" s="102" t="n">
        <v>400</v>
      </c>
      <c r="Y619" s="124" t="n">
        <f aca="false">Y618+Y$16</f>
        <v>0.00239378213882446</v>
      </c>
      <c r="Z619" s="115" t="n">
        <f aca="false">(K-(L0-Y619*Ldif-alph*Y619^0.5))/R0</f>
        <v>0.898305093297826</v>
      </c>
      <c r="AA619" s="113" t="n">
        <f aca="false">IF(Z619&lt;1,X$14*((1-r_1)-Y$14*(1-r_1^2)+Z$14*(1-r_1^3)),0)</f>
        <v>180982.445860366</v>
      </c>
      <c r="AB619" s="97" t="n">
        <f aca="false">AB618+AB$15</f>
        <v>0.00239378213882446</v>
      </c>
      <c r="AC619" s="115" t="n">
        <f aca="false">(Kopt-(L0-AB619*Ldif-alph*AB619^0.5))/R0</f>
        <v>0.898305093297826</v>
      </c>
      <c r="AD619" s="113" t="n">
        <f aca="false">IF(AC619&lt;1,X$14*((1-ropt)-Y$14*(1-ropt^2)+Z$14*(1-ropt^3)),0)</f>
        <v>180982.445860366</v>
      </c>
    </row>
    <row r="620" customFormat="false" ht="12.75" hidden="false" customHeight="false" outlineLevel="0" collapsed="false">
      <c r="X620" s="102" t="n">
        <v>399</v>
      </c>
      <c r="Y620" s="124" t="n">
        <f aca="false">Y619+Y$16</f>
        <v>0.00239777177572251</v>
      </c>
      <c r="Z620" s="115" t="n">
        <f aca="false">(K-(L0-Y620*Ldif-alph*Y620^0.5))/R0</f>
        <v>0.898596201127811</v>
      </c>
      <c r="AA620" s="113" t="n">
        <f aca="false">IF(Z620&lt;1,X$14*((1-r_1)-Y$14*(1-r_1^2)+Z$14*(1-r_1^3)),0)</f>
        <v>179947.782449949</v>
      </c>
      <c r="AB620" s="97" t="n">
        <f aca="false">AB619+AB$15</f>
        <v>0.00239777177572251</v>
      </c>
      <c r="AC620" s="115" t="n">
        <f aca="false">(Kopt-(L0-AB620*Ldif-alph*AB620^0.5))/R0</f>
        <v>0.898596201127811</v>
      </c>
      <c r="AD620" s="113" t="n">
        <f aca="false">IF(AC620&lt;1,X$14*((1-ropt)-Y$14*(1-ropt^2)+Z$14*(1-ropt^3)),0)</f>
        <v>179947.782449949</v>
      </c>
    </row>
    <row r="621" customFormat="false" ht="12.75" hidden="false" customHeight="false" outlineLevel="0" collapsed="false">
      <c r="X621" s="102" t="n">
        <v>398</v>
      </c>
      <c r="Y621" s="124" t="n">
        <f aca="false">Y620+Y$16</f>
        <v>0.00240176141262055</v>
      </c>
      <c r="Z621" s="115" t="n">
        <f aca="false">(K-(L0-Y621*Ldif-alph*Y621^0.5))/R0</f>
        <v>0.8988870668731</v>
      </c>
      <c r="AA621" s="113" t="n">
        <f aca="false">IF(Z621&lt;1,X$14*((1-r_1)-Y$14*(1-r_1^2)+Z$14*(1-r_1^3)),0)</f>
        <v>178916.941796686</v>
      </c>
      <c r="AB621" s="97" t="n">
        <f aca="false">AB620+AB$15</f>
        <v>0.00240176141262055</v>
      </c>
      <c r="AC621" s="115" t="n">
        <f aca="false">(Kopt-(L0-AB621*Ldif-alph*AB621^0.5))/R0</f>
        <v>0.8988870668731</v>
      </c>
      <c r="AD621" s="113" t="n">
        <f aca="false">IF(AC621&lt;1,X$14*((1-ropt)-Y$14*(1-ropt^2)+Z$14*(1-ropt^3)),0)</f>
        <v>178916.941796686</v>
      </c>
    </row>
    <row r="622" customFormat="false" ht="12.75" hidden="false" customHeight="false" outlineLevel="0" collapsed="false">
      <c r="X622" s="102" t="n">
        <v>397</v>
      </c>
      <c r="Y622" s="124" t="n">
        <f aca="false">Y621+Y$16</f>
        <v>0.00240575104951859</v>
      </c>
      <c r="Z622" s="115" t="n">
        <f aca="false">(K-(L0-Y622*Ldif-alph*Y622^0.5))/R0</f>
        <v>0.899177691136653</v>
      </c>
      <c r="AA622" s="113" t="n">
        <f aca="false">IF(Z622&lt;1,X$14*((1-r_1)-Y$14*(1-r_1^2)+Z$14*(1-r_1^3)),0)</f>
        <v>177889.914379382</v>
      </c>
      <c r="AB622" s="97" t="n">
        <f aca="false">AB621+AB$15</f>
        <v>0.00240575104951859</v>
      </c>
      <c r="AC622" s="115" t="n">
        <f aca="false">(Kopt-(L0-AB622*Ldif-alph*AB622^0.5))/R0</f>
        <v>0.899177691136653</v>
      </c>
      <c r="AD622" s="113" t="n">
        <f aca="false">IF(AC622&lt;1,X$14*((1-ropt)-Y$14*(1-ropt^2)+Z$14*(1-ropt^3)),0)</f>
        <v>177889.914379382</v>
      </c>
    </row>
    <row r="623" customFormat="false" ht="12.75" hidden="false" customHeight="false" outlineLevel="0" collapsed="false">
      <c r="X623" s="102" t="n">
        <v>396</v>
      </c>
      <c r="Y623" s="124" t="n">
        <f aca="false">Y622+Y$16</f>
        <v>0.00240974068641663</v>
      </c>
      <c r="Z623" s="115" t="n">
        <f aca="false">(K-(L0-Y623*Ldif-alph*Y623^0.5))/R0</f>
        <v>0.899468074518917</v>
      </c>
      <c r="AA623" s="113" t="n">
        <f aca="false">IF(Z623&lt;1,X$14*((1-r_1)-Y$14*(1-r_1^2)+Z$14*(1-r_1^3)),0)</f>
        <v>176866.690716346</v>
      </c>
      <c r="AB623" s="97" t="n">
        <f aca="false">AB622+AB$15</f>
        <v>0.00240974068641663</v>
      </c>
      <c r="AC623" s="115" t="n">
        <f aca="false">(Kopt-(L0-AB623*Ldif-alph*AB623^0.5))/R0</f>
        <v>0.899468074518917</v>
      </c>
      <c r="AD623" s="113" t="n">
        <f aca="false">IF(AC623&lt;1,X$14*((1-ropt)-Y$14*(1-ropt^2)+Z$14*(1-ropt^3)),0)</f>
        <v>176866.690716346</v>
      </c>
    </row>
    <row r="624" customFormat="false" ht="12.75" hidden="false" customHeight="false" outlineLevel="0" collapsed="false">
      <c r="X624" s="102" t="n">
        <v>395</v>
      </c>
      <c r="Y624" s="124" t="n">
        <f aca="false">Y623+Y$16</f>
        <v>0.00241373032331467</v>
      </c>
      <c r="Z624" s="115" t="n">
        <f aca="false">(K-(L0-Y624*Ldif-alph*Y624^0.5))/R0</f>
        <v>0.899758217617861</v>
      </c>
      <c r="AA624" s="113" t="n">
        <f aca="false">IF(Z624&lt;1,X$14*((1-r_1)-Y$14*(1-r_1^2)+Z$14*(1-r_1^3)),0)</f>
        <v>175847.261365093</v>
      </c>
      <c r="AB624" s="97" t="n">
        <f aca="false">AB623+AB$15</f>
        <v>0.00241373032331467</v>
      </c>
      <c r="AC624" s="115" t="n">
        <f aca="false">(Kopt-(L0-AB624*Ldif-alph*AB624^0.5))/R0</f>
        <v>0.899758217617861</v>
      </c>
      <c r="AD624" s="113" t="n">
        <f aca="false">IF(AC624&lt;1,X$14*((1-ropt)-Y$14*(1-ropt^2)+Z$14*(1-ropt^3)),0)</f>
        <v>175847.261365093</v>
      </c>
    </row>
    <row r="625" customFormat="false" ht="12.75" hidden="false" customHeight="false" outlineLevel="0" collapsed="false">
      <c r="X625" s="102" t="n">
        <v>394</v>
      </c>
      <c r="Y625" s="124" t="n">
        <f aca="false">Y624+Y$16</f>
        <v>0.00241771996021271</v>
      </c>
      <c r="Z625" s="115" t="n">
        <f aca="false">(K-(L0-Y625*Ldif-alph*Y625^0.5))/R0</f>
        <v>0.900048121028983</v>
      </c>
      <c r="AA625" s="113" t="n">
        <f aca="false">IF(Z625&lt;1,X$14*((1-r_1)-Y$14*(1-r_1^2)+Z$14*(1-r_1^3)),0)</f>
        <v>174831.616922145</v>
      </c>
      <c r="AB625" s="97" t="n">
        <f aca="false">AB624+AB$15</f>
        <v>0.00241771996021271</v>
      </c>
      <c r="AC625" s="115" t="n">
        <f aca="false">(Kopt-(L0-AB625*Ldif-alph*AB625^0.5))/R0</f>
        <v>0.900048121028983</v>
      </c>
      <c r="AD625" s="113" t="n">
        <f aca="false">IF(AC625&lt;1,X$14*((1-ropt)-Y$14*(1-ropt^2)+Z$14*(1-ropt^3)),0)</f>
        <v>174831.616922145</v>
      </c>
    </row>
    <row r="626" customFormat="false" ht="12.75" hidden="false" customHeight="false" outlineLevel="0" collapsed="false">
      <c r="X626" s="102" t="n">
        <v>393</v>
      </c>
      <c r="Y626" s="124" t="n">
        <f aca="false">Y625+Y$16</f>
        <v>0.00242170959711075</v>
      </c>
      <c r="Z626" s="115" t="n">
        <f aca="false">(K-(L0-Y626*Ldif-alph*Y626^0.5))/R0</f>
        <v>0.90033778534533</v>
      </c>
      <c r="AA626" s="113" t="n">
        <f aca="false">IF(Z626&lt;1,X$14*((1-r_1)-Y$14*(1-r_1^2)+Z$14*(1-r_1^3)),0)</f>
        <v>173819.748022788</v>
      </c>
      <c r="AB626" s="97" t="n">
        <f aca="false">AB625+AB$15</f>
        <v>0.00242170959711075</v>
      </c>
      <c r="AC626" s="115" t="n">
        <f aca="false">(Kopt-(L0-AB626*Ldif-alph*AB626^0.5))/R0</f>
        <v>0.90033778534533</v>
      </c>
      <c r="AD626" s="113" t="n">
        <f aca="false">IF(AC626&lt;1,X$14*((1-ropt)-Y$14*(1-ropt^2)+Z$14*(1-ropt^3)),0)</f>
        <v>173819.748022788</v>
      </c>
    </row>
    <row r="627" customFormat="false" ht="12.75" hidden="false" customHeight="false" outlineLevel="0" collapsed="false">
      <c r="X627" s="102" t="n">
        <v>392</v>
      </c>
      <c r="Y627" s="124" t="n">
        <f aca="false">Y626+Y$16</f>
        <v>0.00242569923400879</v>
      </c>
      <c r="Z627" s="115" t="n">
        <f aca="false">(K-(L0-Y627*Ldif-alph*Y627^0.5))/R0</f>
        <v>0.900627211157494</v>
      </c>
      <c r="AA627" s="113" t="n">
        <f aca="false">IF(Z627&lt;1,X$14*((1-r_1)-Y$14*(1-r_1^2)+Z$14*(1-r_1^3)),0)</f>
        <v>172811.6453409</v>
      </c>
      <c r="AB627" s="97" t="n">
        <f aca="false">AB626+AB$15</f>
        <v>0.00242569923400879</v>
      </c>
      <c r="AC627" s="115" t="n">
        <f aca="false">(Kopt-(L0-AB627*Ldif-alph*AB627^0.5))/R0</f>
        <v>0.900627211157494</v>
      </c>
      <c r="AD627" s="113" t="n">
        <f aca="false">IF(AC627&lt;1,X$14*((1-ropt)-Y$14*(1-ropt^2)+Z$14*(1-ropt^3)),0)</f>
        <v>172811.6453409</v>
      </c>
    </row>
    <row r="628" customFormat="false" ht="12.75" hidden="false" customHeight="false" outlineLevel="0" collapsed="false">
      <c r="X628" s="102" t="n">
        <v>391</v>
      </c>
      <c r="Y628" s="124" t="n">
        <f aca="false">Y627+Y$16</f>
        <v>0.00242968887090683</v>
      </c>
      <c r="Z628" s="115" t="n">
        <f aca="false">(K-(L0-Y628*Ldif-alph*Y628^0.5))/R0</f>
        <v>0.90091639905366</v>
      </c>
      <c r="AA628" s="113" t="n">
        <f aca="false">IF(Z628&lt;1,X$14*((1-r_1)-Y$14*(1-r_1^2)+Z$14*(1-r_1^3)),0)</f>
        <v>171807.29958864</v>
      </c>
      <c r="AB628" s="97" t="n">
        <f aca="false">AB627+AB$15</f>
        <v>0.00242968887090683</v>
      </c>
      <c r="AC628" s="115" t="n">
        <f aca="false">(Kopt-(L0-AB628*Ldif-alph*AB628^0.5))/R0</f>
        <v>0.90091639905366</v>
      </c>
      <c r="AD628" s="113" t="n">
        <f aca="false">IF(AC628&lt;1,X$14*((1-ropt)-Y$14*(1-ropt^2)+Z$14*(1-ropt^3)),0)</f>
        <v>171807.29958864</v>
      </c>
    </row>
    <row r="629" customFormat="false" ht="12.75" hidden="false" customHeight="false" outlineLevel="0" collapsed="false">
      <c r="X629" s="102" t="n">
        <v>390</v>
      </c>
      <c r="Y629" s="124" t="n">
        <f aca="false">Y628+Y$16</f>
        <v>0.00243367850780487</v>
      </c>
      <c r="Z629" s="115" t="n">
        <f aca="false">(K-(L0-Y629*Ldif-alph*Y629^0.5))/R0</f>
        <v>0.901205349619577</v>
      </c>
      <c r="AA629" s="113" t="n">
        <f aca="false">IF(Z629&lt;1,X$14*((1-r_1)-Y$14*(1-r_1^2)+Z$14*(1-r_1^3)),0)</f>
        <v>170806.701516325</v>
      </c>
      <c r="AB629" s="97" t="n">
        <f aca="false">AB628+AB$15</f>
        <v>0.00243367850780487</v>
      </c>
      <c r="AC629" s="115" t="n">
        <f aca="false">(Kopt-(L0-AB629*Ldif-alph*AB629^0.5))/R0</f>
        <v>0.901205349619577</v>
      </c>
      <c r="AD629" s="113" t="n">
        <f aca="false">IF(AC629&lt;1,X$14*((1-ropt)-Y$14*(1-ropt^2)+Z$14*(1-ropt^3)),0)</f>
        <v>170806.701516325</v>
      </c>
    </row>
    <row r="630" customFormat="false" ht="12.75" hidden="false" customHeight="false" outlineLevel="0" collapsed="false">
      <c r="X630" s="102" t="n">
        <v>389</v>
      </c>
      <c r="Y630" s="124" t="n">
        <f aca="false">Y629+Y$16</f>
        <v>0.00243766814470291</v>
      </c>
      <c r="Z630" s="115" t="n">
        <f aca="false">(K-(L0-Y630*Ldif-alph*Y630^0.5))/R0</f>
        <v>0.901494063438613</v>
      </c>
      <c r="AA630" s="113" t="n">
        <f aca="false">IF(Z630&lt;1,X$14*((1-r_1)-Y$14*(1-r_1^2)+Z$14*(1-r_1^3)),0)</f>
        <v>169809.841912131</v>
      </c>
      <c r="AB630" s="97" t="n">
        <f aca="false">AB629+AB$15</f>
        <v>0.00243766814470291</v>
      </c>
      <c r="AC630" s="115" t="n">
        <f aca="false">(Kopt-(L0-AB630*Ldif-alph*AB630^0.5))/R0</f>
        <v>0.901494063438613</v>
      </c>
      <c r="AD630" s="113" t="n">
        <f aca="false">IF(AC630&lt;1,X$14*((1-ropt)-Y$14*(1-ropt^2)+Z$14*(1-ropt^3)),0)</f>
        <v>169809.841912131</v>
      </c>
    </row>
    <row r="631" customFormat="false" ht="12.75" hidden="false" customHeight="false" outlineLevel="0" collapsed="false">
      <c r="X631" s="102" t="n">
        <v>388</v>
      </c>
      <c r="Y631" s="124" t="n">
        <f aca="false">Y630+Y$16</f>
        <v>0.00244165778160095</v>
      </c>
      <c r="Z631" s="115" t="n">
        <f aca="false">(K-(L0-Y631*Ldif-alph*Y631^0.5))/R0</f>
        <v>0.901782541091737</v>
      </c>
      <c r="AA631" s="113" t="n">
        <f aca="false">IF(Z631&lt;1,X$14*((1-r_1)-Y$14*(1-r_1^2)+Z$14*(1-r_1^3)),0)</f>
        <v>168816.711601937</v>
      </c>
      <c r="AB631" s="97" t="n">
        <f aca="false">AB630+AB$15</f>
        <v>0.00244165778160095</v>
      </c>
      <c r="AC631" s="115" t="n">
        <f aca="false">(Kopt-(L0-AB631*Ldif-alph*AB631^0.5))/R0</f>
        <v>0.901782541091737</v>
      </c>
      <c r="AD631" s="113" t="n">
        <f aca="false">IF(AC631&lt;1,X$14*((1-ropt)-Y$14*(1-ropt^2)+Z$14*(1-ropt^3)),0)</f>
        <v>168816.711601937</v>
      </c>
    </row>
    <row r="632" customFormat="false" ht="12.75" hidden="false" customHeight="false" outlineLevel="0" collapsed="false">
      <c r="X632" s="102" t="n">
        <v>387</v>
      </c>
      <c r="Y632" s="124" t="n">
        <f aca="false">Y631+Y$16</f>
        <v>0.00244564741849899</v>
      </c>
      <c r="Z632" s="115" t="n">
        <f aca="false">(K-(L0-Y632*Ldif-alph*Y632^0.5))/R0</f>
        <v>0.902070783157556</v>
      </c>
      <c r="AA632" s="113" t="n">
        <f aca="false">IF(Z632&lt;1,X$14*((1-r_1)-Y$14*(1-r_1^2)+Z$14*(1-r_1^3)),0)</f>
        <v>167827.301449051</v>
      </c>
      <c r="AB632" s="97" t="n">
        <f aca="false">AB631+AB$15</f>
        <v>0.00244564741849899</v>
      </c>
      <c r="AC632" s="115" t="n">
        <f aca="false">(Kopt-(L0-AB632*Ldif-alph*AB632^0.5))/R0</f>
        <v>0.902070783157556</v>
      </c>
      <c r="AD632" s="113" t="n">
        <f aca="false">IF(AC632&lt;1,X$14*((1-ropt)-Y$14*(1-ropt^2)+Z$14*(1-ropt^3)),0)</f>
        <v>167827.301449051</v>
      </c>
    </row>
    <row r="633" customFormat="false" ht="12.75" hidden="false" customHeight="false" outlineLevel="0" collapsed="false">
      <c r="X633" s="102" t="n">
        <v>386</v>
      </c>
      <c r="Y633" s="124" t="n">
        <f aca="false">Y632+Y$16</f>
        <v>0.00244963705539703</v>
      </c>
      <c r="Z633" s="115" t="n">
        <f aca="false">(K-(L0-Y633*Ldif-alph*Y633^0.5))/R0</f>
        <v>0.902358790212311</v>
      </c>
      <c r="AA633" s="113" t="n">
        <f aca="false">IF(Z633&lt;1,X$14*((1-r_1)-Y$14*(1-r_1^2)+Z$14*(1-r_1^3)),0)</f>
        <v>166841.602354063</v>
      </c>
      <c r="AB633" s="97" t="n">
        <f aca="false">AB632+AB$15</f>
        <v>0.00244963705539703</v>
      </c>
      <c r="AC633" s="115" t="n">
        <f aca="false">(Kopt-(L0-AB633*Ldif-alph*AB633^0.5))/R0</f>
        <v>0.902358790212311</v>
      </c>
      <c r="AD633" s="113" t="n">
        <f aca="false">IF(AC633&lt;1,X$14*((1-ropt)-Y$14*(1-ropt^2)+Z$14*(1-ropt^3)),0)</f>
        <v>166841.602354063</v>
      </c>
    </row>
    <row r="634" customFormat="false" ht="12.75" hidden="false" customHeight="false" outlineLevel="0" collapsed="false">
      <c r="X634" s="102" t="n">
        <v>385</v>
      </c>
      <c r="Y634" s="124" t="n">
        <f aca="false">Y633+Y$16</f>
        <v>0.00245362669229507</v>
      </c>
      <c r="Z634" s="115" t="n">
        <f aca="false">(K-(L0-Y634*Ldif-alph*Y634^0.5))/R0</f>
        <v>0.9026465628299</v>
      </c>
      <c r="AA634" s="113" t="n">
        <f aca="false">IF(Z634&lt;1,X$14*((1-r_1)-Y$14*(1-r_1^2)+Z$14*(1-r_1^3)),0)</f>
        <v>165859.605254569</v>
      </c>
      <c r="AB634" s="97" t="n">
        <f aca="false">AB633+AB$15</f>
        <v>0.00245362669229507</v>
      </c>
      <c r="AC634" s="115" t="n">
        <f aca="false">(Kopt-(L0-AB634*Ldif-alph*AB634^0.5))/R0</f>
        <v>0.9026465628299</v>
      </c>
      <c r="AD634" s="113" t="n">
        <f aca="false">IF(AC634&lt;1,X$14*((1-ropt)-Y$14*(1-ropt^2)+Z$14*(1-ropt^3)),0)</f>
        <v>165859.605254569</v>
      </c>
    </row>
    <row r="635" customFormat="false" ht="12.75" hidden="false" customHeight="false" outlineLevel="0" collapsed="false">
      <c r="X635" s="102" t="n">
        <v>384</v>
      </c>
      <c r="Y635" s="124" t="n">
        <f aca="false">Y634+Y$16</f>
        <v>0.00245761632919311</v>
      </c>
      <c r="Z635" s="115" t="n">
        <f aca="false">(K-(L0-Y635*Ldif-alph*Y635^0.5))/R0</f>
        <v>0.902934101581889</v>
      </c>
      <c r="AA635" s="113" t="n">
        <f aca="false">IF(Z635&lt;1,X$14*((1-r_1)-Y$14*(1-r_1^2)+Z$14*(1-r_1^3)),0)</f>
        <v>164881.301125012</v>
      </c>
      <c r="AB635" s="97" t="n">
        <f aca="false">AB634+AB$15</f>
        <v>0.00245761632919311</v>
      </c>
      <c r="AC635" s="115" t="n">
        <f aca="false">(Kopt-(L0-AB635*Ldif-alph*AB635^0.5))/R0</f>
        <v>0.902934101581889</v>
      </c>
      <c r="AD635" s="113" t="n">
        <f aca="false">IF(AC635&lt;1,X$14*((1-ropt)-Y$14*(1-ropt^2)+Z$14*(1-ropt^3)),0)</f>
        <v>164881.301125012</v>
      </c>
    </row>
    <row r="636" customFormat="false" ht="12.75" hidden="false" customHeight="false" outlineLevel="0" collapsed="false">
      <c r="X636" s="102" t="n">
        <v>383</v>
      </c>
      <c r="Y636" s="124" t="n">
        <f aca="false">Y635+Y$16</f>
        <v>0.00246160596609116</v>
      </c>
      <c r="Z636" s="115" t="n">
        <f aca="false">(K-(L0-Y636*Ldif-alph*Y636^0.5))/R0</f>
        <v>0.903221407037528</v>
      </c>
      <c r="AA636" s="113" t="n">
        <f aca="false">IF(Z636&lt;1,X$14*((1-r_1)-Y$14*(1-r_1^2)+Z$14*(1-r_1^3)),0)</f>
        <v>163906.680976428</v>
      </c>
      <c r="AB636" s="97" t="n">
        <f aca="false">AB635+AB$15</f>
        <v>0.00246160596609116</v>
      </c>
      <c r="AC636" s="115" t="n">
        <f aca="false">(Kopt-(L0-AB636*Ldif-alph*AB636^0.5))/R0</f>
        <v>0.903221407037528</v>
      </c>
      <c r="AD636" s="113" t="n">
        <f aca="false">IF(AC636&lt;1,X$14*((1-ropt)-Y$14*(1-ropt^2)+Z$14*(1-ropt^3)),0)</f>
        <v>163906.680976428</v>
      </c>
    </row>
    <row r="637" customFormat="false" ht="12.75" hidden="false" customHeight="false" outlineLevel="0" collapsed="false">
      <c r="X637" s="102" t="n">
        <v>382</v>
      </c>
      <c r="Y637" s="124" t="n">
        <f aca="false">Y636+Y$16</f>
        <v>0.0024655956029892</v>
      </c>
      <c r="Z637" s="115" t="n">
        <f aca="false">(K-(L0-Y637*Ldif-alph*Y637^0.5))/R0</f>
        <v>0.903508479763754</v>
      </c>
      <c r="AA637" s="113" t="n">
        <f aca="false">IF(Z637&lt;1,X$14*((1-r_1)-Y$14*(1-r_1^2)+Z$14*(1-r_1^3)),0)</f>
        <v>162935.735856284</v>
      </c>
      <c r="AB637" s="97" t="n">
        <f aca="false">AB636+AB$15</f>
        <v>0.0024655956029892</v>
      </c>
      <c r="AC637" s="115" t="n">
        <f aca="false">(Kopt-(L0-AB637*Ldif-alph*AB637^0.5))/R0</f>
        <v>0.903508479763754</v>
      </c>
      <c r="AD637" s="113" t="n">
        <f aca="false">IF(AC637&lt;1,X$14*((1-ropt)-Y$14*(1-ropt^2)+Z$14*(1-ropt^3)),0)</f>
        <v>162935.735856284</v>
      </c>
    </row>
    <row r="638" customFormat="false" ht="12.75" hidden="false" customHeight="false" outlineLevel="0" collapsed="false">
      <c r="X638" s="102" t="n">
        <v>381</v>
      </c>
      <c r="Y638" s="124" t="n">
        <f aca="false">Y637+Y$16</f>
        <v>0.00246958523988724</v>
      </c>
      <c r="Z638" s="115" t="n">
        <f aca="false">(K-(L0-Y638*Ldif-alph*Y638^0.5))/R0</f>
        <v>0.903795320325221</v>
      </c>
      <c r="AA638" s="113" t="n">
        <f aca="false">IF(Z638&lt;1,X$14*((1-r_1)-Y$14*(1-r_1^2)+Z$14*(1-r_1^3)),0)</f>
        <v>161968.456848219</v>
      </c>
      <c r="AB638" s="97" t="n">
        <f aca="false">AB637+AB$15</f>
        <v>0.00246958523988724</v>
      </c>
      <c r="AC638" s="115" t="n">
        <f aca="false">(Kopt-(L0-AB638*Ldif-alph*AB638^0.5))/R0</f>
        <v>0.903795320325221</v>
      </c>
      <c r="AD638" s="113" t="n">
        <f aca="false">IF(AC638&lt;1,X$14*((1-ropt)-Y$14*(1-ropt^2)+Z$14*(1-ropt^3)),0)</f>
        <v>161968.456848219</v>
      </c>
    </row>
    <row r="639" customFormat="false" ht="12.75" hidden="false" customHeight="false" outlineLevel="0" collapsed="false">
      <c r="X639" s="102" t="n">
        <v>380</v>
      </c>
      <c r="Y639" s="124" t="n">
        <f aca="false">Y638+Y$16</f>
        <v>0.00247357487678528</v>
      </c>
      <c r="Z639" s="115" t="n">
        <f aca="false">(K-(L0-Y639*Ldif-alph*Y639^0.5))/R0</f>
        <v>0.904081929284293</v>
      </c>
      <c r="AA639" s="113" t="n">
        <f aca="false">IF(Z639&lt;1,X$14*((1-r_1)-Y$14*(1-r_1^2)+Z$14*(1-r_1^3)),0)</f>
        <v>161004.835071908</v>
      </c>
      <c r="AB639" s="97" t="n">
        <f aca="false">AB638+AB$15</f>
        <v>0.00247357487678528</v>
      </c>
      <c r="AC639" s="115" t="n">
        <f aca="false">(Kopt-(L0-AB639*Ldif-alph*AB639^0.5))/R0</f>
        <v>0.904081929284293</v>
      </c>
      <c r="AD639" s="113" t="n">
        <f aca="false">IF(AC639&lt;1,X$14*((1-ropt)-Y$14*(1-ropt^2)+Z$14*(1-ropt^3)),0)</f>
        <v>161004.835071908</v>
      </c>
    </row>
    <row r="640" customFormat="false" ht="12.75" hidden="false" customHeight="false" outlineLevel="0" collapsed="false">
      <c r="X640" s="102" t="n">
        <v>379</v>
      </c>
      <c r="Y640" s="124" t="n">
        <f aca="false">Y639+Y$16</f>
        <v>0.00247756451368332</v>
      </c>
      <c r="Z640" s="115" t="n">
        <f aca="false">(K-(L0-Y640*Ldif-alph*Y640^0.5))/R0</f>
        <v>0.904368307201079</v>
      </c>
      <c r="AA640" s="113" t="n">
        <f aca="false">IF(Z640&lt;1,X$14*((1-r_1)-Y$14*(1-r_1^2)+Z$14*(1-r_1^3)),0)</f>
        <v>160044.861682775</v>
      </c>
      <c r="AB640" s="97" t="n">
        <f aca="false">AB639+AB$15</f>
        <v>0.00247756451368332</v>
      </c>
      <c r="AC640" s="115" t="n">
        <f aca="false">(Kopt-(L0-AB640*Ldif-alph*AB640^0.5))/R0</f>
        <v>0.904368307201079</v>
      </c>
      <c r="AD640" s="113" t="n">
        <f aca="false">IF(AC640&lt;1,X$14*((1-ropt)-Y$14*(1-ropt^2)+Z$14*(1-ropt^3)),0)</f>
        <v>160044.861682775</v>
      </c>
    </row>
    <row r="641" customFormat="false" ht="12.75" hidden="false" customHeight="false" outlineLevel="0" collapsed="false">
      <c r="X641" s="102" t="n">
        <v>378</v>
      </c>
      <c r="Y641" s="124" t="n">
        <f aca="false">Y640+Y$16</f>
        <v>0.00248155415058136</v>
      </c>
      <c r="Z641" s="115" t="n">
        <f aca="false">(K-(L0-Y641*Ldif-alph*Y641^0.5))/R0</f>
        <v>0.904654454633425</v>
      </c>
      <c r="AA641" s="113" t="n">
        <f aca="false">IF(Z641&lt;1,X$14*((1-r_1)-Y$14*(1-r_1^2)+Z$14*(1-r_1^3)),0)</f>
        <v>159088.527871868</v>
      </c>
      <c r="AB641" s="97" t="n">
        <f aca="false">AB640+AB$15</f>
        <v>0.00248155415058136</v>
      </c>
      <c r="AC641" s="115" t="n">
        <f aca="false">(Kopt-(L0-AB641*Ldif-alph*AB641^0.5))/R0</f>
        <v>0.904654454633425</v>
      </c>
      <c r="AD641" s="113" t="n">
        <f aca="false">IF(AC641&lt;1,X$14*((1-ropt)-Y$14*(1-ropt^2)+Z$14*(1-ropt^3)),0)</f>
        <v>159088.527871868</v>
      </c>
    </row>
    <row r="642" customFormat="false" ht="12.75" hidden="false" customHeight="false" outlineLevel="0" collapsed="false">
      <c r="X642" s="102" t="n">
        <v>377</v>
      </c>
      <c r="Y642" s="124" t="n">
        <f aca="false">Y641+Y$16</f>
        <v>0.0024855437874794</v>
      </c>
      <c r="Z642" s="115" t="n">
        <f aca="false">(K-(L0-Y642*Ldif-alph*Y642^0.5))/R0</f>
        <v>0.904940372136941</v>
      </c>
      <c r="AA642" s="113" t="n">
        <f aca="false">IF(Z642&lt;1,X$14*((1-r_1)-Y$14*(1-r_1^2)+Z$14*(1-r_1^3)),0)</f>
        <v>158135.824865607</v>
      </c>
      <c r="AB642" s="97" t="n">
        <f aca="false">AB641+AB$15</f>
        <v>0.0024855437874794</v>
      </c>
      <c r="AC642" s="115" t="n">
        <f aca="false">(Kopt-(L0-AB642*Ldif-alph*AB642^0.5))/R0</f>
        <v>0.904940372136941</v>
      </c>
      <c r="AD642" s="113" t="n">
        <f aca="false">IF(AC642&lt;1,X$14*((1-ropt)-Y$14*(1-ropt^2)+Z$14*(1-ropt^3)),0)</f>
        <v>158135.824865607</v>
      </c>
    </row>
    <row r="643" customFormat="false" ht="12.75" hidden="false" customHeight="false" outlineLevel="0" collapsed="false">
      <c r="X643" s="102" t="n">
        <v>376</v>
      </c>
      <c r="Y643" s="124" t="n">
        <f aca="false">Y642+Y$16</f>
        <v>0.00248953342437744</v>
      </c>
      <c r="Z643" s="115" t="n">
        <f aca="false">(K-(L0-Y643*Ldif-alph*Y643^0.5))/R0</f>
        <v>0.905226060265002</v>
      </c>
      <c r="AA643" s="113" t="n">
        <f aca="false">IF(Z643&lt;1,X$14*((1-r_1)-Y$14*(1-r_1^2)+Z$14*(1-r_1^3)),0)</f>
        <v>157186.743925629</v>
      </c>
      <c r="AB643" s="97" t="n">
        <f aca="false">AB642+AB$15</f>
        <v>0.00248953342437744</v>
      </c>
      <c r="AC643" s="115" t="n">
        <f aca="false">(Kopt-(L0-AB643*Ldif-alph*AB643^0.5))/R0</f>
        <v>0.905226060265002</v>
      </c>
      <c r="AD643" s="113" t="n">
        <f aca="false">IF(AC643&lt;1,X$14*((1-ropt)-Y$14*(1-ropt^2)+Z$14*(1-ropt^3)),0)</f>
        <v>157186.743925629</v>
      </c>
    </row>
    <row r="644" customFormat="false" ht="12.75" hidden="false" customHeight="false" outlineLevel="0" collapsed="false">
      <c r="X644" s="102" t="n">
        <v>375</v>
      </c>
      <c r="Y644" s="124" t="n">
        <f aca="false">Y643+Y$16</f>
        <v>0.00249352306127548</v>
      </c>
      <c r="Z644" s="115" t="n">
        <f aca="false">(K-(L0-Y644*Ldif-alph*Y644^0.5))/R0</f>
        <v>0.905511519568775</v>
      </c>
      <c r="AA644" s="113" t="n">
        <f aca="false">IF(Z644&lt;1,X$14*((1-r_1)-Y$14*(1-r_1^2)+Z$14*(1-r_1^3)),0)</f>
        <v>156241.276348536</v>
      </c>
      <c r="AB644" s="97" t="n">
        <f aca="false">AB643+AB$15</f>
        <v>0.00249352306127548</v>
      </c>
      <c r="AC644" s="115" t="n">
        <f aca="false">(Kopt-(L0-AB644*Ldif-alph*AB644^0.5))/R0</f>
        <v>0.905511519568775</v>
      </c>
      <c r="AD644" s="113" t="n">
        <f aca="false">IF(AC644&lt;1,X$14*((1-ropt)-Y$14*(1-ropt^2)+Z$14*(1-ropt^3)),0)</f>
        <v>156241.276348536</v>
      </c>
    </row>
    <row r="645" customFormat="false" ht="12.75" hidden="false" customHeight="false" outlineLevel="0" collapsed="false">
      <c r="X645" s="102" t="n">
        <v>374</v>
      </c>
      <c r="Y645" s="124" t="n">
        <f aca="false">Y644+Y$16</f>
        <v>0.00249751269817352</v>
      </c>
      <c r="Z645" s="115" t="n">
        <f aca="false">(K-(L0-Y645*Ldif-alph*Y645^0.5))/R0</f>
        <v>0.905796750597217</v>
      </c>
      <c r="AA645" s="113" t="n">
        <f aca="false">IF(Z645&lt;1,X$14*((1-r_1)-Y$14*(1-r_1^2)+Z$14*(1-r_1^3)),0)</f>
        <v>155299.413465752</v>
      </c>
      <c r="AB645" s="97" t="n">
        <f aca="false">AB644+AB$15</f>
        <v>0.00249751269817352</v>
      </c>
      <c r="AC645" s="115" t="n">
        <f aca="false">(Kopt-(L0-AB645*Ldif-alph*AB645^0.5))/R0</f>
        <v>0.905796750597217</v>
      </c>
      <c r="AD645" s="113" t="n">
        <f aca="false">IF(AC645&lt;1,X$14*((1-ropt)-Y$14*(1-ropt^2)+Z$14*(1-ropt^3)),0)</f>
        <v>155299.413465752</v>
      </c>
    </row>
    <row r="646" customFormat="false" ht="12.75" hidden="false" customHeight="false" outlineLevel="0" collapsed="false">
      <c r="X646" s="102" t="n">
        <v>373</v>
      </c>
      <c r="Y646" s="124" t="n">
        <f aca="false">Y645+Y$16</f>
        <v>0.00250150233507156</v>
      </c>
      <c r="Z646" s="115" t="n">
        <f aca="false">(K-(L0-Y646*Ldif-alph*Y646^0.5))/R0</f>
        <v>0.906081753897096</v>
      </c>
      <c r="AA646" s="113" t="n">
        <f aca="false">IF(Z646&lt;1,X$14*((1-r_1)-Y$14*(1-r_1^2)+Z$14*(1-r_1^3)),0)</f>
        <v>154361.146643298</v>
      </c>
      <c r="AB646" s="97" t="n">
        <f aca="false">AB645+AB$15</f>
        <v>0.00250150233507156</v>
      </c>
      <c r="AC646" s="115" t="n">
        <f aca="false">(Kopt-(L0-AB646*Ldif-alph*AB646^0.5))/R0</f>
        <v>0.906081753897096</v>
      </c>
      <c r="AD646" s="113" t="n">
        <f aca="false">IF(AC646&lt;1,X$14*((1-ropt)-Y$14*(1-ropt^2)+Z$14*(1-ropt^3)),0)</f>
        <v>154361.146643298</v>
      </c>
    </row>
    <row r="647" customFormat="false" ht="12.75" hidden="false" customHeight="false" outlineLevel="0" collapsed="false">
      <c r="X647" s="102" t="n">
        <v>372</v>
      </c>
      <c r="Y647" s="124" t="n">
        <f aca="false">Y646+Y$16</f>
        <v>0.0025054919719696</v>
      </c>
      <c r="Z647" s="115" t="n">
        <f aca="false">(K-(L0-Y647*Ldif-alph*Y647^0.5))/R0</f>
        <v>0.906366530013</v>
      </c>
      <c r="AA647" s="113" t="n">
        <f aca="false">IF(Z647&lt;1,X$14*((1-r_1)-Y$14*(1-r_1^2)+Z$14*(1-r_1^3)),0)</f>
        <v>153426.467281612</v>
      </c>
      <c r="AB647" s="97" t="n">
        <f aca="false">AB646+AB$15</f>
        <v>0.0025054919719696</v>
      </c>
      <c r="AC647" s="115" t="n">
        <f aca="false">(Kopt-(L0-AB647*Ldif-alph*AB647^0.5))/R0</f>
        <v>0.906366530013</v>
      </c>
      <c r="AD647" s="113" t="n">
        <f aca="false">IF(AC647&lt;1,X$14*((1-ropt)-Y$14*(1-ropt^2)+Z$14*(1-ropt^3)),0)</f>
        <v>153426.467281612</v>
      </c>
    </row>
    <row r="648" customFormat="false" ht="12.75" hidden="false" customHeight="false" outlineLevel="0" collapsed="false">
      <c r="X648" s="102" t="n">
        <v>371</v>
      </c>
      <c r="Y648" s="124" t="n">
        <f aca="false">Y647+Y$16</f>
        <v>0.00250948160886764</v>
      </c>
      <c r="Z648" s="115" t="n">
        <f aca="false">(K-(L0-Y648*Ldif-alph*Y648^0.5))/R0</f>
        <v>0.906651079487351</v>
      </c>
      <c r="AA648" s="113" t="n">
        <f aca="false">IF(Z648&lt;1,X$14*((1-r_1)-Y$14*(1-r_1^2)+Z$14*(1-r_1^3)),0)</f>
        <v>152495.366815346</v>
      </c>
      <c r="AB648" s="97" t="n">
        <f aca="false">AB647+AB$15</f>
        <v>0.00250948160886764</v>
      </c>
      <c r="AC648" s="115" t="n">
        <f aca="false">(Kopt-(L0-AB648*Ldif-alph*AB648^0.5))/R0</f>
        <v>0.906651079487351</v>
      </c>
      <c r="AD648" s="113" t="n">
        <f aca="false">IF(AC648&lt;1,X$14*((1-ropt)-Y$14*(1-ropt^2)+Z$14*(1-ropt^3)),0)</f>
        <v>152495.366815346</v>
      </c>
    </row>
    <row r="649" customFormat="false" ht="12.75" hidden="false" customHeight="false" outlineLevel="0" collapsed="false">
      <c r="X649" s="102" t="n">
        <v>370</v>
      </c>
      <c r="Y649" s="124" t="n">
        <f aca="false">Y648+Y$16</f>
        <v>0.00251347124576568</v>
      </c>
      <c r="Z649" s="115" t="n">
        <f aca="false">(K-(L0-Y649*Ldif-alph*Y649^0.5))/R0</f>
        <v>0.906935402860416</v>
      </c>
      <c r="AA649" s="113" t="n">
        <f aca="false">IF(Z649&lt;1,X$14*((1-r_1)-Y$14*(1-r_1^2)+Z$14*(1-r_1^3)),0)</f>
        <v>151567.83671318</v>
      </c>
      <c r="AB649" s="97" t="n">
        <f aca="false">AB648+AB$15</f>
        <v>0.00251347124576568</v>
      </c>
      <c r="AC649" s="115" t="n">
        <f aca="false">(Kopt-(L0-AB649*Ldif-alph*AB649^0.5))/R0</f>
        <v>0.906935402860416</v>
      </c>
      <c r="AD649" s="113" t="n">
        <f aca="false">IF(AC649&lt;1,X$14*((1-ropt)-Y$14*(1-ropt^2)+Z$14*(1-ropt^3)),0)</f>
        <v>151567.83671318</v>
      </c>
    </row>
    <row r="650" customFormat="false" ht="12.75" hidden="false" customHeight="false" outlineLevel="0" collapsed="false">
      <c r="X650" s="102" t="n">
        <v>369</v>
      </c>
      <c r="Y650" s="124" t="n">
        <f aca="false">Y649+Y$16</f>
        <v>0.00251746088266372</v>
      </c>
      <c r="Z650" s="115" t="n">
        <f aca="false">(K-(L0-Y650*Ldif-alph*Y650^0.5))/R0</f>
        <v>0.907219500670318</v>
      </c>
      <c r="AA650" s="113" t="n">
        <f aca="false">IF(Z650&lt;1,X$14*((1-r_1)-Y$14*(1-r_1^2)+Z$14*(1-r_1^3)),0)</f>
        <v>150643.868477642</v>
      </c>
      <c r="AB650" s="97" t="n">
        <f aca="false">AB649+AB$15</f>
        <v>0.00251746088266372</v>
      </c>
      <c r="AC650" s="115" t="n">
        <f aca="false">(Kopt-(L0-AB650*Ldif-alph*AB650^0.5))/R0</f>
        <v>0.907219500670318</v>
      </c>
      <c r="AD650" s="113" t="n">
        <f aca="false">IF(AC650&lt;1,X$14*((1-ropt)-Y$14*(1-ropt^2)+Z$14*(1-ropt^3)),0)</f>
        <v>150643.868477642</v>
      </c>
    </row>
    <row r="651" customFormat="false" ht="12.75" hidden="false" customHeight="false" outlineLevel="0" collapsed="false">
      <c r="X651" s="102" t="n">
        <v>368</v>
      </c>
      <c r="Y651" s="124" t="n">
        <f aca="false">Y650+Y$16</f>
        <v>0.00252145051956176</v>
      </c>
      <c r="Z651" s="115" t="n">
        <f aca="false">(K-(L0-Y651*Ldif-alph*Y651^0.5))/R0</f>
        <v>0.907503373453048</v>
      </c>
      <c r="AA651" s="113" t="n">
        <f aca="false">IF(Z651&lt;1,X$14*((1-r_1)-Y$14*(1-r_1^2)+Z$14*(1-r_1^3)),0)</f>
        <v>149723.453644909</v>
      </c>
      <c r="AB651" s="97" t="n">
        <f aca="false">AB650+AB$15</f>
        <v>0.00252145051956176</v>
      </c>
      <c r="AC651" s="115" t="n">
        <f aca="false">(Kopt-(L0-AB651*Ldif-alph*AB651^0.5))/R0</f>
        <v>0.907503373453048</v>
      </c>
      <c r="AD651" s="113" t="n">
        <f aca="false">IF(AC651&lt;1,X$14*((1-ropt)-Y$14*(1-ropt^2)+Z$14*(1-ropt^3)),0)</f>
        <v>149723.453644909</v>
      </c>
    </row>
    <row r="652" customFormat="false" ht="12.75" hidden="false" customHeight="false" outlineLevel="0" collapsed="false">
      <c r="X652" s="102" t="n">
        <v>367</v>
      </c>
      <c r="Y652" s="124" t="n">
        <f aca="false">Y651+Y$16</f>
        <v>0.00252544015645981</v>
      </c>
      <c r="Z652" s="115" t="n">
        <f aca="false">(K-(L0-Y652*Ldif-alph*Y652^0.5))/R0</f>
        <v>0.907787021742479</v>
      </c>
      <c r="AA652" s="113" t="n">
        <f aca="false">IF(Z652&lt;1,X$14*((1-r_1)-Y$14*(1-r_1^2)+Z$14*(1-r_1^3)),0)</f>
        <v>148806.583784636</v>
      </c>
      <c r="AB652" s="97" t="n">
        <f aca="false">AB651+AB$15</f>
        <v>0.00252544015645981</v>
      </c>
      <c r="AC652" s="115" t="n">
        <f aca="false">(Kopt-(L0-AB652*Ldif-alph*AB652^0.5))/R0</f>
        <v>0.907787021742479</v>
      </c>
      <c r="AD652" s="113" t="n">
        <f aca="false">IF(AC652&lt;1,X$14*((1-ropt)-Y$14*(1-ropt^2)+Z$14*(1-ropt^3)),0)</f>
        <v>148806.583784636</v>
      </c>
    </row>
    <row r="653" customFormat="false" ht="12.75" hidden="false" customHeight="false" outlineLevel="0" collapsed="false">
      <c r="X653" s="102" t="n">
        <v>366</v>
      </c>
      <c r="Y653" s="124" t="n">
        <f aca="false">Y652+Y$16</f>
        <v>0.00252942979335785</v>
      </c>
      <c r="Z653" s="115" t="n">
        <f aca="false">(K-(L0-Y653*Ldif-alph*Y653^0.5))/R0</f>
        <v>0.908070446070377</v>
      </c>
      <c r="AA653" s="113" t="n">
        <f aca="false">IF(Z653&lt;1,X$14*((1-r_1)-Y$14*(1-r_1^2)+Z$14*(1-r_1^3)),0)</f>
        <v>147893.25049974</v>
      </c>
      <c r="AB653" s="97" t="n">
        <f aca="false">AB652+AB$15</f>
        <v>0.00252942979335785</v>
      </c>
      <c r="AC653" s="115" t="n">
        <f aca="false">(Kopt-(L0-AB653*Ldif-alph*AB653^0.5))/R0</f>
        <v>0.908070446070377</v>
      </c>
      <c r="AD653" s="113" t="n">
        <f aca="false">IF(AC653&lt;1,X$14*((1-ropt)-Y$14*(1-ropt^2)+Z$14*(1-ropt^3)),0)</f>
        <v>147893.25049974</v>
      </c>
    </row>
    <row r="654" customFormat="false" ht="12.75" hidden="false" customHeight="false" outlineLevel="0" collapsed="false">
      <c r="X654" s="102" t="n">
        <v>365</v>
      </c>
      <c r="Y654" s="124" t="n">
        <f aca="false">Y653+Y$16</f>
        <v>0.00253341943025589</v>
      </c>
      <c r="Z654" s="115" t="n">
        <f aca="false">(K-(L0-Y654*Ldif-alph*Y654^0.5))/R0</f>
        <v>0.90835364696641</v>
      </c>
      <c r="AA654" s="113" t="n">
        <f aca="false">IF(Z654&lt;1,X$14*((1-r_1)-Y$14*(1-r_1^2)+Z$14*(1-r_1^3)),0)</f>
        <v>146983.445426254</v>
      </c>
      <c r="AB654" s="97" t="n">
        <f aca="false">AB653+AB$15</f>
        <v>0.00253341943025589</v>
      </c>
      <c r="AC654" s="115" t="n">
        <f aca="false">(Kopt-(L0-AB654*Ldif-alph*AB654^0.5))/R0</f>
        <v>0.90835364696641</v>
      </c>
      <c r="AD654" s="113" t="n">
        <f aca="false">IF(AC654&lt;1,X$14*((1-ropt)-Y$14*(1-ropt^2)+Z$14*(1-ropt^3)),0)</f>
        <v>146983.445426254</v>
      </c>
    </row>
    <row r="655" customFormat="false" ht="12.75" hidden="false" customHeight="false" outlineLevel="0" collapsed="false">
      <c r="X655" s="102" t="n">
        <v>364</v>
      </c>
      <c r="Y655" s="124" t="n">
        <f aca="false">Y654+Y$16</f>
        <v>0.00253740906715393</v>
      </c>
      <c r="Z655" s="115" t="n">
        <f aca="false">(K-(L0-Y655*Ldif-alph*Y655^0.5))/R0</f>
        <v>0.908636624958164</v>
      </c>
      <c r="AA655" s="113" t="n">
        <f aca="false">IF(Z655&lt;1,X$14*((1-r_1)-Y$14*(1-r_1^2)+Z$14*(1-r_1^3)),0)</f>
        <v>146077.160233115</v>
      </c>
      <c r="AB655" s="97" t="n">
        <f aca="false">AB654+AB$15</f>
        <v>0.00253740906715393</v>
      </c>
      <c r="AC655" s="115" t="n">
        <f aca="false">(Kopt-(L0-AB655*Ldif-alph*AB655^0.5))/R0</f>
        <v>0.908636624958164</v>
      </c>
      <c r="AD655" s="113" t="n">
        <f aca="false">IF(AC655&lt;1,X$14*((1-ropt)-Y$14*(1-ropt^2)+Z$14*(1-ropt^3)),0)</f>
        <v>146077.160233115</v>
      </c>
    </row>
    <row r="656" customFormat="false" ht="12.75" hidden="false" customHeight="false" outlineLevel="0" collapsed="false">
      <c r="X656" s="102" t="n">
        <v>363</v>
      </c>
      <c r="Y656" s="124" t="n">
        <f aca="false">Y655+Y$16</f>
        <v>0.00254139870405197</v>
      </c>
      <c r="Z656" s="115" t="n">
        <f aca="false">(K-(L0-Y656*Ldif-alph*Y656^0.5))/R0</f>
        <v>0.908919380571148</v>
      </c>
      <c r="AA656" s="113" t="n">
        <f aca="false">IF(Z656&lt;1,X$14*((1-r_1)-Y$14*(1-r_1^2)+Z$14*(1-r_1^3)),0)</f>
        <v>145174.386622008</v>
      </c>
      <c r="AB656" s="97" t="n">
        <f aca="false">AB655+AB$15</f>
        <v>0.00254139870405197</v>
      </c>
      <c r="AC656" s="115" t="n">
        <f aca="false">(Kopt-(L0-AB656*Ldif-alph*AB656^0.5))/R0</f>
        <v>0.908919380571148</v>
      </c>
      <c r="AD656" s="113" t="n">
        <f aca="false">IF(AC656&lt;1,X$14*((1-ropt)-Y$14*(1-ropt^2)+Z$14*(1-ropt^3)),0)</f>
        <v>145174.386622008</v>
      </c>
    </row>
    <row r="657" customFormat="false" ht="12.75" hidden="false" customHeight="false" outlineLevel="0" collapsed="false">
      <c r="X657" s="102" t="n">
        <v>362</v>
      </c>
      <c r="Y657" s="124" t="n">
        <f aca="false">Y656+Y$16</f>
        <v>0.00254538834095001</v>
      </c>
      <c r="Z657" s="115" t="n">
        <f aca="false">(K-(L0-Y657*Ldif-alph*Y657^0.5))/R0</f>
        <v>0.909201914328816</v>
      </c>
      <c r="AA657" s="113" t="n">
        <f aca="false">IF(Z657&lt;1,X$14*((1-r_1)-Y$14*(1-r_1^2)+Z$14*(1-r_1^3)),0)</f>
        <v>144275.116327156</v>
      </c>
      <c r="AB657" s="97" t="n">
        <f aca="false">AB656+AB$15</f>
        <v>0.00254538834095001</v>
      </c>
      <c r="AC657" s="115" t="n">
        <f aca="false">(Kopt-(L0-AB657*Ldif-alph*AB657^0.5))/R0</f>
        <v>0.909201914328816</v>
      </c>
      <c r="AD657" s="113" t="n">
        <f aca="false">IF(AC657&lt;1,X$14*((1-ropt)-Y$14*(1-ropt^2)+Z$14*(1-ropt^3)),0)</f>
        <v>144275.116327156</v>
      </c>
    </row>
    <row r="658" customFormat="false" ht="12.75" hidden="false" customHeight="false" outlineLevel="0" collapsed="false">
      <c r="X658" s="102" t="n">
        <v>361</v>
      </c>
      <c r="Y658" s="124" t="n">
        <f aca="false">Y657+Y$16</f>
        <v>0.00254937797784805</v>
      </c>
      <c r="Z658" s="115" t="n">
        <f aca="false">(K-(L0-Y658*Ldif-alph*Y658^0.5))/R0</f>
        <v>0.909484226752561</v>
      </c>
      <c r="AA658" s="113" t="n">
        <f aca="false">IF(Z658&lt;1,X$14*((1-r_1)-Y$14*(1-r_1^2)+Z$14*(1-r_1^3)),0)</f>
        <v>143379.341115181</v>
      </c>
      <c r="AB658" s="97" t="n">
        <f aca="false">AB657+AB$15</f>
        <v>0.00254937797784805</v>
      </c>
      <c r="AC658" s="115" t="n">
        <f aca="false">(Kopt-(L0-AB658*Ldif-alph*AB658^0.5))/R0</f>
        <v>0.909484226752561</v>
      </c>
      <c r="AD658" s="113" t="n">
        <f aca="false">IF(AC658&lt;1,X$14*((1-ropt)-Y$14*(1-ropt^2)+Z$14*(1-ropt^3)),0)</f>
        <v>143379.341115181</v>
      </c>
    </row>
    <row r="659" customFormat="false" ht="12.75" hidden="false" customHeight="false" outlineLevel="0" collapsed="false">
      <c r="X659" s="102" t="n">
        <v>360</v>
      </c>
      <c r="Y659" s="124" t="n">
        <f aca="false">Y658+Y$16</f>
        <v>0.00255336761474609</v>
      </c>
      <c r="Z659" s="115" t="n">
        <f aca="false">(K-(L0-Y659*Ldif-alph*Y659^0.5))/R0</f>
        <v>0.909766318361751</v>
      </c>
      <c r="AA659" s="113" t="n">
        <f aca="false">IF(Z659&lt;1,X$14*((1-r_1)-Y$14*(1-r_1^2)+Z$14*(1-r_1^3)),0)</f>
        <v>142487.052784875</v>
      </c>
      <c r="AB659" s="97" t="n">
        <f aca="false">AB658+AB$15</f>
        <v>0.00255336761474609</v>
      </c>
      <c r="AC659" s="115" t="n">
        <f aca="false">(Kopt-(L0-AB659*Ldif-alph*AB659^0.5))/R0</f>
        <v>0.909766318361751</v>
      </c>
      <c r="AD659" s="113" t="n">
        <f aca="false">IF(AC659&lt;1,X$14*((1-ropt)-Y$14*(1-ropt^2)+Z$14*(1-ropt^3)),0)</f>
        <v>142487.052784875</v>
      </c>
    </row>
    <row r="660" customFormat="false" ht="12.75" hidden="false" customHeight="false" outlineLevel="0" collapsed="false">
      <c r="X660" s="102" t="n">
        <v>359</v>
      </c>
      <c r="Y660" s="124" t="n">
        <f aca="false">Y659+Y$16</f>
        <v>0.00255735725164413</v>
      </c>
      <c r="Z660" s="115" t="n">
        <f aca="false">(K-(L0-Y660*Ldif-alph*Y660^0.5))/R0</f>
        <v>0.910048189673712</v>
      </c>
      <c r="AA660" s="113" t="n">
        <f aca="false">IF(Z660&lt;1,X$14*((1-r_1)-Y$14*(1-r_1^2)+Z$14*(1-r_1^3)),0)</f>
        <v>141598.243167088</v>
      </c>
      <c r="AB660" s="97" t="n">
        <f aca="false">AB659+AB$15</f>
        <v>0.00255735725164413</v>
      </c>
      <c r="AC660" s="115" t="n">
        <f aca="false">(Kopt-(L0-AB660*Ldif-alph*AB660^0.5))/R0</f>
        <v>0.910048189673712</v>
      </c>
      <c r="AD660" s="113" t="n">
        <f aca="false">IF(AC660&lt;1,X$14*((1-ropt)-Y$14*(1-ropt^2)+Z$14*(1-ropt^3)),0)</f>
        <v>141598.243167088</v>
      </c>
    </row>
    <row r="661" customFormat="false" ht="12.75" hidden="false" customHeight="false" outlineLevel="0" collapsed="false">
      <c r="X661" s="102" t="n">
        <v>358</v>
      </c>
      <c r="Y661" s="124" t="n">
        <f aca="false">Y660+Y$16</f>
        <v>0.00256134688854217</v>
      </c>
      <c r="Z661" s="115" t="n">
        <f aca="false">(K-(L0-Y661*Ldif-alph*Y661^0.5))/R0</f>
        <v>0.910329841203763</v>
      </c>
      <c r="AA661" s="113" t="n">
        <f aca="false">IF(Z661&lt;1,X$14*((1-r_1)-Y$14*(1-r_1^2)+Z$14*(1-r_1^3)),0)</f>
        <v>140712.904124492</v>
      </c>
      <c r="AB661" s="97" t="n">
        <f aca="false">AB660+AB$15</f>
        <v>0.00256134688854217</v>
      </c>
      <c r="AC661" s="115" t="n">
        <f aca="false">(Kopt-(L0-AB661*Ldif-alph*AB661^0.5))/R0</f>
        <v>0.910329841203763</v>
      </c>
      <c r="AD661" s="113" t="n">
        <f aca="false">IF(AC661&lt;1,X$14*((1-ropt)-Y$14*(1-ropt^2)+Z$14*(1-ropt^3)),0)</f>
        <v>140712.904124492</v>
      </c>
    </row>
    <row r="662" customFormat="false" ht="12.75" hidden="false" customHeight="false" outlineLevel="0" collapsed="false">
      <c r="X662" s="102" t="n">
        <v>357</v>
      </c>
      <c r="Y662" s="124" t="n">
        <f aca="false">Y661+Y$16</f>
        <v>0.00256533652544021</v>
      </c>
      <c r="Z662" s="115" t="n">
        <f aca="false">(K-(L0-Y662*Ldif-alph*Y662^0.5))/R0</f>
        <v>0.910611273465212</v>
      </c>
      <c r="AA662" s="113" t="n">
        <f aca="false">IF(Z662&lt;1,X$14*((1-r_1)-Y$14*(1-r_1^2)+Z$14*(1-r_1^3)),0)</f>
        <v>139831.027551443</v>
      </c>
      <c r="AB662" s="97" t="n">
        <f aca="false">AB661+AB$15</f>
        <v>0.00256533652544021</v>
      </c>
      <c r="AC662" s="115" t="n">
        <f aca="false">(Kopt-(L0-AB662*Ldif-alph*AB662^0.5))/R0</f>
        <v>0.910611273465212</v>
      </c>
      <c r="AD662" s="113" t="n">
        <f aca="false">IF(AC662&lt;1,X$14*((1-ropt)-Y$14*(1-ropt^2)+Z$14*(1-ropt^3)),0)</f>
        <v>139831.027551443</v>
      </c>
    </row>
    <row r="663" customFormat="false" ht="12.75" hidden="false" customHeight="false" outlineLevel="0" collapsed="false">
      <c r="X663" s="102" t="n">
        <v>356</v>
      </c>
      <c r="Y663" s="124" t="n">
        <f aca="false">Y662+Y$16</f>
        <v>0.00256932616233825</v>
      </c>
      <c r="Z663" s="115" t="n">
        <f aca="false">(K-(L0-Y663*Ldif-alph*Y663^0.5))/R0</f>
        <v>0.910892486969377</v>
      </c>
      <c r="AA663" s="113" t="n">
        <f aca="false">IF(Z663&lt;1,X$14*((1-r_1)-Y$14*(1-r_1^2)+Z$14*(1-r_1^3)),0)</f>
        <v>138952.605373797</v>
      </c>
      <c r="AB663" s="97" t="n">
        <f aca="false">AB662+AB$15</f>
        <v>0.00256932616233825</v>
      </c>
      <c r="AC663" s="115" t="n">
        <f aca="false">(Kopt-(L0-AB663*Ldif-alph*AB663^0.5))/R0</f>
        <v>0.910892486969377</v>
      </c>
      <c r="AD663" s="113" t="n">
        <f aca="false">IF(AC663&lt;1,X$14*((1-ropt)-Y$14*(1-ropt^2)+Z$14*(1-ropt^3)),0)</f>
        <v>138952.605373797</v>
      </c>
    </row>
    <row r="664" customFormat="false" ht="12.75" hidden="false" customHeight="false" outlineLevel="0" collapsed="false">
      <c r="X664" s="102" t="n">
        <v>355</v>
      </c>
      <c r="Y664" s="124" t="n">
        <f aca="false">Y663+Y$16</f>
        <v>0.00257331579923629</v>
      </c>
      <c r="Z664" s="115" t="n">
        <f aca="false">(K-(L0-Y664*Ldif-alph*Y664^0.5))/R0</f>
        <v>0.911173482225582</v>
      </c>
      <c r="AA664" s="113" t="n">
        <f aca="false">IF(Z664&lt;1,X$14*((1-r_1)-Y$14*(1-r_1^2)+Z$14*(1-r_1^3)),0)</f>
        <v>138077.629548758</v>
      </c>
      <c r="AB664" s="97" t="n">
        <f aca="false">AB663+AB$15</f>
        <v>0.00257331579923629</v>
      </c>
      <c r="AC664" s="115" t="n">
        <f aca="false">(Kopt-(L0-AB664*Ldif-alph*AB664^0.5))/R0</f>
        <v>0.911173482225582</v>
      </c>
      <c r="AD664" s="113" t="n">
        <f aca="false">IF(AC664&lt;1,X$14*((1-ropt)-Y$14*(1-ropt^2)+Z$14*(1-ropt^3)),0)</f>
        <v>138077.629548758</v>
      </c>
    </row>
    <row r="665" customFormat="false" ht="12.75" hidden="false" customHeight="false" outlineLevel="0" collapsed="false">
      <c r="X665" s="102" t="n">
        <v>354</v>
      </c>
      <c r="Y665" s="124" t="n">
        <f aca="false">Y664+Y$16</f>
        <v>0.00257730543613433</v>
      </c>
      <c r="Z665" s="115" t="n">
        <f aca="false">(K-(L0-Y665*Ldif-alph*Y665^0.5))/R0</f>
        <v>0.911454259741193</v>
      </c>
      <c r="AA665" s="113" t="n">
        <f aca="false">IF(Z665&lt;1,X$14*((1-r_1)-Y$14*(1-r_1^2)+Z$14*(1-r_1^3)),0)</f>
        <v>137206.092064653</v>
      </c>
      <c r="AB665" s="97" t="n">
        <f aca="false">AB664+AB$15</f>
        <v>0.00257730543613433</v>
      </c>
      <c r="AC665" s="115" t="n">
        <f aca="false">(Kopt-(L0-AB665*Ldif-alph*AB665^0.5))/R0</f>
        <v>0.911454259741193</v>
      </c>
      <c r="AD665" s="113" t="n">
        <f aca="false">IF(AC665&lt;1,X$14*((1-ropt)-Y$14*(1-ropt^2)+Z$14*(1-ropt^3)),0)</f>
        <v>137206.092064653</v>
      </c>
    </row>
    <row r="666" customFormat="false" ht="12.75" hidden="false" customHeight="false" outlineLevel="0" collapsed="false">
      <c r="X666" s="102" t="n">
        <v>353</v>
      </c>
      <c r="Y666" s="124" t="n">
        <f aca="false">Y665+Y$16</f>
        <v>0.00258129507303237</v>
      </c>
      <c r="Z666" s="115" t="n">
        <f aca="false">(K-(L0-Y666*Ldif-alph*Y666^0.5))/R0</f>
        <v>0.911734820021595</v>
      </c>
      <c r="AA666" s="113" t="n">
        <f aca="false">IF(Z666&lt;1,X$14*((1-r_1)-Y$14*(1-r_1^2)+Z$14*(1-r_1^3)),0)</f>
        <v>136337.984940854</v>
      </c>
      <c r="AB666" s="97" t="n">
        <f aca="false">AB665+AB$15</f>
        <v>0.00258129507303237</v>
      </c>
      <c r="AC666" s="115" t="n">
        <f aca="false">(Kopt-(L0-AB666*Ldif-alph*AB666^0.5))/R0</f>
        <v>0.911734820021595</v>
      </c>
      <c r="AD666" s="113" t="n">
        <f aca="false">IF(AC666&lt;1,X$14*((1-ropt)-Y$14*(1-ropt^2)+Z$14*(1-ropt^3)),0)</f>
        <v>136337.984940854</v>
      </c>
    </row>
    <row r="667" customFormat="false" ht="12.75" hidden="false" customHeight="false" outlineLevel="0" collapsed="false">
      <c r="X667" s="102" t="n">
        <v>352</v>
      </c>
      <c r="Y667" s="124" t="n">
        <f aca="false">Y666+Y$16</f>
        <v>0.00258528470993041</v>
      </c>
      <c r="Z667" s="115" t="n">
        <f aca="false">(K-(L0-Y667*Ldif-alph*Y667^0.5))/R0</f>
        <v>0.912015163570237</v>
      </c>
      <c r="AA667" s="113" t="n">
        <f aca="false">IF(Z667&lt;1,X$14*((1-r_1)-Y$14*(1-r_1^2)+Z$14*(1-r_1^3)),0)</f>
        <v>135473.300227513</v>
      </c>
      <c r="AB667" s="97" t="n">
        <f aca="false">AB666+AB$15</f>
        <v>0.00258528470993041</v>
      </c>
      <c r="AC667" s="115" t="n">
        <f aca="false">(Kopt-(L0-AB667*Ldif-alph*AB667^0.5))/R0</f>
        <v>0.912015163570237</v>
      </c>
      <c r="AD667" s="113" t="n">
        <f aca="false">IF(AC667&lt;1,X$14*((1-ropt)-Y$14*(1-ropt^2)+Z$14*(1-ropt^3)),0)</f>
        <v>135473.300227513</v>
      </c>
    </row>
    <row r="668" customFormat="false" ht="12.75" hidden="false" customHeight="false" outlineLevel="0" collapsed="false">
      <c r="X668" s="102" t="n">
        <v>351</v>
      </c>
      <c r="Y668" s="124" t="n">
        <f aca="false">Y667+Y$16</f>
        <v>0.00258927434682846</v>
      </c>
      <c r="Z668" s="115" t="n">
        <f aca="false">(K-(L0-Y668*Ldif-alph*Y668^0.5))/R0</f>
        <v>0.912295290888616</v>
      </c>
      <c r="AA668" s="113" t="n">
        <f aca="false">IF(Z668&lt;1,X$14*((1-r_1)-Y$14*(1-r_1^2)+Z$14*(1-r_1^3)),0)</f>
        <v>134612.030005471</v>
      </c>
      <c r="AB668" s="97" t="n">
        <f aca="false">AB667+AB$15</f>
        <v>0.00258927434682846</v>
      </c>
      <c r="AC668" s="115" t="n">
        <f aca="false">(Kopt-(L0-AB668*Ldif-alph*AB668^0.5))/R0</f>
        <v>0.912295290888616</v>
      </c>
      <c r="AD668" s="113" t="n">
        <f aca="false">IF(AC668&lt;1,X$14*((1-ropt)-Y$14*(1-ropt^2)+Z$14*(1-ropt^3)),0)</f>
        <v>134612.030005471</v>
      </c>
    </row>
    <row r="669" customFormat="false" ht="12.75" hidden="false" customHeight="false" outlineLevel="0" collapsed="false">
      <c r="X669" s="102" t="n">
        <v>350</v>
      </c>
      <c r="Y669" s="124" t="n">
        <f aca="false">Y668+Y$16</f>
        <v>0.0025932639837265</v>
      </c>
      <c r="Z669" s="115" t="n">
        <f aca="false">(K-(L0-Y669*Ldif-alph*Y669^0.5))/R0</f>
        <v>0.912575202476306</v>
      </c>
      <c r="AA669" s="113" t="n">
        <f aca="false">IF(Z669&lt;1,X$14*((1-r_1)-Y$14*(1-r_1^2)+Z$14*(1-r_1^3)),0)</f>
        <v>133754.166386032</v>
      </c>
      <c r="AB669" s="97" t="n">
        <f aca="false">AB668+AB$15</f>
        <v>0.0025932639837265</v>
      </c>
      <c r="AC669" s="115" t="n">
        <f aca="false">(Kopt-(L0-AB669*Ldif-alph*AB669^0.5))/R0</f>
        <v>0.912575202476306</v>
      </c>
      <c r="AD669" s="113" t="n">
        <f aca="false">IF(AC669&lt;1,X$14*((1-ropt)-Y$14*(1-ropt^2)+Z$14*(1-ropt^3)),0)</f>
        <v>133754.166386032</v>
      </c>
    </row>
    <row r="670" customFormat="false" ht="12.75" hidden="false" customHeight="false" outlineLevel="0" collapsed="false">
      <c r="X670" s="102" t="n">
        <v>349</v>
      </c>
      <c r="Y670" s="124" t="n">
        <f aca="false">Y669+Y$16</f>
        <v>0.00259725362062454</v>
      </c>
      <c r="Z670" s="115" t="n">
        <f aca="false">(K-(L0-Y670*Ldif-alph*Y670^0.5))/R0</f>
        <v>0.912854898830953</v>
      </c>
      <c r="AA670" s="113" t="n">
        <f aca="false">IF(Z670&lt;1,X$14*((1-r_1)-Y$14*(1-r_1^2)+Z$14*(1-r_1^3)),0)</f>
        <v>132899.701510861</v>
      </c>
      <c r="AB670" s="97" t="n">
        <f aca="false">AB669+AB$15</f>
        <v>0.00259725362062454</v>
      </c>
      <c r="AC670" s="115" t="n">
        <f aca="false">(Kopt-(L0-AB670*Ldif-alph*AB670^0.5))/R0</f>
        <v>0.912854898830953</v>
      </c>
      <c r="AD670" s="113" t="n">
        <f aca="false">IF(AC670&lt;1,X$14*((1-ropt)-Y$14*(1-ropt^2)+Z$14*(1-ropt^3)),0)</f>
        <v>132899.701510861</v>
      </c>
    </row>
    <row r="671" customFormat="false" ht="12.75" hidden="false" customHeight="false" outlineLevel="0" collapsed="false">
      <c r="X671" s="102" t="n">
        <v>348</v>
      </c>
      <c r="Y671" s="124" t="n">
        <f aca="false">Y670+Y$16</f>
        <v>0.00260124325752258</v>
      </c>
      <c r="Z671" s="115" t="n">
        <f aca="false">(K-(L0-Y671*Ldif-alph*Y671^0.5))/R0</f>
        <v>0.913134380448294</v>
      </c>
      <c r="AA671" s="113" t="n">
        <f aca="false">IF(Z671&lt;1,X$14*((1-r_1)-Y$14*(1-r_1^2)+Z$14*(1-r_1^3)),0)</f>
        <v>132048.627551782</v>
      </c>
      <c r="AB671" s="97" t="n">
        <f aca="false">AB670+AB$15</f>
        <v>0.00260124325752258</v>
      </c>
      <c r="AC671" s="115" t="n">
        <f aca="false">(Kopt-(L0-AB671*Ldif-alph*AB671^0.5))/R0</f>
        <v>0.913134380448294</v>
      </c>
      <c r="AD671" s="113" t="n">
        <f aca="false">IF(AC671&lt;1,X$14*((1-ropt)-Y$14*(1-ropt^2)+Z$14*(1-ropt^3)),0)</f>
        <v>132048.627551782</v>
      </c>
    </row>
    <row r="672" customFormat="false" ht="12.75" hidden="false" customHeight="false" outlineLevel="0" collapsed="false">
      <c r="X672" s="102" t="n">
        <v>347</v>
      </c>
      <c r="Y672" s="124" t="n">
        <f aca="false">Y671+Y$16</f>
        <v>0.00260523289442062</v>
      </c>
      <c r="Z672" s="115" t="n">
        <f aca="false">(K-(L0-Y672*Ldif-alph*Y672^0.5))/R0</f>
        <v>0.913413647822171</v>
      </c>
      <c r="AA672" s="113" t="n">
        <f aca="false">IF(Z672&lt;1,X$14*((1-r_1)-Y$14*(1-r_1^2)+Z$14*(1-r_1^3)),0)</f>
        <v>131200.936710603</v>
      </c>
      <c r="AB672" s="97" t="n">
        <f aca="false">AB671+AB$15</f>
        <v>0.00260523289442062</v>
      </c>
      <c r="AC672" s="115" t="n">
        <f aca="false">(Kopt-(L0-AB672*Ldif-alph*AB672^0.5))/R0</f>
        <v>0.913413647822171</v>
      </c>
      <c r="AD672" s="113" t="n">
        <f aca="false">IF(AC672&lt;1,X$14*((1-ropt)-Y$14*(1-ropt^2)+Z$14*(1-ropt^3)),0)</f>
        <v>131200.936710603</v>
      </c>
    </row>
    <row r="673" customFormat="false" ht="12.75" hidden="false" customHeight="false" outlineLevel="0" collapsed="false">
      <c r="X673" s="102" t="n">
        <v>346</v>
      </c>
      <c r="Y673" s="124" t="n">
        <f aca="false">Y672+Y$16</f>
        <v>0.00260922253131866</v>
      </c>
      <c r="Z673" s="115" t="n">
        <f aca="false">(K-(L0-Y673*Ldif-alph*Y673^0.5))/R0</f>
        <v>0.913692701444531</v>
      </c>
      <c r="AA673" s="113" t="n">
        <f aca="false">IF(Z673&lt;1,X$14*((1-r_1)-Y$14*(1-r_1^2)+Z$14*(1-r_1^3)),0)</f>
        <v>130356.621219002</v>
      </c>
      <c r="AB673" s="97" t="n">
        <f aca="false">AB672+AB$15</f>
        <v>0.00260922253131866</v>
      </c>
      <c r="AC673" s="115" t="n">
        <f aca="false">(Kopt-(L0-AB673*Ldif-alph*AB673^0.5))/R0</f>
        <v>0.913692701444531</v>
      </c>
      <c r="AD673" s="113" t="n">
        <f aca="false">IF(AC673&lt;1,X$14*((1-ropt)-Y$14*(1-ropt^2)+Z$14*(1-ropt^3)),0)</f>
        <v>130356.621219002</v>
      </c>
    </row>
    <row r="674" customFormat="false" ht="12.75" hidden="false" customHeight="false" outlineLevel="0" collapsed="false">
      <c r="X674" s="102" t="n">
        <v>345</v>
      </c>
      <c r="Y674" s="124" t="n">
        <f aca="false">Y673+Y$16</f>
        <v>0.0026132121682167</v>
      </c>
      <c r="Z674" s="115" t="n">
        <f aca="false">(K-(L0-Y674*Ldif-alph*Y674^0.5))/R0</f>
        <v>0.913971541805442</v>
      </c>
      <c r="AA674" s="113" t="n">
        <f aca="false">IF(Z674&lt;1,X$14*((1-r_1)-Y$14*(1-r_1^2)+Z$14*(1-r_1^3)),0)</f>
        <v>129515.673338324</v>
      </c>
      <c r="AB674" s="97" t="n">
        <f aca="false">AB673+AB$15</f>
        <v>0.0026132121682167</v>
      </c>
      <c r="AC674" s="115" t="n">
        <f aca="false">(Kopt-(L0-AB674*Ldif-alph*AB674^0.5))/R0</f>
        <v>0.913971541805442</v>
      </c>
      <c r="AD674" s="113" t="n">
        <f aca="false">IF(AC674&lt;1,X$14*((1-ropt)-Y$14*(1-ropt^2)+Z$14*(1-ropt^3)),0)</f>
        <v>129515.673338324</v>
      </c>
    </row>
    <row r="675" customFormat="false" ht="12.75" hidden="false" customHeight="false" outlineLevel="0" collapsed="false">
      <c r="X675" s="102" t="n">
        <v>344</v>
      </c>
      <c r="Y675" s="124" t="n">
        <f aca="false">Y674+Y$16</f>
        <v>0.00261720180511474</v>
      </c>
      <c r="Z675" s="115" t="n">
        <f aca="false">(K-(L0-Y675*Ldif-alph*Y675^0.5))/R0</f>
        <v>0.914250169393103</v>
      </c>
      <c r="AA675" s="113" t="n">
        <f aca="false">IF(Z675&lt;1,X$14*((1-r_1)-Y$14*(1-r_1^2)+Z$14*(1-r_1^3)),0)</f>
        <v>128678.08535945</v>
      </c>
      <c r="AB675" s="97" t="n">
        <f aca="false">AB674+AB$15</f>
        <v>0.00261720180511474</v>
      </c>
      <c r="AC675" s="115" t="n">
        <f aca="false">(Kopt-(L0-AB675*Ldif-alph*AB675^0.5))/R0</f>
        <v>0.914250169393103</v>
      </c>
      <c r="AD675" s="113" t="n">
        <f aca="false">IF(AC675&lt;1,X$14*((1-ropt)-Y$14*(1-ropt^2)+Z$14*(1-ropt^3)),0)</f>
        <v>128678.08535945</v>
      </c>
    </row>
    <row r="676" customFormat="false" ht="12.75" hidden="false" customHeight="false" outlineLevel="0" collapsed="false">
      <c r="X676" s="102" t="n">
        <v>343</v>
      </c>
      <c r="Y676" s="124" t="n">
        <f aca="false">Y675+Y$16</f>
        <v>0.00262119144201278</v>
      </c>
      <c r="Z676" s="115" t="n">
        <f aca="false">(K-(L0-Y676*Ldif-alph*Y676^0.5))/R0</f>
        <v>0.914528584693858</v>
      </c>
      <c r="AA676" s="113" t="n">
        <f aca="false">IF(Z676&lt;1,X$14*((1-r_1)-Y$14*(1-r_1^2)+Z$14*(1-r_1^3)),0)</f>
        <v>127843.849602614</v>
      </c>
      <c r="AB676" s="97" t="n">
        <f aca="false">AB675+AB$15</f>
        <v>0.00262119144201278</v>
      </c>
      <c r="AC676" s="115" t="n">
        <f aca="false">(Kopt-(L0-AB676*Ldif-alph*AB676^0.5))/R0</f>
        <v>0.914528584693858</v>
      </c>
      <c r="AD676" s="113" t="n">
        <f aca="false">IF(AC676&lt;1,X$14*((1-ropt)-Y$14*(1-ropt^2)+Z$14*(1-ropt^3)),0)</f>
        <v>127843.849602614</v>
      </c>
    </row>
    <row r="677" customFormat="false" ht="12.75" hidden="false" customHeight="false" outlineLevel="0" collapsed="false">
      <c r="X677" s="102" t="n">
        <v>342</v>
      </c>
      <c r="Y677" s="124" t="n">
        <f aca="false">Y676+Y$16</f>
        <v>0.00262518107891082</v>
      </c>
      <c r="Z677" s="115" t="n">
        <f aca="false">(K-(L0-Y677*Ldif-alph*Y677^0.5))/R0</f>
        <v>0.914806788192189</v>
      </c>
      <c r="AA677" s="113" t="n">
        <f aca="false">IF(Z677&lt;1,X$14*((1-r_1)-Y$14*(1-r_1^2)+Z$14*(1-r_1^3)),0)</f>
        <v>127012.958417286</v>
      </c>
      <c r="AB677" s="97" t="n">
        <f aca="false">AB676+AB$15</f>
        <v>0.00262518107891082</v>
      </c>
      <c r="AC677" s="115" t="n">
        <f aca="false">(Kopt-(L0-AB677*Ldif-alph*AB677^0.5))/R0</f>
        <v>0.914806788192189</v>
      </c>
      <c r="AD677" s="113" t="n">
        <f aca="false">IF(AC677&lt;1,X$14*((1-ropt)-Y$14*(1-ropt^2)+Z$14*(1-ropt^3)),0)</f>
        <v>127012.958417286</v>
      </c>
    </row>
    <row r="678" customFormat="false" ht="12.75" hidden="false" customHeight="false" outlineLevel="0" collapsed="false">
      <c r="X678" s="102" t="n">
        <v>341</v>
      </c>
      <c r="Y678" s="124" t="n">
        <f aca="false">Y677+Y$16</f>
        <v>0.00262917071580886</v>
      </c>
      <c r="Z678" s="115" t="n">
        <f aca="false">(K-(L0-Y678*Ldif-alph*Y678^0.5))/R0</f>
        <v>0.915084780370752</v>
      </c>
      <c r="AA678" s="113" t="n">
        <f aca="false">IF(Z678&lt;1,X$14*((1-r_1)-Y$14*(1-r_1^2)+Z$14*(1-r_1^3)),0)</f>
        <v>126185.40418196</v>
      </c>
      <c r="AB678" s="97" t="n">
        <f aca="false">AB677+AB$15</f>
        <v>0.00262917071580886</v>
      </c>
      <c r="AC678" s="115" t="n">
        <f aca="false">(Kopt-(L0-AB678*Ldif-alph*AB678^0.5))/R0</f>
        <v>0.915084780370752</v>
      </c>
      <c r="AD678" s="113" t="n">
        <f aca="false">IF(AC678&lt;1,X$14*((1-ropt)-Y$14*(1-ropt^2)+Z$14*(1-ropt^3)),0)</f>
        <v>126185.40418196</v>
      </c>
    </row>
    <row r="679" customFormat="false" ht="12.75" hidden="false" customHeight="false" outlineLevel="0" collapsed="false">
      <c r="X679" s="102" t="n">
        <v>340</v>
      </c>
      <c r="Y679" s="124" t="n">
        <f aca="false">Y678+Y$16</f>
        <v>0.0026331603527069</v>
      </c>
      <c r="Z679" s="115" t="n">
        <f aca="false">(K-(L0-Y679*Ldif-alph*Y679^0.5))/R0</f>
        <v>0.91536256171036</v>
      </c>
      <c r="AA679" s="113" t="n">
        <f aca="false">IF(Z679&lt;1,X$14*((1-r_1)-Y$14*(1-r_1^2)+Z$14*(1-r_1^3)),0)</f>
        <v>125361.179304072</v>
      </c>
      <c r="AB679" s="97" t="n">
        <f aca="false">AB678+AB$15</f>
        <v>0.0026331603527069</v>
      </c>
      <c r="AC679" s="115" t="n">
        <f aca="false">(Kopt-(L0-AB679*Ldif-alph*AB679^0.5))/R0</f>
        <v>0.91536256171036</v>
      </c>
      <c r="AD679" s="113" t="n">
        <f aca="false">IF(AC679&lt;1,X$14*((1-ropt)-Y$14*(1-ropt^2)+Z$14*(1-ropt^3)),0)</f>
        <v>125361.179304072</v>
      </c>
    </row>
    <row r="680" customFormat="false" ht="12.75" hidden="false" customHeight="false" outlineLevel="0" collapsed="false">
      <c r="X680" s="102" t="n">
        <v>339</v>
      </c>
      <c r="Y680" s="124" t="n">
        <f aca="false">Y679+Y$16</f>
        <v>0.00263714998960494</v>
      </c>
      <c r="Z680" s="115" t="n">
        <f aca="false">(K-(L0-Y680*Ldif-alph*Y680^0.5))/R0</f>
        <v>0.915640132690015</v>
      </c>
      <c r="AA680" s="113" t="n">
        <f aca="false">IF(Z680&lt;1,X$14*((1-r_1)-Y$14*(1-r_1^2)+Z$14*(1-r_1^3)),0)</f>
        <v>124540.276219771</v>
      </c>
      <c r="AB680" s="97" t="n">
        <f aca="false">AB679+AB$15</f>
        <v>0.00263714998960494</v>
      </c>
      <c r="AC680" s="115" t="n">
        <f aca="false">(Kopt-(L0-AB680*Ldif-alph*AB680^0.5))/R0</f>
        <v>0.915640132690015</v>
      </c>
      <c r="AD680" s="113" t="n">
        <f aca="false">IF(AC680&lt;1,X$14*((1-ropt)-Y$14*(1-ropt^2)+Z$14*(1-ropt^3)),0)</f>
        <v>124540.276219771</v>
      </c>
    </row>
    <row r="681" customFormat="false" ht="12.75" hidden="false" customHeight="false" outlineLevel="0" collapsed="false">
      <c r="X681" s="102" t="n">
        <v>338</v>
      </c>
      <c r="Y681" s="124" t="n">
        <f aca="false">Y680+Y$16</f>
        <v>0.00264113962650298</v>
      </c>
      <c r="Z681" s="115" t="n">
        <f aca="false">(K-(L0-Y681*Ldif-alph*Y681^0.5))/R0</f>
        <v>0.915917493786902</v>
      </c>
      <c r="AA681" s="113" t="n">
        <f aca="false">IF(Z681&lt;1,X$14*((1-r_1)-Y$14*(1-r_1^2)+Z$14*(1-r_1^3)),0)</f>
        <v>123722.687393824</v>
      </c>
      <c r="AB681" s="97" t="n">
        <f aca="false">AB680+AB$15</f>
        <v>0.00264113962650298</v>
      </c>
      <c r="AC681" s="115" t="n">
        <f aca="false">(Kopt-(L0-AB681*Ldif-alph*AB681^0.5))/R0</f>
        <v>0.915917493786902</v>
      </c>
      <c r="AD681" s="113" t="n">
        <f aca="false">IF(AC681&lt;1,X$14*((1-ropt)-Y$14*(1-ropt^2)+Z$14*(1-ropt^3)),0)</f>
        <v>123722.687393824</v>
      </c>
    </row>
    <row r="682" customFormat="false" ht="12.75" hidden="false" customHeight="false" outlineLevel="0" collapsed="false">
      <c r="X682" s="102" t="n">
        <v>337</v>
      </c>
      <c r="Y682" s="124" t="n">
        <f aca="false">Y681+Y$16</f>
        <v>0.00264512926340102</v>
      </c>
      <c r="Z682" s="115" t="n">
        <f aca="false">(K-(L0-Y682*Ldif-alph*Y682^0.5))/R0</f>
        <v>0.916194645476411</v>
      </c>
      <c r="AA682" s="113" t="n">
        <f aca="false">IF(Z682&lt;1,X$14*((1-r_1)-Y$14*(1-r_1^2)+Z$14*(1-r_1^3)),0)</f>
        <v>122908.405319429</v>
      </c>
      <c r="AB682" s="97" t="n">
        <f aca="false">AB681+AB$15</f>
        <v>0.00264512926340102</v>
      </c>
      <c r="AC682" s="115" t="n">
        <f aca="false">(Kopt-(L0-AB682*Ldif-alph*AB682^0.5))/R0</f>
        <v>0.916194645476411</v>
      </c>
      <c r="AD682" s="113" t="n">
        <f aca="false">IF(AC682&lt;1,X$14*((1-ropt)-Y$14*(1-ropt^2)+Z$14*(1-ropt^3)),0)</f>
        <v>122908.405319429</v>
      </c>
    </row>
    <row r="683" customFormat="false" ht="12.75" hidden="false" customHeight="false" outlineLevel="0" collapsed="false">
      <c r="X683" s="102" t="n">
        <v>336</v>
      </c>
      <c r="Y683" s="124" t="n">
        <f aca="false">Y682+Y$16</f>
        <v>0.00264911890029906</v>
      </c>
      <c r="Z683" s="115" t="n">
        <f aca="false">(K-(L0-Y683*Ldif-alph*Y683^0.5))/R0</f>
        <v>0.91647158823213</v>
      </c>
      <c r="AA683" s="113" t="n">
        <f aca="false">IF(Z683&lt;1,X$14*((1-r_1)-Y$14*(1-r_1^2)+Z$14*(1-r_1^3)),0)</f>
        <v>122097.422518099</v>
      </c>
      <c r="AB683" s="97" t="n">
        <f aca="false">AB682+AB$15</f>
        <v>0.00264911890029906</v>
      </c>
      <c r="AC683" s="115" t="n">
        <f aca="false">(Kopt-(L0-AB683*Ldif-alph*AB683^0.5))/R0</f>
        <v>0.91647158823213</v>
      </c>
      <c r="AD683" s="113" t="n">
        <f aca="false">IF(AC683&lt;1,X$14*((1-ropt)-Y$14*(1-ropt^2)+Z$14*(1-ropt^3)),0)</f>
        <v>122097.422518099</v>
      </c>
    </row>
    <row r="684" customFormat="false" ht="12.75" hidden="false" customHeight="false" outlineLevel="0" collapsed="false">
      <c r="X684" s="102" t="n">
        <v>335</v>
      </c>
      <c r="Y684" s="124" t="n">
        <f aca="false">Y683+Y$16</f>
        <v>0.00265310853719711</v>
      </c>
      <c r="Z684" s="115" t="n">
        <f aca="false">(K-(L0-Y684*Ldif-alph*Y684^0.5))/R0</f>
        <v>0.916748322525877</v>
      </c>
      <c r="AA684" s="113" t="n">
        <f aca="false">IF(Z684&lt;1,X$14*((1-r_1)-Y$14*(1-r_1^2)+Z$14*(1-r_1^3)),0)</f>
        <v>121289.73153947</v>
      </c>
      <c r="AB684" s="97" t="n">
        <f aca="false">AB683+AB$15</f>
        <v>0.00265310853719711</v>
      </c>
      <c r="AC684" s="115" t="n">
        <f aca="false">(Kopt-(L0-AB684*Ldif-alph*AB684^0.5))/R0</f>
        <v>0.916748322525877</v>
      </c>
      <c r="AD684" s="113" t="n">
        <f aca="false">IF(AC684&lt;1,X$14*((1-ropt)-Y$14*(1-ropt^2)+Z$14*(1-ropt^3)),0)</f>
        <v>121289.73153947</v>
      </c>
    </row>
    <row r="685" customFormat="false" ht="12.75" hidden="false" customHeight="false" outlineLevel="0" collapsed="false">
      <c r="X685" s="102" t="n">
        <v>334</v>
      </c>
      <c r="Y685" s="124" t="n">
        <f aca="false">Y684+Y$16</f>
        <v>0.00265709817409515</v>
      </c>
      <c r="Z685" s="115" t="n">
        <f aca="false">(K-(L0-Y685*Ldif-alph*Y685^0.5))/R0</f>
        <v>0.917024848827687</v>
      </c>
      <c r="AA685" s="113" t="n">
        <f aca="false">IF(Z685&lt;1,X$14*((1-r_1)-Y$14*(1-r_1^2)+Z$14*(1-r_1^3)),0)</f>
        <v>120485.324961193</v>
      </c>
      <c r="AB685" s="97" t="n">
        <f aca="false">AB684+AB$15</f>
        <v>0.00265709817409515</v>
      </c>
      <c r="AC685" s="115" t="n">
        <f aca="false">(Kopt-(L0-AB685*Ldif-alph*AB685^0.5))/R0</f>
        <v>0.917024848827687</v>
      </c>
      <c r="AD685" s="113" t="n">
        <f aca="false">IF(AC685&lt;1,X$14*((1-ropt)-Y$14*(1-ropt^2)+Z$14*(1-ropt^3)),0)</f>
        <v>120485.324961193</v>
      </c>
    </row>
    <row r="686" customFormat="false" ht="12.75" hidden="false" customHeight="false" outlineLevel="0" collapsed="false">
      <c r="X686" s="102" t="n">
        <v>333</v>
      </c>
      <c r="Y686" s="124" t="n">
        <f aca="false">Y685+Y$16</f>
        <v>0.00266108781099319</v>
      </c>
      <c r="Z686" s="115" t="n">
        <f aca="false">(K-(L0-Y686*Ldif-alph*Y686^0.5))/R0</f>
        <v>0.917301167605836</v>
      </c>
      <c r="AA686" s="113" t="n">
        <f aca="false">IF(Z686&lt;1,X$14*((1-r_1)-Y$14*(1-r_1^2)+Z$14*(1-r_1^3)),0)</f>
        <v>119684.195388767</v>
      </c>
      <c r="AB686" s="97" t="n">
        <f aca="false">AB685+AB$15</f>
        <v>0.00266108781099319</v>
      </c>
      <c r="AC686" s="115" t="n">
        <f aca="false">(Kopt-(L0-AB686*Ldif-alph*AB686^0.5))/R0</f>
        <v>0.917301167605836</v>
      </c>
      <c r="AD686" s="113" t="n">
        <f aca="false">IF(AC686&lt;1,X$14*((1-ropt)-Y$14*(1-ropt^2)+Z$14*(1-ropt^3)),0)</f>
        <v>119684.195388767</v>
      </c>
    </row>
    <row r="687" customFormat="false" ht="12.75" hidden="false" customHeight="false" outlineLevel="0" collapsed="false">
      <c r="X687" s="102" t="n">
        <v>332</v>
      </c>
      <c r="Y687" s="124" t="n">
        <f aca="false">Y686+Y$16</f>
        <v>0.00266507744789123</v>
      </c>
      <c r="Z687" s="115" t="n">
        <f aca="false">(K-(L0-Y687*Ldif-alph*Y687^0.5))/R0</f>
        <v>0.917577279326843</v>
      </c>
      <c r="AA687" s="113" t="n">
        <f aca="false">IF(Z687&lt;1,X$14*((1-r_1)-Y$14*(1-r_1^2)+Z$14*(1-r_1^3)),0)</f>
        <v>118886.335455393</v>
      </c>
      <c r="AB687" s="97" t="n">
        <f aca="false">AB686+AB$15</f>
        <v>0.00266507744789123</v>
      </c>
      <c r="AC687" s="115" t="n">
        <f aca="false">(Kopt-(L0-AB687*Ldif-alph*AB687^0.5))/R0</f>
        <v>0.917577279326843</v>
      </c>
      <c r="AD687" s="113" t="n">
        <f aca="false">IF(AC687&lt;1,X$14*((1-ropt)-Y$14*(1-ropt^2)+Z$14*(1-ropt^3)),0)</f>
        <v>118886.335455393</v>
      </c>
    </row>
    <row r="688" customFormat="false" ht="12.75" hidden="false" customHeight="false" outlineLevel="0" collapsed="false">
      <c r="X688" s="102" t="n">
        <v>331</v>
      </c>
      <c r="Y688" s="124" t="n">
        <f aca="false">Y687+Y$16</f>
        <v>0.00266906708478927</v>
      </c>
      <c r="Z688" s="115" t="n">
        <f aca="false">(K-(L0-Y688*Ldif-alph*Y688^0.5))/R0</f>
        <v>0.917853184455486</v>
      </c>
      <c r="AA688" s="113" t="n">
        <f aca="false">IF(Z688&lt;1,X$14*((1-r_1)-Y$14*(1-r_1^2)+Z$14*(1-r_1^3)),0)</f>
        <v>118091.737821828</v>
      </c>
      <c r="AB688" s="97" t="n">
        <f aca="false">AB687+AB$15</f>
        <v>0.00266906708478927</v>
      </c>
      <c r="AC688" s="115" t="n">
        <f aca="false">(Kopt-(L0-AB688*Ldif-alph*AB688^0.5))/R0</f>
        <v>0.917853184455486</v>
      </c>
      <c r="AD688" s="113" t="n">
        <f aca="false">IF(AC688&lt;1,X$14*((1-ropt)-Y$14*(1-ropt^2)+Z$14*(1-ropt^3)),0)</f>
        <v>118091.737821828</v>
      </c>
    </row>
    <row r="689" customFormat="false" ht="12.75" hidden="false" customHeight="false" outlineLevel="0" collapsed="false">
      <c r="X689" s="102" t="n">
        <v>330</v>
      </c>
      <c r="Y689" s="124" t="n">
        <f aca="false">Y688+Y$16</f>
        <v>0.00267305672168731</v>
      </c>
      <c r="Z689" s="115" t="n">
        <f aca="false">(K-(L0-Y689*Ldif-alph*Y689^0.5))/R0</f>
        <v>0.918128883454799</v>
      </c>
      <c r="AA689" s="113" t="n">
        <f aca="false">IF(Z689&lt;1,X$14*((1-r_1)-Y$14*(1-r_1^2)+Z$14*(1-r_1^3)),0)</f>
        <v>117300.395176263</v>
      </c>
      <c r="AB689" s="97" t="n">
        <f aca="false">AB688+AB$15</f>
        <v>0.00267305672168731</v>
      </c>
      <c r="AC689" s="115" t="n">
        <f aca="false">(Kopt-(L0-AB689*Ldif-alph*AB689^0.5))/R0</f>
        <v>0.918128883454799</v>
      </c>
      <c r="AD689" s="113" t="n">
        <f aca="false">IF(AC689&lt;1,X$14*((1-ropt)-Y$14*(1-ropt^2)+Z$14*(1-ropt^3)),0)</f>
        <v>117300.395176263</v>
      </c>
    </row>
    <row r="690" customFormat="false" ht="12.75" hidden="false" customHeight="false" outlineLevel="0" collapsed="false">
      <c r="X690" s="102" t="n">
        <v>329</v>
      </c>
      <c r="Y690" s="124" t="n">
        <f aca="false">Y689+Y$16</f>
        <v>0.00267704635858535</v>
      </c>
      <c r="Z690" s="115" t="n">
        <f aca="false">(K-(L0-Y690*Ldif-alph*Y690^0.5))/R0</f>
        <v>0.918404376786098</v>
      </c>
      <c r="AA690" s="113" t="n">
        <f aca="false">IF(Z690&lt;1,X$14*((1-r_1)-Y$14*(1-r_1^2)+Z$14*(1-r_1^3)),0)</f>
        <v>116512.300234138</v>
      </c>
      <c r="AB690" s="97" t="n">
        <f aca="false">AB689+AB$15</f>
        <v>0.00267704635858535</v>
      </c>
      <c r="AC690" s="115" t="n">
        <f aca="false">(Kopt-(L0-AB690*Ldif-alph*AB690^0.5))/R0</f>
        <v>0.918404376786098</v>
      </c>
      <c r="AD690" s="113" t="n">
        <f aca="false">IF(AC690&lt;1,X$14*((1-ropt)-Y$14*(1-ropt^2)+Z$14*(1-ropt^3)),0)</f>
        <v>116512.300234138</v>
      </c>
    </row>
    <row r="691" customFormat="false" ht="12.75" hidden="false" customHeight="false" outlineLevel="0" collapsed="false">
      <c r="X691" s="102" t="n">
        <v>328</v>
      </c>
      <c r="Y691" s="124" t="n">
        <f aca="false">Y690+Y$16</f>
        <v>0.00268103599548339</v>
      </c>
      <c r="Z691" s="115" t="n">
        <f aca="false">(K-(L0-Y691*Ldif-alph*Y691^0.5))/R0</f>
        <v>0.918679664908975</v>
      </c>
      <c r="AA691" s="113" t="n">
        <f aca="false">IF(Z691&lt;1,X$14*((1-r_1)-Y$14*(1-r_1^2)+Z$14*(1-r_1^3)),0)</f>
        <v>115727.445738041</v>
      </c>
      <c r="AB691" s="97" t="n">
        <f aca="false">AB690+AB$15</f>
        <v>0.00268103599548339</v>
      </c>
      <c r="AC691" s="115" t="n">
        <f aca="false">(Kopt-(L0-AB691*Ldif-alph*AB691^0.5))/R0</f>
        <v>0.918679664908975</v>
      </c>
      <c r="AD691" s="113" t="n">
        <f aca="false">IF(AC691&lt;1,X$14*((1-ropt)-Y$14*(1-ropt^2)+Z$14*(1-ropt^3)),0)</f>
        <v>115727.445738041</v>
      </c>
    </row>
    <row r="692" customFormat="false" ht="12.75" hidden="false" customHeight="false" outlineLevel="0" collapsed="false">
      <c r="X692" s="102" t="n">
        <v>327</v>
      </c>
      <c r="Y692" s="124" t="n">
        <f aca="false">Y691+Y$16</f>
        <v>0.00268502563238143</v>
      </c>
      <c r="Z692" s="115" t="n">
        <f aca="false">(K-(L0-Y692*Ldif-alph*Y692^0.5))/R0</f>
        <v>0.918954748281317</v>
      </c>
      <c r="AA692" s="113" t="n">
        <f aca="false">IF(Z692&lt;1,X$14*((1-r_1)-Y$14*(1-r_1^2)+Z$14*(1-r_1^3)),0)</f>
        <v>114945.824457532</v>
      </c>
      <c r="AB692" s="97" t="n">
        <f aca="false">AB691+AB$15</f>
        <v>0.00268502563238143</v>
      </c>
      <c r="AC692" s="115" t="n">
        <f aca="false">(Kopt-(L0-AB692*Ldif-alph*AB692^0.5))/R0</f>
        <v>0.918954748281317</v>
      </c>
      <c r="AD692" s="113" t="n">
        <f aca="false">IF(AC692&lt;1,X$14*((1-ropt)-Y$14*(1-ropt^2)+Z$14*(1-ropt^3)),0)</f>
        <v>114945.824457532</v>
      </c>
    </row>
    <row r="693" customFormat="false" ht="12.75" hidden="false" customHeight="false" outlineLevel="0" collapsed="false">
      <c r="X693" s="102" t="n">
        <v>326</v>
      </c>
      <c r="Y693" s="124" t="n">
        <f aca="false">Y692+Y$16</f>
        <v>0.00268901526927947</v>
      </c>
      <c r="Z693" s="115" t="n">
        <f aca="false">(K-(L0-Y693*Ldif-alph*Y693^0.5))/R0</f>
        <v>0.919229627359303</v>
      </c>
      <c r="AA693" s="113" t="n">
        <f aca="false">IF(Z693&lt;1,X$14*((1-r_1)-Y$14*(1-r_1^2)+Z$14*(1-r_1^3)),0)</f>
        <v>114167.429189048</v>
      </c>
      <c r="AB693" s="97" t="n">
        <f aca="false">AB692+AB$15</f>
        <v>0.00268901526927947</v>
      </c>
      <c r="AC693" s="115" t="n">
        <f aca="false">(Kopt-(L0-AB693*Ldif-alph*AB693^0.5))/R0</f>
        <v>0.919229627359303</v>
      </c>
      <c r="AD693" s="113" t="n">
        <f aca="false">IF(AC693&lt;1,X$14*((1-ropt)-Y$14*(1-ropt^2)+Z$14*(1-ropt^3)),0)</f>
        <v>114167.429189048</v>
      </c>
    </row>
    <row r="694" customFormat="false" ht="12.75" hidden="false" customHeight="false" outlineLevel="0" collapsed="false">
      <c r="X694" s="102" t="n">
        <v>325</v>
      </c>
      <c r="Y694" s="124" t="n">
        <f aca="false">Y693+Y$16</f>
        <v>0.00269300490617751</v>
      </c>
      <c r="Z694" s="115" t="n">
        <f aca="false">(K-(L0-Y694*Ldif-alph*Y694^0.5))/R0</f>
        <v>0.919504302597432</v>
      </c>
      <c r="AA694" s="113" t="n">
        <f aca="false">IF(Z694&lt;1,X$14*((1-r_1)-Y$14*(1-r_1^2)+Z$14*(1-r_1^3)),0)</f>
        <v>113392.252755701</v>
      </c>
      <c r="AB694" s="97" t="n">
        <f aca="false">AB693+AB$15</f>
        <v>0.00269300490617751</v>
      </c>
      <c r="AC694" s="115" t="n">
        <f aca="false">(Kopt-(L0-AB694*Ldif-alph*AB694^0.5))/R0</f>
        <v>0.919504302597432</v>
      </c>
      <c r="AD694" s="113" t="n">
        <f aca="false">IF(AC694&lt;1,X$14*((1-ropt)-Y$14*(1-ropt^2)+Z$14*(1-ropt^3)),0)</f>
        <v>113392.252755701</v>
      </c>
    </row>
    <row r="695" customFormat="false" ht="12.75" hidden="false" customHeight="false" outlineLevel="0" collapsed="false">
      <c r="X695" s="102" t="n">
        <v>324</v>
      </c>
      <c r="Y695" s="124" t="n">
        <f aca="false">Y694+Y$16</f>
        <v>0.00269699454307555</v>
      </c>
      <c r="Z695" s="115" t="n">
        <f aca="false">(K-(L0-Y695*Ldif-alph*Y695^0.5))/R0</f>
        <v>0.91977877444851</v>
      </c>
      <c r="AA695" s="113" t="n">
        <f aca="false">IF(Z695&lt;1,X$14*((1-r_1)-Y$14*(1-r_1^2)+Z$14*(1-r_1^3)),0)</f>
        <v>112620.288007202</v>
      </c>
      <c r="AB695" s="97" t="n">
        <f aca="false">AB694+AB$15</f>
        <v>0.00269699454307555</v>
      </c>
      <c r="AC695" s="115" t="n">
        <f aca="false">(Kopt-(L0-AB695*Ldif-alph*AB695^0.5))/R0</f>
        <v>0.91977877444851</v>
      </c>
      <c r="AD695" s="113" t="n">
        <f aca="false">IF(AC695&lt;1,X$14*((1-ropt)-Y$14*(1-ropt^2)+Z$14*(1-ropt^3)),0)</f>
        <v>112620.288007202</v>
      </c>
    </row>
    <row r="696" customFormat="false" ht="12.75" hidden="false" customHeight="false" outlineLevel="0" collapsed="false">
      <c r="X696" s="102" t="n">
        <v>323</v>
      </c>
      <c r="Y696" s="124" t="n">
        <f aca="false">Y695+Y$16</f>
        <v>0.00270098417997359</v>
      </c>
      <c r="Z696" s="115" t="n">
        <f aca="false">(K-(L0-Y696*Ldif-alph*Y696^0.5))/R0</f>
        <v>0.920053043363672</v>
      </c>
      <c r="AA696" s="113" t="n">
        <f aca="false">IF(Z696&lt;1,X$14*((1-r_1)-Y$14*(1-r_1^2)+Z$14*(1-r_1^3)),0)</f>
        <v>111851.527819692</v>
      </c>
      <c r="AB696" s="97" t="n">
        <f aca="false">AB695+AB$15</f>
        <v>0.00270098417997359</v>
      </c>
      <c r="AC696" s="115" t="n">
        <f aca="false">(Kopt-(L0-AB696*Ldif-alph*AB696^0.5))/R0</f>
        <v>0.920053043363672</v>
      </c>
      <c r="AD696" s="113" t="n">
        <f aca="false">IF(AC696&lt;1,X$14*((1-ropt)-Y$14*(1-ropt^2)+Z$14*(1-ropt^3)),0)</f>
        <v>111851.527819692</v>
      </c>
    </row>
    <row r="697" customFormat="false" ht="12.75" hidden="false" customHeight="false" outlineLevel="0" collapsed="false">
      <c r="X697" s="102" t="n">
        <v>322</v>
      </c>
      <c r="Y697" s="124" t="n">
        <f aca="false">Y696+Y$16</f>
        <v>0.00270497381687163</v>
      </c>
      <c r="Z697" s="115" t="n">
        <f aca="false">(K-(L0-Y697*Ldif-alph*Y697^0.5))/R0</f>
        <v>0.920327109792392</v>
      </c>
      <c r="AA697" s="113" t="n">
        <f aca="false">IF(Z697&lt;1,X$14*((1-r_1)-Y$14*(1-r_1^2)+Z$14*(1-r_1^3)),0)</f>
        <v>111085.965095586</v>
      </c>
      <c r="AB697" s="97" t="n">
        <f aca="false">AB696+AB$15</f>
        <v>0.00270497381687163</v>
      </c>
      <c r="AC697" s="115" t="n">
        <f aca="false">(Kopt-(L0-AB697*Ldif-alph*AB697^0.5))/R0</f>
        <v>0.920327109792392</v>
      </c>
      <c r="AD697" s="113" t="n">
        <f aca="false">IF(AC697&lt;1,X$14*((1-ropt)-Y$14*(1-ropt^2)+Z$14*(1-ropt^3)),0)</f>
        <v>111085.965095586</v>
      </c>
    </row>
    <row r="698" customFormat="false" ht="12.75" hidden="false" customHeight="false" outlineLevel="0" collapsed="false">
      <c r="X698" s="102" t="n">
        <v>321</v>
      </c>
      <c r="Y698" s="124" t="n">
        <f aca="false">Y697+Y$16</f>
        <v>0.00270896345376967</v>
      </c>
      <c r="Z698" s="115" t="n">
        <f aca="false">(K-(L0-Y698*Ldif-alph*Y698^0.5))/R0</f>
        <v>0.920600974182482</v>
      </c>
      <c r="AA698" s="113" t="n">
        <f aca="false">IF(Z698&lt;1,X$14*((1-r_1)-Y$14*(1-r_1^2)+Z$14*(1-r_1^3)),0)</f>
        <v>110323.592763491</v>
      </c>
      <c r="AB698" s="97" t="n">
        <f aca="false">AB697+AB$15</f>
        <v>0.00270896345376967</v>
      </c>
      <c r="AC698" s="115" t="n">
        <f aca="false">(Kopt-(L0-AB698*Ldif-alph*AB698^0.5))/R0</f>
        <v>0.920600974182482</v>
      </c>
      <c r="AD698" s="113" t="n">
        <f aca="false">IF(AC698&lt;1,X$14*((1-ropt)-Y$14*(1-ropt^2)+Z$14*(1-ropt^3)),0)</f>
        <v>110323.592763491</v>
      </c>
    </row>
    <row r="699" customFormat="false" ht="12.75" hidden="false" customHeight="false" outlineLevel="0" collapsed="false">
      <c r="X699" s="102" t="n">
        <v>320</v>
      </c>
      <c r="Y699" s="124" t="n">
        <f aca="false">Y698+Y$16</f>
        <v>0.00271295309066772</v>
      </c>
      <c r="Z699" s="115" t="n">
        <f aca="false">(K-(L0-Y699*Ldif-alph*Y699^0.5))/R0</f>
        <v>0.92087463698011</v>
      </c>
      <c r="AA699" s="113" t="n">
        <f aca="false">IF(Z699&lt;1,X$14*((1-r_1)-Y$14*(1-r_1^2)+Z$14*(1-r_1^3)),0)</f>
        <v>109564.403778013</v>
      </c>
      <c r="AB699" s="97" t="n">
        <f aca="false">AB698+AB$15</f>
        <v>0.00271295309066772</v>
      </c>
      <c r="AC699" s="115" t="n">
        <f aca="false">(Kopt-(L0-AB699*Ldif-alph*AB699^0.5))/R0</f>
        <v>0.92087463698011</v>
      </c>
      <c r="AD699" s="113" t="n">
        <f aca="false">IF(AC699&lt;1,X$14*((1-ropt)-Y$14*(1-ropt^2)+Z$14*(1-ropt^3)),0)</f>
        <v>109564.403778013</v>
      </c>
    </row>
    <row r="700" customFormat="false" ht="12.75" hidden="false" customHeight="false" outlineLevel="0" collapsed="false">
      <c r="X700" s="102" t="n">
        <v>319</v>
      </c>
      <c r="Y700" s="124" t="n">
        <f aca="false">Y699+Y$16</f>
        <v>0.00271694272756576</v>
      </c>
      <c r="Z700" s="115" t="n">
        <f aca="false">(K-(L0-Y700*Ldif-alph*Y700^0.5))/R0</f>
        <v>0.921148098629799</v>
      </c>
      <c r="AA700" s="113" t="n">
        <f aca="false">IF(Z700&lt;1,X$14*((1-r_1)-Y$14*(1-r_1^2)+Z$14*(1-r_1^3)),0)</f>
        <v>108808.391119677</v>
      </c>
      <c r="AB700" s="97" t="n">
        <f aca="false">AB699+AB$15</f>
        <v>0.00271694272756576</v>
      </c>
      <c r="AC700" s="115" t="n">
        <f aca="false">(Kopt-(L0-AB700*Ldif-alph*AB700^0.5))/R0</f>
        <v>0.921148098629799</v>
      </c>
      <c r="AD700" s="113" t="n">
        <f aca="false">IF(AC700&lt;1,X$14*((1-ropt)-Y$14*(1-ropt^2)+Z$14*(1-ropt^3)),0)</f>
        <v>108808.391119677</v>
      </c>
    </row>
    <row r="701" customFormat="false" ht="12.75" hidden="false" customHeight="false" outlineLevel="0" collapsed="false">
      <c r="X701" s="102" t="n">
        <v>318</v>
      </c>
      <c r="Y701" s="124" t="n">
        <f aca="false">Y700+Y$16</f>
        <v>0.0027209323644638</v>
      </c>
      <c r="Z701" s="115" t="n">
        <f aca="false">(K-(L0-Y701*Ldif-alph*Y701^0.5))/R0</f>
        <v>0.921421359574447</v>
      </c>
      <c r="AA701" s="113" t="n">
        <f aca="false">IF(Z701&lt;1,X$14*((1-r_1)-Y$14*(1-r_1^2)+Z$14*(1-r_1^3)),0)</f>
        <v>108055.547794746</v>
      </c>
      <c r="AB701" s="97" t="n">
        <f aca="false">AB700+AB$15</f>
        <v>0.0027209323644638</v>
      </c>
      <c r="AC701" s="115" t="n">
        <f aca="false">(Kopt-(L0-AB701*Ldif-alph*AB701^0.5))/R0</f>
        <v>0.921421359574447</v>
      </c>
      <c r="AD701" s="113" t="n">
        <f aca="false">IF(AC701&lt;1,X$14*((1-ropt)-Y$14*(1-ropt^2)+Z$14*(1-ropt^3)),0)</f>
        <v>108055.547794746</v>
      </c>
    </row>
    <row r="702" customFormat="false" ht="12.75" hidden="false" customHeight="false" outlineLevel="0" collapsed="false">
      <c r="X702" s="102" t="n">
        <v>317</v>
      </c>
      <c r="Y702" s="124" t="n">
        <f aca="false">Y701+Y$16</f>
        <v>0.00272492200136184</v>
      </c>
      <c r="Z702" s="115" t="n">
        <f aca="false">(K-(L0-Y702*Ldif-alph*Y702^0.5))/R0</f>
        <v>0.921694420255323</v>
      </c>
      <c r="AA702" s="113" t="n">
        <f aca="false">IF(Z702&lt;1,X$14*((1-r_1)-Y$14*(1-r_1^2)+Z$14*(1-r_1^3)),0)</f>
        <v>107305.866835124</v>
      </c>
      <c r="AB702" s="97" t="n">
        <f aca="false">AB701+AB$15</f>
        <v>0.00272492200136184</v>
      </c>
      <c r="AC702" s="115" t="n">
        <f aca="false">(Kopt-(L0-AB702*Ldif-alph*AB702^0.5))/R0</f>
        <v>0.921694420255323</v>
      </c>
      <c r="AD702" s="113" t="n">
        <f aca="false">IF(AC702&lt;1,X$14*((1-ropt)-Y$14*(1-ropt^2)+Z$14*(1-ropt^3)),0)</f>
        <v>107305.866835124</v>
      </c>
    </row>
    <row r="703" customFormat="false" ht="12.75" hidden="false" customHeight="false" outlineLevel="0" collapsed="false">
      <c r="X703" s="102" t="n">
        <v>316</v>
      </c>
      <c r="Y703" s="124" t="n">
        <f aca="false">Y702+Y$16</f>
        <v>0.00272891163825988</v>
      </c>
      <c r="Z703" s="115" t="n">
        <f aca="false">(K-(L0-Y703*Ldif-alph*Y703^0.5))/R0</f>
        <v>0.921967281112088</v>
      </c>
      <c r="AA703" s="113" t="n">
        <f aca="false">IF(Z703&lt;1,X$14*((1-r_1)-Y$14*(1-r_1^2)+Z$14*(1-r_1^3)),0)</f>
        <v>106559.3412982</v>
      </c>
      <c r="AB703" s="97" t="n">
        <f aca="false">AB702+AB$15</f>
        <v>0.00272891163825988</v>
      </c>
      <c r="AC703" s="115" t="n">
        <f aca="false">(Kopt-(L0-AB703*Ldif-alph*AB703^0.5))/R0</f>
        <v>0.921967281112088</v>
      </c>
      <c r="AD703" s="113" t="n">
        <f aca="false">IF(AC703&lt;1,X$14*((1-ropt)-Y$14*(1-ropt^2)+Z$14*(1-ropt^3)),0)</f>
        <v>106559.3412982</v>
      </c>
    </row>
    <row r="704" customFormat="false" ht="12.75" hidden="false" customHeight="false" outlineLevel="0" collapsed="false">
      <c r="X704" s="102" t="n">
        <v>315</v>
      </c>
      <c r="Y704" s="124" t="n">
        <f aca="false">Y703+Y$16</f>
        <v>0.00273290127515792</v>
      </c>
      <c r="Z704" s="115" t="n">
        <f aca="false">(K-(L0-Y704*Ldif-alph*Y704^0.5))/R0</f>
        <v>0.922239942582788</v>
      </c>
      <c r="AA704" s="113" t="n">
        <f aca="false">IF(Z704&lt;1,X$14*((1-r_1)-Y$14*(1-r_1^2)+Z$14*(1-r_1^3)),0)</f>
        <v>105815.964266743</v>
      </c>
      <c r="AB704" s="97" t="n">
        <f aca="false">AB703+AB$15</f>
        <v>0.00273290127515792</v>
      </c>
      <c r="AC704" s="115" t="n">
        <f aca="false">(Kopt-(L0-AB704*Ldif-alph*AB704^0.5))/R0</f>
        <v>0.922239942582788</v>
      </c>
      <c r="AD704" s="113" t="n">
        <f aca="false">IF(AC704&lt;1,X$14*((1-ropt)-Y$14*(1-ropt^2)+Z$14*(1-ropt^3)),0)</f>
        <v>105815.964266743</v>
      </c>
    </row>
    <row r="705" customFormat="false" ht="12.75" hidden="false" customHeight="false" outlineLevel="0" collapsed="false">
      <c r="X705" s="102" t="n">
        <v>314</v>
      </c>
      <c r="Y705" s="124" t="n">
        <f aca="false">Y704+Y$16</f>
        <v>0.00273689091205596</v>
      </c>
      <c r="Z705" s="115" t="n">
        <f aca="false">(K-(L0-Y705*Ldif-alph*Y705^0.5))/R0</f>
        <v>0.922512405103881</v>
      </c>
      <c r="AA705" s="113" t="n">
        <f aca="false">IF(Z705&lt;1,X$14*((1-r_1)-Y$14*(1-r_1^2)+Z$14*(1-r_1^3)),0)</f>
        <v>105075.728848738</v>
      </c>
      <c r="AB705" s="97" t="n">
        <f aca="false">AB704+AB$15</f>
        <v>0.00273689091205596</v>
      </c>
      <c r="AC705" s="115" t="n">
        <f aca="false">(Kopt-(L0-AB705*Ldif-alph*AB705^0.5))/R0</f>
        <v>0.922512405103881</v>
      </c>
      <c r="AD705" s="113" t="n">
        <f aca="false">IF(AC705&lt;1,X$14*((1-ropt)-Y$14*(1-ropt^2)+Z$14*(1-ropt^3)),0)</f>
        <v>105075.728848738</v>
      </c>
    </row>
    <row r="706" customFormat="false" ht="12.75" hidden="false" customHeight="false" outlineLevel="0" collapsed="false">
      <c r="X706" s="102" t="n">
        <v>313</v>
      </c>
      <c r="Y706" s="124" t="n">
        <f aca="false">Y705+Y$16</f>
        <v>0.002740880548954</v>
      </c>
      <c r="Z706" s="115" t="n">
        <f aca="false">(K-(L0-Y706*Ldif-alph*Y706^0.5))/R0</f>
        <v>0.922784669110225</v>
      </c>
      <c r="AA706" s="113" t="n">
        <f aca="false">IF(Z706&lt;1,X$14*((1-r_1)-Y$14*(1-r_1^2)+Z$14*(1-r_1^3)),0)</f>
        <v>104338.628177305</v>
      </c>
      <c r="AB706" s="97" t="n">
        <f aca="false">AB705+AB$15</f>
        <v>0.002740880548954</v>
      </c>
      <c r="AC706" s="115" t="n">
        <f aca="false">(Kopt-(L0-AB706*Ldif-alph*AB706^0.5))/R0</f>
        <v>0.922784669110225</v>
      </c>
      <c r="AD706" s="113" t="n">
        <f aca="false">IF(AC706&lt;1,X$14*((1-ropt)-Y$14*(1-ropt^2)+Z$14*(1-ropt^3)),0)</f>
        <v>104338.628177305</v>
      </c>
    </row>
    <row r="707" customFormat="false" ht="12.75" hidden="false" customHeight="false" outlineLevel="0" collapsed="false">
      <c r="X707" s="102" t="n">
        <v>312</v>
      </c>
      <c r="Y707" s="124" t="n">
        <f aca="false">Y706+Y$16</f>
        <v>0.00274487018585204</v>
      </c>
      <c r="Z707" s="115" t="n">
        <f aca="false">(K-(L0-Y707*Ldif-alph*Y707^0.5))/R0</f>
        <v>0.923056735035107</v>
      </c>
      <c r="AA707" s="113" t="n">
        <f aca="false">IF(Z707&lt;1,X$14*((1-r_1)-Y$14*(1-r_1^2)+Z$14*(1-r_1^3)),0)</f>
        <v>103604.655410511</v>
      </c>
      <c r="AB707" s="97" t="n">
        <f aca="false">AB706+AB$15</f>
        <v>0.00274487018585204</v>
      </c>
      <c r="AC707" s="115" t="n">
        <f aca="false">(Kopt-(L0-AB707*Ldif-alph*AB707^0.5))/R0</f>
        <v>0.923056735035107</v>
      </c>
      <c r="AD707" s="113" t="n">
        <f aca="false">IF(AC707&lt;1,X$14*((1-ropt)-Y$14*(1-ropt^2)+Z$14*(1-ropt^3)),0)</f>
        <v>103604.655410511</v>
      </c>
    </row>
    <row r="708" customFormat="false" ht="12.75" hidden="false" customHeight="false" outlineLevel="0" collapsed="false">
      <c r="X708" s="102" t="n">
        <v>311</v>
      </c>
      <c r="Y708" s="124" t="n">
        <f aca="false">Y707+Y$16</f>
        <v>0.00274885982275008</v>
      </c>
      <c r="Z708" s="115" t="n">
        <f aca="false">(K-(L0-Y708*Ldif-alph*Y708^0.5))/R0</f>
        <v>0.923328603310226</v>
      </c>
      <c r="AA708" s="113" t="n">
        <f aca="false">IF(Z708&lt;1,X$14*((1-r_1)-Y$14*(1-r_1^2)+Z$14*(1-r_1^3)),0)</f>
        <v>102873.803731313</v>
      </c>
      <c r="AB708" s="97" t="n">
        <f aca="false">AB707+AB$15</f>
        <v>0.00274885982275008</v>
      </c>
      <c r="AC708" s="115" t="n">
        <f aca="false">(Kopt-(L0-AB708*Ldif-alph*AB708^0.5))/R0</f>
        <v>0.923328603310226</v>
      </c>
      <c r="AD708" s="113" t="n">
        <f aca="false">IF(AC708&lt;1,X$14*((1-ropt)-Y$14*(1-ropt^2)+Z$14*(1-ropt^3)),0)</f>
        <v>102873.803731313</v>
      </c>
    </row>
    <row r="709" customFormat="false" ht="12.75" hidden="false" customHeight="false" outlineLevel="0" collapsed="false">
      <c r="X709" s="102" t="n">
        <v>310</v>
      </c>
      <c r="Y709" s="124" t="n">
        <f aca="false">Y708+Y$16</f>
        <v>0.00275284945964812</v>
      </c>
      <c r="Z709" s="115" t="n">
        <f aca="false">(K-(L0-Y709*Ldif-alph*Y709^0.5))/R0</f>
        <v>0.923600274365732</v>
      </c>
      <c r="AA709" s="113" t="n">
        <f aca="false">IF(Z709&lt;1,X$14*((1-r_1)-Y$14*(1-r_1^2)+Z$14*(1-r_1^3)),0)</f>
        <v>102146.066347349</v>
      </c>
      <c r="AB709" s="97" t="n">
        <f aca="false">AB708+AB$15</f>
        <v>0.00275284945964812</v>
      </c>
      <c r="AC709" s="115" t="n">
        <f aca="false">(Kopt-(L0-AB709*Ldif-alph*AB709^0.5))/R0</f>
        <v>0.923600274365732</v>
      </c>
      <c r="AD709" s="113" t="n">
        <f aca="false">IF(AC709&lt;1,X$14*((1-ropt)-Y$14*(1-ropt^2)+Z$14*(1-ropt^3)),0)</f>
        <v>102146.066347349</v>
      </c>
    </row>
    <row r="710" customFormat="false" ht="12.75" hidden="false" customHeight="false" outlineLevel="0" collapsed="false">
      <c r="X710" s="102" t="n">
        <v>309</v>
      </c>
      <c r="Y710" s="124" t="n">
        <f aca="false">Y709+Y$16</f>
        <v>0.00275683909654616</v>
      </c>
      <c r="Z710" s="115" t="n">
        <f aca="false">(K-(L0-Y710*Ldif-alph*Y710^0.5))/R0</f>
        <v>0.923871748630201</v>
      </c>
      <c r="AA710" s="113" t="n">
        <f aca="false">IF(Z710&lt;1,X$14*((1-r_1)-Y$14*(1-r_1^2)+Z$14*(1-r_1^3)),0)</f>
        <v>101421.43649091</v>
      </c>
      <c r="AB710" s="97" t="n">
        <f aca="false">AB709+AB$15</f>
        <v>0.00275683909654616</v>
      </c>
      <c r="AC710" s="115" t="n">
        <f aca="false">(Kopt-(L0-AB710*Ldif-alph*AB710^0.5))/R0</f>
        <v>0.923871748630201</v>
      </c>
      <c r="AD710" s="113" t="n">
        <f aca="false">IF(AC710&lt;1,X$14*((1-ropt)-Y$14*(1-ropt^2)+Z$14*(1-ropt^3)),0)</f>
        <v>101421.43649091</v>
      </c>
    </row>
    <row r="711" customFormat="false" ht="12.75" hidden="false" customHeight="false" outlineLevel="0" collapsed="false">
      <c r="X711" s="102" t="n">
        <v>308</v>
      </c>
      <c r="Y711" s="124" t="n">
        <f aca="false">Y710+Y$16</f>
        <v>0.0027608287334442</v>
      </c>
      <c r="Z711" s="115" t="n">
        <f aca="false">(K-(L0-Y711*Ldif-alph*Y711^0.5))/R0</f>
        <v>0.92414302653067</v>
      </c>
      <c r="AA711" s="113" t="n">
        <f aca="false">IF(Z711&lt;1,X$14*((1-r_1)-Y$14*(1-r_1^2)+Z$14*(1-r_1^3)),0)</f>
        <v>100699.907418717</v>
      </c>
      <c r="AB711" s="97" t="n">
        <f aca="false">AB710+AB$15</f>
        <v>0.0027608287334442</v>
      </c>
      <c r="AC711" s="115" t="n">
        <f aca="false">(Kopt-(L0-AB711*Ldif-alph*AB711^0.5))/R0</f>
        <v>0.92414302653067</v>
      </c>
      <c r="AD711" s="113" t="n">
        <f aca="false">IF(AC711&lt;1,X$14*((1-ropt)-Y$14*(1-ropt^2)+Z$14*(1-ropt^3)),0)</f>
        <v>100699.907418717</v>
      </c>
    </row>
    <row r="712" customFormat="false" ht="12.75" hidden="false" customHeight="false" outlineLevel="0" collapsed="false">
      <c r="X712" s="102" t="n">
        <v>307</v>
      </c>
      <c r="Y712" s="124" t="n">
        <f aca="false">Y711+Y$16</f>
        <v>0.00276481837034224</v>
      </c>
      <c r="Z712" s="115" t="n">
        <f aca="false">(K-(L0-Y712*Ldif-alph*Y712^0.5))/R0</f>
        <v>0.924414108492627</v>
      </c>
      <c r="AA712" s="113" t="n">
        <f aca="false">IF(Z712&lt;1,X$14*((1-r_1)-Y$14*(1-r_1^2)+Z$14*(1-r_1^3)),0)</f>
        <v>99981.4724118761</v>
      </c>
      <c r="AB712" s="97" t="n">
        <f aca="false">AB711+AB$15</f>
        <v>0.00276481837034224</v>
      </c>
      <c r="AC712" s="115" t="n">
        <f aca="false">(Kopt-(L0-AB712*Ldif-alph*AB712^0.5))/R0</f>
        <v>0.924414108492627</v>
      </c>
      <c r="AD712" s="113" t="n">
        <f aca="false">IF(AC712&lt;1,X$14*((1-ropt)-Y$14*(1-ropt^2)+Z$14*(1-ropt^3)),0)</f>
        <v>99981.4724118761</v>
      </c>
    </row>
    <row r="713" customFormat="false" ht="12.75" hidden="false" customHeight="false" outlineLevel="0" collapsed="false">
      <c r="X713" s="102" t="n">
        <v>306</v>
      </c>
      <c r="Y713" s="124" t="n">
        <f aca="false">Y712+Y$16</f>
        <v>0.00276880800724028</v>
      </c>
      <c r="Z713" s="115" t="n">
        <f aca="false">(K-(L0-Y713*Ldif-alph*Y713^0.5))/R0</f>
        <v>0.924684994940035</v>
      </c>
      <c r="AA713" s="113" t="n">
        <f aca="false">IF(Z713&lt;1,X$14*((1-r_1)-Y$14*(1-r_1^2)+Z$14*(1-r_1^3)),0)</f>
        <v>99266.1247756952</v>
      </c>
      <c r="AB713" s="97" t="n">
        <f aca="false">AB712+AB$15</f>
        <v>0.00276880800724028</v>
      </c>
      <c r="AC713" s="115" t="n">
        <f aca="false">(Kopt-(L0-AB713*Ldif-alph*AB713^0.5))/R0</f>
        <v>0.924684994940035</v>
      </c>
      <c r="AD713" s="113" t="n">
        <f aca="false">IF(AC713&lt;1,X$14*((1-ropt)-Y$14*(1-ropt^2)+Z$14*(1-ropt^3)),0)</f>
        <v>99266.1247756952</v>
      </c>
    </row>
    <row r="714" customFormat="false" ht="12.75" hidden="false" customHeight="false" outlineLevel="0" collapsed="false">
      <c r="X714" s="102" t="n">
        <v>305</v>
      </c>
      <c r="Y714" s="124" t="n">
        <f aca="false">Y713+Y$16</f>
        <v>0.00277279764413832</v>
      </c>
      <c r="Z714" s="115" t="n">
        <f aca="false">(K-(L0-Y714*Ldif-alph*Y714^0.5))/R0</f>
        <v>0.924955686295318</v>
      </c>
      <c r="AA714" s="113" t="n">
        <f aca="false">IF(Z714&lt;1,X$14*((1-r_1)-Y$14*(1-r_1^2)+Z$14*(1-r_1^3)),0)</f>
        <v>98553.8578396195</v>
      </c>
      <c r="AB714" s="97" t="n">
        <f aca="false">AB713+AB$15</f>
        <v>0.00277279764413832</v>
      </c>
      <c r="AC714" s="115" t="n">
        <f aca="false">(Kopt-(L0-AB714*Ldif-alph*AB714^0.5))/R0</f>
        <v>0.924955686295318</v>
      </c>
      <c r="AD714" s="113" t="n">
        <f aca="false">IF(AC714&lt;1,X$14*((1-ropt)-Y$14*(1-ropt^2)+Z$14*(1-ropt^3)),0)</f>
        <v>98553.8578396195</v>
      </c>
    </row>
    <row r="715" customFormat="false" ht="12.75" hidden="false" customHeight="false" outlineLevel="0" collapsed="false">
      <c r="X715" s="102" t="n">
        <v>304</v>
      </c>
      <c r="Y715" s="124" t="n">
        <f aca="false">Y714+Y$16</f>
        <v>0.00277678728103637</v>
      </c>
      <c r="Z715" s="115" t="n">
        <f aca="false">(K-(L0-Y715*Ldif-alph*Y715^0.5))/R0</f>
        <v>0.925226182979388</v>
      </c>
      <c r="AA715" s="113" t="n">
        <f aca="false">IF(Z715&lt;1,X$14*((1-r_1)-Y$14*(1-r_1^2)+Z$14*(1-r_1^3)),0)</f>
        <v>97844.6649570583</v>
      </c>
      <c r="AB715" s="97" t="n">
        <f aca="false">AB714+AB$15</f>
        <v>0.00277678728103637</v>
      </c>
      <c r="AC715" s="115" t="n">
        <f aca="false">(Kopt-(L0-AB715*Ldif-alph*AB715^0.5))/R0</f>
        <v>0.925226182979388</v>
      </c>
      <c r="AD715" s="113" t="n">
        <f aca="false">IF(AC715&lt;1,X$14*((1-ropt)-Y$14*(1-ropt^2)+Z$14*(1-ropt^3)),0)</f>
        <v>97844.6649570583</v>
      </c>
    </row>
    <row r="716" customFormat="false" ht="12.75" hidden="false" customHeight="false" outlineLevel="0" collapsed="false">
      <c r="X716" s="102" t="n">
        <v>303</v>
      </c>
      <c r="Y716" s="124" t="n">
        <f aca="false">Y715+Y$16</f>
        <v>0.00278077691793441</v>
      </c>
      <c r="Z716" s="115" t="n">
        <f aca="false">(K-(L0-Y716*Ldif-alph*Y716^0.5))/R0</f>
        <v>0.925496485411647</v>
      </c>
      <c r="AA716" s="113" t="n">
        <f aca="false">IF(Z716&lt;1,X$14*((1-r_1)-Y$14*(1-r_1^2)+Z$14*(1-r_1^3)),0)</f>
        <v>97138.5395052971</v>
      </c>
      <c r="AB716" s="97" t="n">
        <f aca="false">AB715+AB$15</f>
        <v>0.00278077691793441</v>
      </c>
      <c r="AC716" s="115" t="n">
        <f aca="false">(Kopt-(L0-AB716*Ldif-alph*AB716^0.5))/R0</f>
        <v>0.925496485411647</v>
      </c>
      <c r="AD716" s="113" t="n">
        <f aca="false">IF(AC716&lt;1,X$14*((1-ropt)-Y$14*(1-ropt^2)+Z$14*(1-ropt^3)),0)</f>
        <v>97138.5395052971</v>
      </c>
    </row>
    <row r="717" customFormat="false" ht="12.75" hidden="false" customHeight="false" outlineLevel="0" collapsed="false">
      <c r="X717" s="102" t="n">
        <v>302</v>
      </c>
      <c r="Y717" s="124" t="n">
        <f aca="false">Y716+Y$16</f>
        <v>0.00278476655483245</v>
      </c>
      <c r="Z717" s="115" t="n">
        <f aca="false">(K-(L0-Y717*Ldif-alph*Y717^0.5))/R0</f>
        <v>0.925766594009989</v>
      </c>
      <c r="AA717" s="113" t="n">
        <f aca="false">IF(Z717&lt;1,X$14*((1-r_1)-Y$14*(1-r_1^2)+Z$14*(1-r_1^3)),0)</f>
        <v>96435.4748853613</v>
      </c>
      <c r="AB717" s="97" t="n">
        <f aca="false">AB716+AB$15</f>
        <v>0.00278476655483245</v>
      </c>
      <c r="AC717" s="115" t="n">
        <f aca="false">(Kopt-(L0-AB717*Ldif-alph*AB717^0.5))/R0</f>
        <v>0.925766594009989</v>
      </c>
      <c r="AD717" s="113" t="n">
        <f aca="false">IF(AC717&lt;1,X$14*((1-ropt)-Y$14*(1-ropt^2)+Z$14*(1-ropt^3)),0)</f>
        <v>96435.4748853613</v>
      </c>
    </row>
    <row r="718" customFormat="false" ht="12.75" hidden="false" customHeight="false" outlineLevel="0" collapsed="false">
      <c r="X718" s="102" t="n">
        <v>301</v>
      </c>
      <c r="Y718" s="124" t="n">
        <f aca="false">Y717+Y$16</f>
        <v>0.00278875619173049</v>
      </c>
      <c r="Z718" s="115" t="n">
        <f aca="false">(K-(L0-Y718*Ldif-alph*Y718^0.5))/R0</f>
        <v>0.926036509190813</v>
      </c>
      <c r="AA718" s="113" t="n">
        <f aca="false">IF(Z718&lt;1,X$14*((1-r_1)-Y$14*(1-r_1^2)+Z$14*(1-r_1^3)),0)</f>
        <v>95735.4645219119</v>
      </c>
      <c r="AB718" s="97" t="n">
        <f aca="false">AB717+AB$15</f>
        <v>0.00278875619173049</v>
      </c>
      <c r="AC718" s="115" t="n">
        <f aca="false">(Kopt-(L0-AB718*Ldif-alph*AB718^0.5))/R0</f>
        <v>0.926036509190813</v>
      </c>
      <c r="AD718" s="113" t="n">
        <f aca="false">IF(AC718&lt;1,X$14*((1-ropt)-Y$14*(1-ropt^2)+Z$14*(1-ropt^3)),0)</f>
        <v>95735.4645219119</v>
      </c>
    </row>
    <row r="719" customFormat="false" ht="12.75" hidden="false" customHeight="false" outlineLevel="0" collapsed="false">
      <c r="X719" s="102" t="n">
        <v>300</v>
      </c>
      <c r="Y719" s="124" t="n">
        <f aca="false">Y718+Y$16</f>
        <v>0.00279274582862853</v>
      </c>
      <c r="Z719" s="115" t="n">
        <f aca="false">(K-(L0-Y719*Ldif-alph*Y719^0.5))/R0</f>
        <v>0.926306231369032</v>
      </c>
      <c r="AA719" s="113" t="n">
        <f aca="false">IF(Z719&lt;1,X$14*((1-r_1)-Y$14*(1-r_1^2)+Z$14*(1-r_1^3)),0)</f>
        <v>95038.501863107</v>
      </c>
      <c r="AB719" s="97" t="n">
        <f aca="false">AB718+AB$15</f>
        <v>0.00279274582862853</v>
      </c>
      <c r="AC719" s="115" t="n">
        <f aca="false">(Kopt-(L0-AB719*Ldif-alph*AB719^0.5))/R0</f>
        <v>0.926306231369032</v>
      </c>
      <c r="AD719" s="113" t="n">
        <f aca="false">IF(AC719&lt;1,X$14*((1-ropt)-Y$14*(1-ropt^2)+Z$14*(1-ropt^3)),0)</f>
        <v>95038.501863107</v>
      </c>
    </row>
    <row r="720" customFormat="false" ht="12.75" hidden="false" customHeight="false" outlineLevel="0" collapsed="false">
      <c r="X720" s="102" t="n">
        <v>299</v>
      </c>
      <c r="Y720" s="124" t="n">
        <f aca="false">Y719+Y$16</f>
        <v>0.00279673546552657</v>
      </c>
      <c r="Z720" s="115" t="n">
        <f aca="false">(K-(L0-Y720*Ldif-alph*Y720^0.5))/R0</f>
        <v>0.926575760958076</v>
      </c>
      <c r="AA720" s="113" t="n">
        <f aca="false">IF(Z720&lt;1,X$14*((1-r_1)-Y$14*(1-r_1^2)+Z$14*(1-r_1^3)),0)</f>
        <v>94344.5803804991</v>
      </c>
      <c r="AB720" s="97" t="n">
        <f aca="false">AB719+AB$15</f>
        <v>0.00279673546552657</v>
      </c>
      <c r="AC720" s="115" t="n">
        <f aca="false">(Kopt-(L0-AB720*Ldif-alph*AB720^0.5))/R0</f>
        <v>0.926575760958076</v>
      </c>
      <c r="AD720" s="113" t="n">
        <f aca="false">IF(AC720&lt;1,X$14*((1-ropt)-Y$14*(1-ropt^2)+Z$14*(1-ropt^3)),0)</f>
        <v>94344.5803804991</v>
      </c>
    </row>
    <row r="721" customFormat="false" ht="12.75" hidden="false" customHeight="false" outlineLevel="0" collapsed="false">
      <c r="X721" s="102" t="n">
        <v>298</v>
      </c>
      <c r="Y721" s="124" t="n">
        <f aca="false">Y720+Y$16</f>
        <v>0.00280072510242461</v>
      </c>
      <c r="Z721" s="115" t="n">
        <f aca="false">(K-(L0-Y721*Ldif-alph*Y721^0.5))/R0</f>
        <v>0.926845098369896</v>
      </c>
      <c r="AA721" s="113" t="n">
        <f aca="false">IF(Z721&lt;1,X$14*((1-r_1)-Y$14*(1-r_1^2)+Z$14*(1-r_1^3)),0)</f>
        <v>93653.6935689281</v>
      </c>
      <c r="AB721" s="97" t="n">
        <f aca="false">AB720+AB$15</f>
        <v>0.00280072510242461</v>
      </c>
      <c r="AC721" s="115" t="n">
        <f aca="false">(Kopt-(L0-AB721*Ldif-alph*AB721^0.5))/R0</f>
        <v>0.926845098369896</v>
      </c>
      <c r="AD721" s="113" t="n">
        <f aca="false">IF(AC721&lt;1,X$14*((1-ropt)-Y$14*(1-ropt^2)+Z$14*(1-ropt^3)),0)</f>
        <v>93653.6935689281</v>
      </c>
    </row>
    <row r="722" customFormat="false" ht="12.75" hidden="false" customHeight="false" outlineLevel="0" collapsed="false">
      <c r="X722" s="102" t="n">
        <v>297</v>
      </c>
      <c r="Y722" s="124" t="n">
        <f aca="false">Y721+Y$16</f>
        <v>0.00280471473932265</v>
      </c>
      <c r="Z722" s="115" t="n">
        <f aca="false">(K-(L0-Y722*Ldif-alph*Y722^0.5))/R0</f>
        <v>0.927114244014989</v>
      </c>
      <c r="AA722" s="113" t="n">
        <f aca="false">IF(Z722&lt;1,X$14*((1-r_1)-Y$14*(1-r_1^2)+Z$14*(1-r_1^3)),0)</f>
        <v>92965.8349463642</v>
      </c>
      <c r="AB722" s="97" t="n">
        <f aca="false">AB721+AB$15</f>
        <v>0.00280471473932265</v>
      </c>
      <c r="AC722" s="115" t="n">
        <f aca="false">(Kopt-(L0-AB722*Ldif-alph*AB722^0.5))/R0</f>
        <v>0.927114244014989</v>
      </c>
      <c r="AD722" s="113" t="n">
        <f aca="false">IF(AC722&lt;1,X$14*((1-ropt)-Y$14*(1-ropt^2)+Z$14*(1-ropt^3)),0)</f>
        <v>92965.8349463642</v>
      </c>
    </row>
    <row r="723" customFormat="false" ht="12.75" hidden="false" customHeight="false" outlineLevel="0" collapsed="false">
      <c r="X723" s="102" t="n">
        <v>296</v>
      </c>
      <c r="Y723" s="124" t="n">
        <f aca="false">Y722+Y$16</f>
        <v>0.00280870437622069</v>
      </c>
      <c r="Z723" s="115" t="n">
        <f aca="false">(K-(L0-Y723*Ldif-alph*Y723^0.5))/R0</f>
        <v>0.927383198302376</v>
      </c>
      <c r="AA723" s="113" t="n">
        <f aca="false">IF(Z723&lt;1,X$14*((1-r_1)-Y$14*(1-r_1^2)+Z$14*(1-r_1^3)),0)</f>
        <v>92280.9980538608</v>
      </c>
      <c r="AB723" s="97" t="n">
        <f aca="false">AB722+AB$15</f>
        <v>0.00280870437622069</v>
      </c>
      <c r="AC723" s="115" t="n">
        <f aca="false">(Kopt-(L0-AB723*Ldif-alph*AB723^0.5))/R0</f>
        <v>0.927383198302376</v>
      </c>
      <c r="AD723" s="113" t="n">
        <f aca="false">IF(AC723&lt;1,X$14*((1-ropt)-Y$14*(1-ropt^2)+Z$14*(1-ropt^3)),0)</f>
        <v>92280.9980538608</v>
      </c>
    </row>
    <row r="724" customFormat="false" ht="12.75" hidden="false" customHeight="false" outlineLevel="0" collapsed="false">
      <c r="X724" s="102" t="n">
        <v>295</v>
      </c>
      <c r="Y724" s="124" t="n">
        <f aca="false">Y723+Y$16</f>
        <v>0.00281269401311873</v>
      </c>
      <c r="Z724" s="115" t="n">
        <f aca="false">(K-(L0-Y724*Ldif-alph*Y724^0.5))/R0</f>
        <v>0.927651961639642</v>
      </c>
      <c r="AA724" s="113" t="n">
        <f aca="false">IF(Z724&lt;1,X$14*((1-r_1)-Y$14*(1-r_1^2)+Z$14*(1-r_1^3)),0)</f>
        <v>91599.176455357</v>
      </c>
      <c r="AB724" s="97" t="n">
        <f aca="false">AB723+AB$15</f>
        <v>0.00281269401311873</v>
      </c>
      <c r="AC724" s="115" t="n">
        <f aca="false">(Kopt-(L0-AB724*Ldif-alph*AB724^0.5))/R0</f>
        <v>0.927651961639642</v>
      </c>
      <c r="AD724" s="113" t="n">
        <f aca="false">IF(AC724&lt;1,X$14*((1-ropt)-Y$14*(1-ropt^2)+Z$14*(1-ropt^3)),0)</f>
        <v>91599.176455357</v>
      </c>
    </row>
    <row r="725" customFormat="false" ht="12.75" hidden="false" customHeight="false" outlineLevel="0" collapsed="false">
      <c r="X725" s="102" t="n">
        <v>294</v>
      </c>
      <c r="Y725" s="124" t="n">
        <f aca="false">Y724+Y$16</f>
        <v>0.00281668365001677</v>
      </c>
      <c r="Z725" s="115" t="n">
        <f aca="false">(K-(L0-Y725*Ldif-alph*Y725^0.5))/R0</f>
        <v>0.927920534432915</v>
      </c>
      <c r="AA725" s="113" t="n">
        <f aca="false">IF(Z725&lt;1,X$14*((1-r_1)-Y$14*(1-r_1^2)+Z$14*(1-r_1^3)),0)</f>
        <v>90920.3637376399</v>
      </c>
      <c r="AB725" s="97" t="n">
        <f aca="false">AB724+AB$15</f>
        <v>0.00281668365001677</v>
      </c>
      <c r="AC725" s="115" t="n">
        <f aca="false">(Kopt-(L0-AB725*Ldif-alph*AB725^0.5))/R0</f>
        <v>0.927920534432915</v>
      </c>
      <c r="AD725" s="113" t="n">
        <f aca="false">IF(AC725&lt;1,X$14*((1-ropt)-Y$14*(1-ropt^2)+Z$14*(1-ropt^3)),0)</f>
        <v>90920.3637376399</v>
      </c>
    </row>
    <row r="726" customFormat="false" ht="12.75" hidden="false" customHeight="false" outlineLevel="0" collapsed="false">
      <c r="X726" s="102" t="n">
        <v>293</v>
      </c>
      <c r="Y726" s="124" t="n">
        <f aca="false">Y725+Y$16</f>
        <v>0.00282067328691481</v>
      </c>
      <c r="Z726" s="115" t="n">
        <f aca="false">(K-(L0-Y726*Ldif-alph*Y726^0.5))/R0</f>
        <v>0.928188917086896</v>
      </c>
      <c r="AA726" s="113" t="n">
        <f aca="false">IF(Z726&lt;1,X$14*((1-r_1)-Y$14*(1-r_1^2)+Z$14*(1-r_1^3)),0)</f>
        <v>90244.5535101723</v>
      </c>
      <c r="AB726" s="97" t="n">
        <f aca="false">AB725+AB$15</f>
        <v>0.00282067328691481</v>
      </c>
      <c r="AC726" s="115" t="n">
        <f aca="false">(Kopt-(L0-AB726*Ldif-alph*AB726^0.5))/R0</f>
        <v>0.928188917086896</v>
      </c>
      <c r="AD726" s="113" t="n">
        <f aca="false">IF(AC726&lt;1,X$14*((1-ropt)-Y$14*(1-ropt^2)+Z$14*(1-ropt^3)),0)</f>
        <v>90244.5535101723</v>
      </c>
    </row>
    <row r="727" customFormat="false" ht="12.75" hidden="false" customHeight="false" outlineLevel="0" collapsed="false">
      <c r="X727" s="102" t="n">
        <v>292</v>
      </c>
      <c r="Y727" s="124" t="n">
        <f aca="false">Y726+Y$16</f>
        <v>0.00282466292381285</v>
      </c>
      <c r="Z727" s="115" t="n">
        <f aca="false">(K-(L0-Y727*Ldif-alph*Y727^0.5))/R0</f>
        <v>0.928457110004845</v>
      </c>
      <c r="AA727" s="113" t="n">
        <f aca="false">IF(Z727&lt;1,X$14*((1-r_1)-Y$14*(1-r_1^2)+Z$14*(1-r_1^3)),0)</f>
        <v>89571.7394050302</v>
      </c>
      <c r="AB727" s="97" t="n">
        <f aca="false">AB726+AB$15</f>
        <v>0.00282466292381285</v>
      </c>
      <c r="AC727" s="115" t="n">
        <f aca="false">(Kopt-(L0-AB727*Ldif-alph*AB727^0.5))/R0</f>
        <v>0.928457110004845</v>
      </c>
      <c r="AD727" s="113" t="n">
        <f aca="false">IF(AC727&lt;1,X$14*((1-ropt)-Y$14*(1-ropt^2)+Z$14*(1-ropt^3)),0)</f>
        <v>89571.7394050302</v>
      </c>
    </row>
    <row r="728" customFormat="false" ht="12.75" hidden="false" customHeight="false" outlineLevel="0" collapsed="false">
      <c r="X728" s="102" t="n">
        <v>291</v>
      </c>
      <c r="Y728" s="124" t="n">
        <f aca="false">Y727+Y$16</f>
        <v>0.00282865256071089</v>
      </c>
      <c r="Z728" s="115" t="n">
        <f aca="false">(K-(L0-Y728*Ldif-alph*Y728^0.5))/R0</f>
        <v>0.928725113588606</v>
      </c>
      <c r="AA728" s="113" t="n">
        <f aca="false">IF(Z728&lt;1,X$14*((1-r_1)-Y$14*(1-r_1^2)+Z$14*(1-r_1^3)),0)</f>
        <v>88901.9150767515</v>
      </c>
      <c r="AB728" s="97" t="n">
        <f aca="false">AB727+AB$15</f>
        <v>0.00282865256071089</v>
      </c>
      <c r="AC728" s="115" t="n">
        <f aca="false">(Kopt-(L0-AB728*Ldif-alph*AB728^0.5))/R0</f>
        <v>0.928725113588606</v>
      </c>
      <c r="AD728" s="113" t="n">
        <f aca="false">IF(AC728&lt;1,X$14*((1-ropt)-Y$14*(1-ropt^2)+Z$14*(1-ropt^3)),0)</f>
        <v>88901.9150767515</v>
      </c>
    </row>
    <row r="729" customFormat="false" ht="12.75" hidden="false" customHeight="false" outlineLevel="0" collapsed="false">
      <c r="X729" s="102" t="n">
        <v>290</v>
      </c>
      <c r="Y729" s="124" t="n">
        <f aca="false">Y728+Y$16</f>
        <v>0.00283264219760893</v>
      </c>
      <c r="Z729" s="115" t="n">
        <f aca="false">(K-(L0-Y729*Ldif-alph*Y729^0.5))/R0</f>
        <v>0.928992928238602</v>
      </c>
      <c r="AA729" s="113" t="n">
        <f aca="false">IF(Z729&lt;1,X$14*((1-r_1)-Y$14*(1-r_1^2)+Z$14*(1-r_1^3)),0)</f>
        <v>88235.0742022462</v>
      </c>
      <c r="AB729" s="97" t="n">
        <f aca="false">AB728+AB$15</f>
        <v>0.00283264219760893</v>
      </c>
      <c r="AC729" s="115" t="n">
        <f aca="false">(Kopt-(L0-AB729*Ldif-alph*AB729^0.5))/R0</f>
        <v>0.928992928238602</v>
      </c>
      <c r="AD729" s="113" t="n">
        <f aca="false">IF(AC729&lt;1,X$14*((1-ropt)-Y$14*(1-ropt^2)+Z$14*(1-ropt^3)),0)</f>
        <v>88235.0742022462</v>
      </c>
    </row>
    <row r="730" customFormat="false" ht="12.75" hidden="false" customHeight="false" outlineLevel="0" collapsed="false">
      <c r="X730" s="102" t="n">
        <v>289</v>
      </c>
      <c r="Y730" s="124" t="n">
        <f aca="false">Y729+Y$16</f>
        <v>0.00283663183450697</v>
      </c>
      <c r="Z730" s="115" t="n">
        <f aca="false">(K-(L0-Y730*Ldif-alph*Y730^0.5))/R0</f>
        <v>0.929260554353852</v>
      </c>
      <c r="AA730" s="113" t="n">
        <f aca="false">IF(Z730&lt;1,X$14*((1-r_1)-Y$14*(1-r_1^2)+Z$14*(1-r_1^3)),0)</f>
        <v>87571.2104806764</v>
      </c>
      <c r="AB730" s="97" t="n">
        <f aca="false">AB729+AB$15</f>
        <v>0.00283663183450697</v>
      </c>
      <c r="AC730" s="115" t="n">
        <f aca="false">(Kopt-(L0-AB730*Ldif-alph*AB730^0.5))/R0</f>
        <v>0.929260554353852</v>
      </c>
      <c r="AD730" s="113" t="n">
        <f aca="false">IF(AC730&lt;1,X$14*((1-ropt)-Y$14*(1-ropt^2)+Z$14*(1-ropt^3)),0)</f>
        <v>87571.2104806764</v>
      </c>
    </row>
    <row r="731" customFormat="false" ht="12.75" hidden="false" customHeight="false" outlineLevel="0" collapsed="false">
      <c r="X731" s="102" t="n">
        <v>288</v>
      </c>
      <c r="Y731" s="124" t="n">
        <f aca="false">Y730+Y$16</f>
        <v>0.00284062147140502</v>
      </c>
      <c r="Z731" s="115" t="n">
        <f aca="false">(K-(L0-Y731*Ldif-alph*Y731^0.5))/R0</f>
        <v>0.929527992331963</v>
      </c>
      <c r="AA731" s="113" t="n">
        <f aca="false">IF(Z731&lt;1,X$14*((1-r_1)-Y$14*(1-r_1^2)+Z$14*(1-r_1^3)),0)</f>
        <v>86910.3176333669</v>
      </c>
      <c r="AB731" s="97" t="n">
        <f aca="false">AB730+AB$15</f>
        <v>0.00284062147140502</v>
      </c>
      <c r="AC731" s="115" t="n">
        <f aca="false">(Kopt-(L0-AB731*Ldif-alph*AB731^0.5))/R0</f>
        <v>0.929527992331963</v>
      </c>
      <c r="AD731" s="113" t="n">
        <f aca="false">IF(AC731&lt;1,X$14*((1-ropt)-Y$14*(1-ropt^2)+Z$14*(1-ropt^3)),0)</f>
        <v>86910.3176333669</v>
      </c>
    </row>
    <row r="732" customFormat="false" ht="12.75" hidden="false" customHeight="false" outlineLevel="0" collapsed="false">
      <c r="X732" s="102" t="n">
        <v>287</v>
      </c>
      <c r="Y732" s="124" t="n">
        <f aca="false">Y731+Y$16</f>
        <v>0.00284461110830306</v>
      </c>
      <c r="Z732" s="115" t="n">
        <f aca="false">(K-(L0-Y732*Ldif-alph*Y732^0.5))/R0</f>
        <v>0.929795242569162</v>
      </c>
      <c r="AA732" s="113" t="n">
        <f aca="false">IF(Z732&lt;1,X$14*((1-r_1)-Y$14*(1-r_1^2)+Z$14*(1-r_1^3)),0)</f>
        <v>86252.3894036493</v>
      </c>
      <c r="AB732" s="97" t="n">
        <f aca="false">AB731+AB$15</f>
        <v>0.00284461110830306</v>
      </c>
      <c r="AC732" s="115" t="n">
        <f aca="false">(Kopt-(L0-AB732*Ldif-alph*AB732^0.5))/R0</f>
        <v>0.929795242569162</v>
      </c>
      <c r="AD732" s="113" t="n">
        <f aca="false">IF(AC732&lt;1,X$14*((1-ropt)-Y$14*(1-ropt^2)+Z$14*(1-ropt^3)),0)</f>
        <v>86252.3894036493</v>
      </c>
    </row>
    <row r="733" customFormat="false" ht="12.75" hidden="false" customHeight="false" outlineLevel="0" collapsed="false">
      <c r="X733" s="102" t="n">
        <v>286</v>
      </c>
      <c r="Y733" s="124" t="n">
        <f aca="false">Y732+Y$16</f>
        <v>0.0028486007452011</v>
      </c>
      <c r="Z733" s="115" t="n">
        <f aca="false">(K-(L0-Y733*Ldif-alph*Y733^0.5))/R0</f>
        <v>0.930062305460268</v>
      </c>
      <c r="AA733" s="113" t="n">
        <f aca="false">IF(Z733&lt;1,X$14*((1-r_1)-Y$14*(1-r_1^2)+Z$14*(1-r_1^3)),0)</f>
        <v>85597.4195568238</v>
      </c>
      <c r="AB733" s="97" t="n">
        <f aca="false">AB732+AB$15</f>
        <v>0.0028486007452011</v>
      </c>
      <c r="AC733" s="115" t="n">
        <f aca="false">(Kopt-(L0-AB733*Ldif-alph*AB733^0.5))/R0</f>
        <v>0.930062305460268</v>
      </c>
      <c r="AD733" s="113" t="n">
        <f aca="false">IF(AC733&lt;1,X$14*((1-ropt)-Y$14*(1-ropt^2)+Z$14*(1-ropt^3)),0)</f>
        <v>85597.4195568238</v>
      </c>
    </row>
    <row r="734" customFormat="false" ht="12.75" hidden="false" customHeight="false" outlineLevel="0" collapsed="false">
      <c r="X734" s="102" t="n">
        <v>285</v>
      </c>
      <c r="Y734" s="124" t="n">
        <f aca="false">Y733+Y$16</f>
        <v>0.00285259038209914</v>
      </c>
      <c r="Z734" s="115" t="n">
        <f aca="false">(K-(L0-Y734*Ldif-alph*Y734^0.5))/R0</f>
        <v>0.930329181398733</v>
      </c>
      <c r="AA734" s="113" t="n">
        <f aca="false">IF(Z734&lt;1,X$14*((1-r_1)-Y$14*(1-r_1^2)+Z$14*(1-r_1^3)),0)</f>
        <v>84945.4018799875</v>
      </c>
      <c r="AB734" s="97" t="n">
        <f aca="false">AB733+AB$15</f>
        <v>0.00285259038209914</v>
      </c>
      <c r="AC734" s="115" t="n">
        <f aca="false">(Kopt-(L0-AB734*Ldif-alph*AB734^0.5))/R0</f>
        <v>0.930329181398733</v>
      </c>
      <c r="AD734" s="113" t="n">
        <f aca="false">IF(AC734&lt;1,X$14*((1-ropt)-Y$14*(1-ropt^2)+Z$14*(1-ropt^3)),0)</f>
        <v>84945.4018799875</v>
      </c>
    </row>
    <row r="735" customFormat="false" ht="12.75" hidden="false" customHeight="false" outlineLevel="0" collapsed="false">
      <c r="X735" s="102" t="n">
        <v>284</v>
      </c>
      <c r="Y735" s="124" t="n">
        <f aca="false">Y734+Y$16</f>
        <v>0.00285658001899718</v>
      </c>
      <c r="Z735" s="115" t="n">
        <f aca="false">(K-(L0-Y735*Ldif-alph*Y735^0.5))/R0</f>
        <v>0.930595870776626</v>
      </c>
      <c r="AA735" s="113" t="n">
        <f aca="false">IF(Z735&lt;1,X$14*((1-r_1)-Y$14*(1-r_1^2)+Z$14*(1-r_1^3)),0)</f>
        <v>84296.3301819594</v>
      </c>
      <c r="AB735" s="97" t="n">
        <f aca="false">AB734+AB$15</f>
        <v>0.00285658001899718</v>
      </c>
      <c r="AC735" s="115" t="n">
        <f aca="false">(Kopt-(L0-AB735*Ldif-alph*AB735^0.5))/R0</f>
        <v>0.930595870776626</v>
      </c>
      <c r="AD735" s="113" t="n">
        <f aca="false">IF(AC735&lt;1,X$14*((1-ropt)-Y$14*(1-ropt^2)+Z$14*(1-ropt^3)),0)</f>
        <v>84296.3301819594</v>
      </c>
    </row>
    <row r="736" customFormat="false" ht="12.75" hidden="false" customHeight="false" outlineLevel="0" collapsed="false">
      <c r="X736" s="102" t="n">
        <v>283</v>
      </c>
      <c r="Y736" s="124" t="n">
        <f aca="false">Y735+Y$16</f>
        <v>0.00286056965589522</v>
      </c>
      <c r="Z736" s="115" t="n">
        <f aca="false">(K-(L0-Y736*Ldif-alph*Y736^0.5))/R0</f>
        <v>0.930862373984654</v>
      </c>
      <c r="AA736" s="113" t="n">
        <f aca="false">IF(Z736&lt;1,X$14*((1-r_1)-Y$14*(1-r_1^2)+Z$14*(1-r_1^3)),0)</f>
        <v>83650.1982931631</v>
      </c>
      <c r="AB736" s="97" t="n">
        <f aca="false">AB735+AB$15</f>
        <v>0.00286056965589522</v>
      </c>
      <c r="AC736" s="115" t="n">
        <f aca="false">(Kopt-(L0-AB736*Ldif-alph*AB736^0.5))/R0</f>
        <v>0.930862373984654</v>
      </c>
      <c r="AD736" s="113" t="n">
        <f aca="false">IF(AC736&lt;1,X$14*((1-ropt)-Y$14*(1-ropt^2)+Z$14*(1-ropt^3)),0)</f>
        <v>83650.1982931631</v>
      </c>
    </row>
    <row r="737" customFormat="false" ht="12.75" hidden="false" customHeight="false" outlineLevel="0" collapsed="false">
      <c r="X737" s="102" t="n">
        <v>282</v>
      </c>
      <c r="Y737" s="124" t="n">
        <f aca="false">Y736+Y$16</f>
        <v>0.00286455929279326</v>
      </c>
      <c r="Z737" s="115" t="n">
        <f aca="false">(K-(L0-Y737*Ldif-alph*Y737^0.5))/R0</f>
        <v>0.931128691412153</v>
      </c>
      <c r="AA737" s="113" t="n">
        <f aca="false">IF(Z737&lt;1,X$14*((1-r_1)-Y$14*(1-r_1^2)+Z$14*(1-r_1^3)),0)</f>
        <v>83007.0000655439</v>
      </c>
      <c r="AB737" s="97" t="n">
        <f aca="false">AB736+AB$15</f>
        <v>0.00286455929279326</v>
      </c>
      <c r="AC737" s="115" t="n">
        <f aca="false">(Kopt-(L0-AB737*Ldif-alph*AB737^0.5))/R0</f>
        <v>0.931128691412153</v>
      </c>
      <c r="AD737" s="113" t="n">
        <f aca="false">IF(AC737&lt;1,X$14*((1-ropt)-Y$14*(1-ropt^2)+Z$14*(1-ropt^3)),0)</f>
        <v>83007.0000655439</v>
      </c>
    </row>
    <row r="738" customFormat="false" ht="12.75" hidden="false" customHeight="false" outlineLevel="0" collapsed="false">
      <c r="X738" s="102" t="n">
        <v>281</v>
      </c>
      <c r="Y738" s="124" t="n">
        <f aca="false">Y737+Y$16</f>
        <v>0.0028685489296913</v>
      </c>
      <c r="Z738" s="115" t="n">
        <f aca="false">(K-(L0-Y738*Ldif-alph*Y738^0.5))/R0</f>
        <v>0.931394823447113</v>
      </c>
      <c r="AA738" s="113" t="n">
        <f aca="false">IF(Z738&lt;1,X$14*((1-r_1)-Y$14*(1-r_1^2)+Z$14*(1-r_1^3)),0)</f>
        <v>82366.7293724245</v>
      </c>
      <c r="AB738" s="97" t="n">
        <f aca="false">AB737+AB$15</f>
        <v>0.0028685489296913</v>
      </c>
      <c r="AC738" s="115" t="n">
        <f aca="false">(Kopt-(L0-AB738*Ldif-alph*AB738^0.5))/R0</f>
        <v>0.931394823447113</v>
      </c>
      <c r="AD738" s="113" t="n">
        <f aca="false">IF(AC738&lt;1,X$14*((1-ropt)-Y$14*(1-ropt^2)+Z$14*(1-ropt^3)),0)</f>
        <v>82366.7293724245</v>
      </c>
    </row>
    <row r="739" customFormat="false" ht="12.75" hidden="false" customHeight="false" outlineLevel="0" collapsed="false">
      <c r="X739" s="102" t="n">
        <v>280</v>
      </c>
      <c r="Y739" s="124" t="n">
        <f aca="false">Y738+Y$16</f>
        <v>0.00287253856658934</v>
      </c>
      <c r="Z739" s="115" t="n">
        <f aca="false">(K-(L0-Y739*Ldif-alph*Y739^0.5))/R0</f>
        <v>0.931660770476168</v>
      </c>
      <c r="AA739" s="113" t="n">
        <f aca="false">IF(Z739&lt;1,X$14*((1-r_1)-Y$14*(1-r_1^2)+Z$14*(1-r_1^3)),0)</f>
        <v>81729.3801084432</v>
      </c>
      <c r="AB739" s="97" t="n">
        <f aca="false">AB738+AB$15</f>
        <v>0.00287253856658934</v>
      </c>
      <c r="AC739" s="115" t="n">
        <f aca="false">(Kopt-(L0-AB739*Ldif-alph*AB739^0.5))/R0</f>
        <v>0.931660770476168</v>
      </c>
      <c r="AD739" s="113" t="n">
        <f aca="false">IF(AC739&lt;1,X$14*((1-ropt)-Y$14*(1-ropt^2)+Z$14*(1-ropt^3)),0)</f>
        <v>81729.3801084432</v>
      </c>
    </row>
    <row r="740" customFormat="false" ht="12.75" hidden="false" customHeight="false" outlineLevel="0" collapsed="false">
      <c r="X740" s="102" t="n">
        <v>279</v>
      </c>
      <c r="Y740" s="124" t="n">
        <f aca="false">Y739+Y$16</f>
        <v>0.00287652820348738</v>
      </c>
      <c r="Z740" s="115" t="n">
        <f aca="false">(K-(L0-Y740*Ldif-alph*Y740^0.5))/R0</f>
        <v>0.931926532884619</v>
      </c>
      <c r="AA740" s="113" t="n">
        <f aca="false">IF(Z740&lt;1,X$14*((1-r_1)-Y$14*(1-r_1^2)+Z$14*(1-r_1^3)),0)</f>
        <v>81094.9461894059</v>
      </c>
      <c r="AB740" s="97" t="n">
        <f aca="false">AB739+AB$15</f>
        <v>0.00287652820348738</v>
      </c>
      <c r="AC740" s="115" t="n">
        <f aca="false">(Kopt-(L0-AB740*Ldif-alph*AB740^0.5))/R0</f>
        <v>0.931926532884619</v>
      </c>
      <c r="AD740" s="113" t="n">
        <f aca="false">IF(AC740&lt;1,X$14*((1-ropt)-Y$14*(1-ropt^2)+Z$14*(1-ropt^3)),0)</f>
        <v>81094.9461894059</v>
      </c>
    </row>
    <row r="741" customFormat="false" ht="12.75" hidden="false" customHeight="false" outlineLevel="0" collapsed="false">
      <c r="X741" s="102" t="n">
        <v>278</v>
      </c>
      <c r="Y741" s="124" t="n">
        <f aca="false">Y740+Y$16</f>
        <v>0.00288051784038542</v>
      </c>
      <c r="Z741" s="115" t="n">
        <f aca="false">(K-(L0-Y741*Ldif-alph*Y741^0.5))/R0</f>
        <v>0.932192111056418</v>
      </c>
      <c r="AA741" s="113" t="n">
        <f aca="false">IF(Z741&lt;1,X$14*((1-r_1)-Y$14*(1-r_1^2)+Z$14*(1-r_1^3)),0)</f>
        <v>80463.4215522399</v>
      </c>
      <c r="AB741" s="97" t="n">
        <f aca="false">AB740+AB$15</f>
        <v>0.00288051784038542</v>
      </c>
      <c r="AC741" s="115" t="n">
        <f aca="false">(Kopt-(L0-AB741*Ldif-alph*AB741^0.5))/R0</f>
        <v>0.932192111056418</v>
      </c>
      <c r="AD741" s="113" t="n">
        <f aca="false">IF(AC741&lt;1,X$14*((1-ropt)-Y$14*(1-ropt^2)+Z$14*(1-ropt^3)),0)</f>
        <v>80463.4215522399</v>
      </c>
    </row>
    <row r="742" customFormat="false" ht="12.75" hidden="false" customHeight="false" outlineLevel="0" collapsed="false">
      <c r="X742" s="102" t="n">
        <v>277</v>
      </c>
      <c r="Y742" s="124" t="n">
        <f aca="false">Y741+Y$16</f>
        <v>0.00288450747728346</v>
      </c>
      <c r="Z742" s="115" t="n">
        <f aca="false">(K-(L0-Y742*Ldif-alph*Y742^0.5))/R0</f>
        <v>0.932457505374203</v>
      </c>
      <c r="AA742" s="113" t="n">
        <f aca="false">IF(Z742&lt;1,X$14*((1-r_1)-Y$14*(1-r_1^2)+Z$14*(1-r_1^3)),0)</f>
        <v>79834.8001548263</v>
      </c>
      <c r="AB742" s="97" t="n">
        <f aca="false">AB741+AB$15</f>
        <v>0.00288450747728346</v>
      </c>
      <c r="AC742" s="115" t="n">
        <f aca="false">(Kopt-(L0-AB742*Ldif-alph*AB742^0.5))/R0</f>
        <v>0.932457505374203</v>
      </c>
      <c r="AD742" s="113" t="n">
        <f aca="false">IF(AC742&lt;1,X$14*((1-ropt)-Y$14*(1-ropt^2)+Z$14*(1-ropt^3)),0)</f>
        <v>79834.8001548263</v>
      </c>
    </row>
    <row r="743" customFormat="false" ht="12.75" hidden="false" customHeight="false" outlineLevel="0" collapsed="false">
      <c r="X743" s="102" t="n">
        <v>276</v>
      </c>
      <c r="Y743" s="124" t="n">
        <f aca="false">Y742+Y$16</f>
        <v>0.0028884971141815</v>
      </c>
      <c r="Z743" s="115" t="n">
        <f aca="false">(K-(L0-Y743*Ldif-alph*Y743^0.5))/R0</f>
        <v>0.932722716219278</v>
      </c>
      <c r="AA743" s="113" t="n">
        <f aca="false">IF(Z743&lt;1,X$14*((1-r_1)-Y$14*(1-r_1^2)+Z$14*(1-r_1^3)),0)</f>
        <v>79209.0759759559</v>
      </c>
      <c r="AB743" s="97" t="n">
        <f aca="false">AB742+AB$15</f>
        <v>0.0028884971141815</v>
      </c>
      <c r="AC743" s="115" t="n">
        <f aca="false">(Kopt-(L0-AB743*Ldif-alph*AB743^0.5))/R0</f>
        <v>0.932722716219278</v>
      </c>
      <c r="AD743" s="113" t="n">
        <f aca="false">IF(AC743&lt;1,X$14*((1-ropt)-Y$14*(1-ropt^2)+Z$14*(1-ropt^3)),0)</f>
        <v>79209.0759759559</v>
      </c>
    </row>
    <row r="744" customFormat="false" ht="12.75" hidden="false" customHeight="false" outlineLevel="0" collapsed="false">
      <c r="X744" s="102" t="n">
        <v>275</v>
      </c>
      <c r="Y744" s="124" t="n">
        <f aca="false">Y743+Y$16</f>
        <v>0.00289248675107954</v>
      </c>
      <c r="Z744" s="115" t="n">
        <f aca="false">(K-(L0-Y744*Ldif-alph*Y744^0.5))/R0</f>
        <v>0.932987743971639</v>
      </c>
      <c r="AA744" s="113" t="n">
        <f aca="false">IF(Z744&lt;1,X$14*((1-r_1)-Y$14*(1-r_1^2)+Z$14*(1-r_1^3)),0)</f>
        <v>78586.2430151868</v>
      </c>
      <c r="AB744" s="97" t="n">
        <f aca="false">AB743+AB$15</f>
        <v>0.00289248675107954</v>
      </c>
      <c r="AC744" s="115" t="n">
        <f aca="false">(Kopt-(L0-AB744*Ldif-alph*AB744^0.5))/R0</f>
        <v>0.932987743971639</v>
      </c>
      <c r="AD744" s="113" t="n">
        <f aca="false">IF(AC744&lt;1,X$14*((1-ropt)-Y$14*(1-ropt^2)+Z$14*(1-ropt^3)),0)</f>
        <v>78586.2430151868</v>
      </c>
    </row>
    <row r="745" customFormat="false" ht="12.75" hidden="false" customHeight="false" outlineLevel="0" collapsed="false">
      <c r="X745" s="102" t="n">
        <v>274</v>
      </c>
      <c r="Y745" s="124" t="n">
        <f aca="false">Y744+Y$16</f>
        <v>0.00289647638797758</v>
      </c>
      <c r="Z745" s="115" t="n">
        <f aca="false">(K-(L0-Y745*Ldif-alph*Y745^0.5))/R0</f>
        <v>0.933252589009964</v>
      </c>
      <c r="AA745" s="113" t="n">
        <f aca="false">IF(Z745&lt;1,X$14*((1-r_1)-Y$14*(1-r_1^2)+Z$14*(1-r_1^3)),0)</f>
        <v>77966.2952927729</v>
      </c>
      <c r="AB745" s="97" t="n">
        <f aca="false">AB744+AB$15</f>
        <v>0.00289647638797758</v>
      </c>
      <c r="AC745" s="115" t="n">
        <f aca="false">(Kopt-(L0-AB745*Ldif-alph*AB745^0.5))/R0</f>
        <v>0.933252589009964</v>
      </c>
      <c r="AD745" s="113" t="n">
        <f aca="false">IF(AC745&lt;1,X$14*((1-ropt)-Y$14*(1-ropt^2)+Z$14*(1-ropt^3)),0)</f>
        <v>77966.2952927729</v>
      </c>
    </row>
    <row r="746" customFormat="false" ht="12.75" hidden="false" customHeight="false" outlineLevel="0" collapsed="false">
      <c r="X746" s="102" t="n">
        <v>273</v>
      </c>
      <c r="Y746" s="124" t="n">
        <f aca="false">Y745+Y$16</f>
        <v>0.00290046602487562</v>
      </c>
      <c r="Z746" s="115" t="n">
        <f aca="false">(K-(L0-Y746*Ldif-alph*Y746^0.5))/R0</f>
        <v>0.933517251711632</v>
      </c>
      <c r="AA746" s="113" t="n">
        <f aca="false">IF(Z746&lt;1,X$14*((1-r_1)-Y$14*(1-r_1^2)+Z$14*(1-r_1^3)),0)</f>
        <v>77349.2268495549</v>
      </c>
      <c r="AB746" s="97" t="n">
        <f aca="false">AB745+AB$15</f>
        <v>0.00290046602487562</v>
      </c>
      <c r="AC746" s="115" t="n">
        <f aca="false">(Kopt-(L0-AB746*Ldif-alph*AB746^0.5))/R0</f>
        <v>0.933517251711632</v>
      </c>
      <c r="AD746" s="113" t="n">
        <f aca="false">IF(AC746&lt;1,X$14*((1-ropt)-Y$14*(1-ropt^2)+Z$14*(1-ropt^3)),0)</f>
        <v>77349.2268495549</v>
      </c>
    </row>
    <row r="747" customFormat="false" ht="12.75" hidden="false" customHeight="false" outlineLevel="0" collapsed="false">
      <c r="X747" s="102" t="n">
        <v>272</v>
      </c>
      <c r="Y747" s="124" t="n">
        <f aca="false">Y746+Y$16</f>
        <v>0.00290445566177367</v>
      </c>
      <c r="Z747" s="115" t="n">
        <f aca="false">(K-(L0-Y747*Ldif-alph*Y747^0.5))/R0</f>
        <v>0.933781732452726</v>
      </c>
      <c r="AA747" s="113" t="n">
        <f aca="false">IF(Z747&lt;1,X$14*((1-r_1)-Y$14*(1-r_1^2)+Z$14*(1-r_1^3)),0)</f>
        <v>76735.0317468418</v>
      </c>
      <c r="AB747" s="97" t="n">
        <f aca="false">AB746+AB$15</f>
        <v>0.00290445566177367</v>
      </c>
      <c r="AC747" s="115" t="n">
        <f aca="false">(Kopt-(L0-AB747*Ldif-alph*AB747^0.5))/R0</f>
        <v>0.933781732452726</v>
      </c>
      <c r="AD747" s="113" t="n">
        <f aca="false">IF(AC747&lt;1,X$14*((1-ropt)-Y$14*(1-ropt^2)+Z$14*(1-ropt^3)),0)</f>
        <v>76735.0317468418</v>
      </c>
    </row>
    <row r="748" customFormat="false" ht="12.75" hidden="false" customHeight="false" outlineLevel="0" collapsed="false">
      <c r="X748" s="102" t="n">
        <v>271</v>
      </c>
      <c r="Y748" s="124" t="n">
        <f aca="false">Y747+Y$16</f>
        <v>0.00290844529867171</v>
      </c>
      <c r="Z748" s="115" t="n">
        <f aca="false">(K-(L0-Y748*Ldif-alph*Y748^0.5))/R0</f>
        <v>0.934046031608034</v>
      </c>
      <c r="AA748" s="113" t="n">
        <f aca="false">IF(Z748&lt;1,X$14*((1-r_1)-Y$14*(1-r_1^2)+Z$14*(1-r_1^3)),0)</f>
        <v>76123.7040663471</v>
      </c>
      <c r="AB748" s="97" t="n">
        <f aca="false">AB747+AB$15</f>
        <v>0.00290844529867171</v>
      </c>
      <c r="AC748" s="115" t="n">
        <f aca="false">(Kopt-(L0-AB748*Ldif-alph*AB748^0.5))/R0</f>
        <v>0.934046031608034</v>
      </c>
      <c r="AD748" s="113" t="n">
        <f aca="false">IF(AC748&lt;1,X$14*((1-ropt)-Y$14*(1-ropt^2)+Z$14*(1-ropt^3)),0)</f>
        <v>76123.7040663471</v>
      </c>
    </row>
    <row r="749" customFormat="false" ht="12.75" hidden="false" customHeight="false" outlineLevel="0" collapsed="false">
      <c r="X749" s="102" t="n">
        <v>270</v>
      </c>
      <c r="Y749" s="124" t="n">
        <f aca="false">Y748+Y$16</f>
        <v>0.00291243493556975</v>
      </c>
      <c r="Z749" s="115" t="n">
        <f aca="false">(K-(L0-Y749*Ldif-alph*Y749^0.5))/R0</f>
        <v>0.934310149551068</v>
      </c>
      <c r="AA749" s="113" t="n">
        <f aca="false">IF(Z749&lt;1,X$14*((1-r_1)-Y$14*(1-r_1^2)+Z$14*(1-r_1^3)),0)</f>
        <v>75515.2379100541</v>
      </c>
      <c r="AB749" s="97" t="n">
        <f aca="false">AB748+AB$15</f>
        <v>0.00291243493556975</v>
      </c>
      <c r="AC749" s="115" t="n">
        <f aca="false">(Kopt-(L0-AB749*Ldif-alph*AB749^0.5))/R0</f>
        <v>0.934310149551068</v>
      </c>
      <c r="AD749" s="113" t="n">
        <f aca="false">IF(AC749&lt;1,X$14*((1-ropt)-Y$14*(1-ropt^2)+Z$14*(1-ropt^3)),0)</f>
        <v>75515.2379100541</v>
      </c>
    </row>
    <row r="750" customFormat="false" ht="12.75" hidden="false" customHeight="false" outlineLevel="0" collapsed="false">
      <c r="X750" s="102" t="n">
        <v>269</v>
      </c>
      <c r="Y750" s="124" t="n">
        <f aca="false">Y749+Y$16</f>
        <v>0.00291642457246779</v>
      </c>
      <c r="Z750" s="115" t="n">
        <f aca="false">(K-(L0-Y750*Ldif-alph*Y750^0.5))/R0</f>
        <v>0.934574086654046</v>
      </c>
      <c r="AA750" s="113" t="n">
        <f aca="false">IF(Z750&lt;1,X$14*((1-r_1)-Y$14*(1-r_1^2)+Z$14*(1-r_1^3)),0)</f>
        <v>74909.627400166</v>
      </c>
      <c r="AB750" s="97" t="n">
        <f aca="false">AB749+AB$15</f>
        <v>0.00291642457246779</v>
      </c>
      <c r="AC750" s="115" t="n">
        <f aca="false">(Kopt-(L0-AB750*Ldif-alph*AB750^0.5))/R0</f>
        <v>0.934574086654046</v>
      </c>
      <c r="AD750" s="113" t="n">
        <f aca="false">IF(AC750&lt;1,X$14*((1-ropt)-Y$14*(1-ropt^2)+Z$14*(1-ropt^3)),0)</f>
        <v>74909.627400166</v>
      </c>
    </row>
    <row r="751" customFormat="false" ht="12.75" hidden="false" customHeight="false" outlineLevel="0" collapsed="false">
      <c r="X751" s="102" t="n">
        <v>268</v>
      </c>
      <c r="Y751" s="124" t="n">
        <f aca="false">Y750+Y$16</f>
        <v>0.00292041420936583</v>
      </c>
      <c r="Z751" s="115" t="n">
        <f aca="false">(K-(L0-Y751*Ldif-alph*Y751^0.5))/R0</f>
        <v>0.934837843287927</v>
      </c>
      <c r="AA751" s="113" t="n">
        <f aca="false">IF(Z751&lt;1,X$14*((1-r_1)-Y$14*(1-r_1^2)+Z$14*(1-r_1^3)),0)</f>
        <v>74306.8666789521</v>
      </c>
      <c r="AB751" s="97" t="n">
        <f aca="false">AB750+AB$15</f>
        <v>0.00292041420936583</v>
      </c>
      <c r="AC751" s="115" t="n">
        <f aca="false">(Kopt-(L0-AB751*Ldif-alph*AB751^0.5))/R0</f>
        <v>0.934837843287927</v>
      </c>
      <c r="AD751" s="113" t="n">
        <f aca="false">IF(AC751&lt;1,X$14*((1-ropt)-Y$14*(1-ropt^2)+Z$14*(1-ropt^3)),0)</f>
        <v>74306.8666789521</v>
      </c>
    </row>
    <row r="752" customFormat="false" ht="12.75" hidden="false" customHeight="false" outlineLevel="0" collapsed="false">
      <c r="X752" s="102" t="n">
        <v>267</v>
      </c>
      <c r="Y752" s="124" t="n">
        <f aca="false">Y751+Y$16</f>
        <v>0.00292440384626387</v>
      </c>
      <c r="Z752" s="115" t="n">
        <f aca="false">(K-(L0-Y752*Ldif-alph*Y752^0.5))/R0</f>
        <v>0.935101419822398</v>
      </c>
      <c r="AA752" s="113" t="n">
        <f aca="false">IF(Z752&lt;1,X$14*((1-r_1)-Y$14*(1-r_1^2)+Z$14*(1-r_1^3)),0)</f>
        <v>73706.9499087012</v>
      </c>
      <c r="AB752" s="97" t="n">
        <f aca="false">AB751+AB$15</f>
        <v>0.00292440384626387</v>
      </c>
      <c r="AC752" s="115" t="n">
        <f aca="false">(Kopt-(L0-AB752*Ldif-alph*AB752^0.5))/R0</f>
        <v>0.935101419822398</v>
      </c>
      <c r="AD752" s="113" t="n">
        <f aca="false">IF(AC752&lt;1,X$14*((1-ropt)-Y$14*(1-ropt^2)+Z$14*(1-ropt^3)),0)</f>
        <v>73706.9499087012</v>
      </c>
    </row>
    <row r="753" customFormat="false" ht="12.75" hidden="false" customHeight="false" outlineLevel="0" collapsed="false">
      <c r="X753" s="102" t="n">
        <v>266</v>
      </c>
      <c r="Y753" s="124" t="n">
        <f aca="false">Y752+Y$16</f>
        <v>0.00292839348316191</v>
      </c>
      <c r="Z753" s="115" t="n">
        <f aca="false">(K-(L0-Y753*Ldif-alph*Y753^0.5))/R0</f>
        <v>0.935364816625885</v>
      </c>
      <c r="AA753" s="113" t="n">
        <f aca="false">IF(Z753&lt;1,X$14*((1-r_1)-Y$14*(1-r_1^2)+Z$14*(1-r_1^3)),0)</f>
        <v>73109.8712715955</v>
      </c>
      <c r="AB753" s="97" t="n">
        <f aca="false">AB752+AB$15</f>
        <v>0.00292839348316191</v>
      </c>
      <c r="AC753" s="115" t="n">
        <f aca="false">(Kopt-(L0-AB753*Ldif-alph*AB753^0.5))/R0</f>
        <v>0.935364816625885</v>
      </c>
      <c r="AD753" s="113" t="n">
        <f aca="false">IF(AC753&lt;1,X$14*((1-ropt)-Y$14*(1-ropt^2)+Z$14*(1-ropt^3)),0)</f>
        <v>73109.8712715955</v>
      </c>
    </row>
    <row r="754" customFormat="false" ht="12.75" hidden="false" customHeight="false" outlineLevel="0" collapsed="false">
      <c r="X754" s="102" t="n">
        <v>265</v>
      </c>
      <c r="Y754" s="124" t="n">
        <f aca="false">Y753+Y$16</f>
        <v>0.00293238312005995</v>
      </c>
      <c r="Z754" s="115" t="n">
        <f aca="false">(K-(L0-Y754*Ldif-alph*Y754^0.5))/R0</f>
        <v>0.935628034065563</v>
      </c>
      <c r="AA754" s="113" t="n">
        <f aca="false">IF(Z754&lt;1,X$14*((1-r_1)-Y$14*(1-r_1^2)+Z$14*(1-r_1^3)),0)</f>
        <v>72515.6249696268</v>
      </c>
      <c r="AB754" s="97" t="n">
        <f aca="false">AB753+AB$15</f>
        <v>0.00293238312005995</v>
      </c>
      <c r="AC754" s="115" t="n">
        <f aca="false">(Kopt-(L0-AB754*Ldif-alph*AB754^0.5))/R0</f>
        <v>0.935628034065563</v>
      </c>
      <c r="AD754" s="113" t="n">
        <f aca="false">IF(AC754&lt;1,X$14*((1-ropt)-Y$14*(1-ropt^2)+Z$14*(1-ropt^3)),0)</f>
        <v>72515.6249696268</v>
      </c>
    </row>
    <row r="755" customFormat="false" ht="12.75" hidden="false" customHeight="false" outlineLevel="0" collapsed="false">
      <c r="X755" s="102" t="n">
        <v>264</v>
      </c>
      <c r="Y755" s="124" t="n">
        <f aca="false">Y754+Y$16</f>
        <v>0.00293637275695799</v>
      </c>
      <c r="Z755" s="115" t="n">
        <f aca="false">(K-(L0-Y755*Ldif-alph*Y755^0.5))/R0</f>
        <v>0.935891072507355</v>
      </c>
      <c r="AA755" s="113" t="n">
        <f aca="false">IF(Z755&lt;1,X$14*((1-r_1)-Y$14*(1-r_1^2)+Z$14*(1-r_1^3)),0)</f>
        <v>71924.2052245015</v>
      </c>
      <c r="AB755" s="97" t="n">
        <f aca="false">AB754+AB$15</f>
        <v>0.00293637275695799</v>
      </c>
      <c r="AC755" s="115" t="n">
        <f aca="false">(Kopt-(L0-AB755*Ldif-alph*AB755^0.5))/R0</f>
        <v>0.935891072507355</v>
      </c>
      <c r="AD755" s="113" t="n">
        <f aca="false">IF(AC755&lt;1,X$14*((1-ropt)-Y$14*(1-ropt^2)+Z$14*(1-ropt^3)),0)</f>
        <v>71924.2052245015</v>
      </c>
    </row>
    <row r="756" customFormat="false" ht="12.75" hidden="false" customHeight="false" outlineLevel="0" collapsed="false">
      <c r="X756" s="102" t="n">
        <v>263</v>
      </c>
      <c r="Y756" s="124" t="n">
        <f aca="false">Y755+Y$16</f>
        <v>0.00294036239385603</v>
      </c>
      <c r="Z756" s="115" t="n">
        <f aca="false">(K-(L0-Y756*Ldif-alph*Y756^0.5))/R0</f>
        <v>0.936153932315942</v>
      </c>
      <c r="AA756" s="113" t="n">
        <f aca="false">IF(Z756&lt;1,X$14*((1-r_1)-Y$14*(1-r_1^2)+Z$14*(1-r_1^3)),0)</f>
        <v>71335.6062775528</v>
      </c>
      <c r="AB756" s="97" t="n">
        <f aca="false">AB755+AB$15</f>
        <v>0.00294036239385603</v>
      </c>
      <c r="AC756" s="115" t="n">
        <f aca="false">(Kopt-(L0-AB756*Ldif-alph*AB756^0.5))/R0</f>
        <v>0.936153932315942</v>
      </c>
      <c r="AD756" s="113" t="n">
        <f aca="false">IF(AC756&lt;1,X$14*((1-ropt)-Y$14*(1-ropt^2)+Z$14*(1-ropt^3)),0)</f>
        <v>71335.6062775528</v>
      </c>
    </row>
    <row r="757" customFormat="false" ht="12.75" hidden="false" customHeight="false" outlineLevel="0" collapsed="false">
      <c r="X757" s="102" t="n">
        <v>262</v>
      </c>
      <c r="Y757" s="124" t="n">
        <f aca="false">Y756+Y$16</f>
        <v>0.00294435203075407</v>
      </c>
      <c r="Z757" s="115" t="n">
        <f aca="false">(K-(L0-Y757*Ldif-alph*Y757^0.5))/R0</f>
        <v>0.936416613854773</v>
      </c>
      <c r="AA757" s="113" t="n">
        <f aca="false">IF(Z757&lt;1,X$14*((1-r_1)-Y$14*(1-r_1^2)+Z$14*(1-r_1^3)),0)</f>
        <v>70749.8223896266</v>
      </c>
      <c r="AB757" s="97" t="n">
        <f aca="false">AB756+AB$15</f>
        <v>0.00294435203075407</v>
      </c>
      <c r="AC757" s="115" t="n">
        <f aca="false">(Kopt-(L0-AB757*Ldif-alph*AB757^0.5))/R0</f>
        <v>0.936416613854773</v>
      </c>
      <c r="AD757" s="113" t="n">
        <f aca="false">IF(AC757&lt;1,X$14*((1-ropt)-Y$14*(1-ropt^2)+Z$14*(1-ropt^3)),0)</f>
        <v>70749.8223896266</v>
      </c>
    </row>
    <row r="758" customFormat="false" ht="12.75" hidden="false" customHeight="false" outlineLevel="0" collapsed="false">
      <c r="X758" s="102" t="n">
        <v>261</v>
      </c>
      <c r="Y758" s="124" t="n">
        <f aca="false">Y757+Y$16</f>
        <v>0.00294834166765211</v>
      </c>
      <c r="Z758" s="115" t="n">
        <f aca="false">(K-(L0-Y758*Ldif-alph*Y758^0.5))/R0</f>
        <v>0.936679117486058</v>
      </c>
      <c r="AA758" s="113" t="n">
        <f aca="false">IF(Z758&lt;1,X$14*((1-r_1)-Y$14*(1-r_1^2)+Z$14*(1-r_1^3)),0)</f>
        <v>70166.8478410289</v>
      </c>
      <c r="AB758" s="97" t="n">
        <f aca="false">AB757+AB$15</f>
        <v>0.00294834166765211</v>
      </c>
      <c r="AC758" s="115" t="n">
        <f aca="false">(Kopt-(L0-AB758*Ldif-alph*AB758^0.5))/R0</f>
        <v>0.936679117486058</v>
      </c>
      <c r="AD758" s="113" t="n">
        <f aca="false">IF(AC758&lt;1,X$14*((1-ropt)-Y$14*(1-ropt^2)+Z$14*(1-ropt^3)),0)</f>
        <v>70166.8478410289</v>
      </c>
    </row>
    <row r="759" customFormat="false" ht="12.75" hidden="false" customHeight="false" outlineLevel="0" collapsed="false">
      <c r="X759" s="102" t="n">
        <v>260</v>
      </c>
      <c r="Y759" s="124" t="n">
        <f aca="false">Y758+Y$16</f>
        <v>0.00295233130455015</v>
      </c>
      <c r="Z759" s="115" t="n">
        <f aca="false">(K-(L0-Y759*Ldif-alph*Y759^0.5))/R0</f>
        <v>0.936941443570788</v>
      </c>
      <c r="AA759" s="113" t="n">
        <f aca="false">IF(Z759&lt;1,X$14*((1-r_1)-Y$14*(1-r_1^2)+Z$14*(1-r_1^3)),0)</f>
        <v>69586.6769313836</v>
      </c>
      <c r="AB759" s="97" t="n">
        <f aca="false">AB758+AB$15</f>
        <v>0.00295233130455015</v>
      </c>
      <c r="AC759" s="115" t="n">
        <f aca="false">(Kopt-(L0-AB759*Ldif-alph*AB759^0.5))/R0</f>
        <v>0.936941443570788</v>
      </c>
      <c r="AD759" s="113" t="n">
        <f aca="false">IF(AC759&lt;1,X$14*((1-ropt)-Y$14*(1-ropt^2)+Z$14*(1-ropt^3)),0)</f>
        <v>69586.6769313836</v>
      </c>
    </row>
    <row r="760" customFormat="false" ht="12.75" hidden="false" customHeight="false" outlineLevel="0" collapsed="false">
      <c r="X760" s="102" t="n">
        <v>259</v>
      </c>
      <c r="Y760" s="124" t="n">
        <f aca="false">Y759+Y$16</f>
        <v>0.00295632094144819</v>
      </c>
      <c r="Z760" s="115" t="n">
        <f aca="false">(K-(L0-Y760*Ldif-alph*Y760^0.5))/R0</f>
        <v>0.937203592468731</v>
      </c>
      <c r="AA760" s="113" t="n">
        <f aca="false">IF(Z760&lt;1,X$14*((1-r_1)-Y$14*(1-r_1^2)+Z$14*(1-r_1^3)),0)</f>
        <v>69009.3039795822</v>
      </c>
      <c r="AB760" s="97" t="n">
        <f aca="false">AB759+AB$15</f>
        <v>0.00295632094144819</v>
      </c>
      <c r="AC760" s="115" t="n">
        <f aca="false">(Kopt-(L0-AB760*Ldif-alph*AB760^0.5))/R0</f>
        <v>0.937203592468731</v>
      </c>
      <c r="AD760" s="113" t="n">
        <f aca="false">IF(AC760&lt;1,X$14*((1-ropt)-Y$14*(1-ropt^2)+Z$14*(1-ropt^3)),0)</f>
        <v>69009.3039795822</v>
      </c>
    </row>
    <row r="761" customFormat="false" ht="12.75" hidden="false" customHeight="false" outlineLevel="0" collapsed="false">
      <c r="X761" s="102" t="n">
        <v>258</v>
      </c>
      <c r="Y761" s="124" t="n">
        <f aca="false">Y760+Y$16</f>
        <v>0.00296031057834623</v>
      </c>
      <c r="Z761" s="115" t="n">
        <f aca="false">(K-(L0-Y761*Ldif-alph*Y761^0.5))/R0</f>
        <v>0.93746556453845</v>
      </c>
      <c r="AA761" s="113" t="n">
        <f aca="false">IF(Z761&lt;1,X$14*((1-r_1)-Y$14*(1-r_1^2)+Z$14*(1-r_1^3)),0)</f>
        <v>68434.7233236579</v>
      </c>
      <c r="AB761" s="97" t="n">
        <f aca="false">AB760+AB$15</f>
        <v>0.00296031057834623</v>
      </c>
      <c r="AC761" s="115" t="n">
        <f aca="false">(Kopt-(L0-AB761*Ldif-alph*AB761^0.5))/R0</f>
        <v>0.93746556453845</v>
      </c>
      <c r="AD761" s="113" t="n">
        <f aca="false">IF(AC761&lt;1,X$14*((1-ropt)-Y$14*(1-ropt^2)+Z$14*(1-ropt^3)),0)</f>
        <v>68434.7233236579</v>
      </c>
    </row>
    <row r="762" customFormat="false" ht="12.75" hidden="false" customHeight="false" outlineLevel="0" collapsed="false">
      <c r="X762" s="102" t="n">
        <v>257</v>
      </c>
      <c r="Y762" s="124" t="n">
        <f aca="false">Y761+Y$16</f>
        <v>0.00296430021524427</v>
      </c>
      <c r="Z762" s="115" t="n">
        <f aca="false">(K-(L0-Y762*Ldif-alph*Y762^0.5))/R0</f>
        <v>0.937727360137287</v>
      </c>
      <c r="AA762" s="113" t="n">
        <f aca="false">IF(Z762&lt;1,X$14*((1-r_1)-Y$14*(1-r_1^2)+Z$14*(1-r_1^3)),0)</f>
        <v>67862.9293207442</v>
      </c>
      <c r="AB762" s="97" t="n">
        <f aca="false">AB761+AB$15</f>
        <v>0.00296430021524427</v>
      </c>
      <c r="AC762" s="115" t="n">
        <f aca="false">(Kopt-(L0-AB762*Ldif-alph*AB762^0.5))/R0</f>
        <v>0.937727360137287</v>
      </c>
      <c r="AD762" s="113" t="n">
        <f aca="false">IF(AC762&lt;1,X$14*((1-ropt)-Y$14*(1-ropt^2)+Z$14*(1-ropt^3)),0)</f>
        <v>67862.9293207442</v>
      </c>
    </row>
    <row r="763" customFormat="false" ht="12.75" hidden="false" customHeight="false" outlineLevel="0" collapsed="false">
      <c r="X763" s="102" t="n">
        <v>256</v>
      </c>
      <c r="Y763" s="124" t="n">
        <f aca="false">Y762+Y$16</f>
        <v>0.00296828985214232</v>
      </c>
      <c r="Z763" s="115" t="n">
        <f aca="false">(K-(L0-Y763*Ldif-alph*Y763^0.5))/R0</f>
        <v>0.937988979621397</v>
      </c>
      <c r="AA763" s="113" t="n">
        <f aca="false">IF(Z763&lt;1,X$14*((1-r_1)-Y$14*(1-r_1^2)+Z$14*(1-r_1^3)),0)</f>
        <v>67293.9163469216</v>
      </c>
      <c r="AB763" s="97" t="n">
        <f aca="false">AB762+AB$15</f>
        <v>0.00296828985214232</v>
      </c>
      <c r="AC763" s="115" t="n">
        <f aca="false">(Kopt-(L0-AB763*Ldif-alph*AB763^0.5))/R0</f>
        <v>0.937988979621397</v>
      </c>
      <c r="AD763" s="113" t="n">
        <f aca="false">IF(AC763&lt;1,X$14*((1-ropt)-Y$14*(1-ropt^2)+Z$14*(1-ropt^3)),0)</f>
        <v>67293.9163469216</v>
      </c>
    </row>
    <row r="764" customFormat="false" ht="12.75" hidden="false" customHeight="false" outlineLevel="0" collapsed="false">
      <c r="X764" s="102" t="n">
        <v>255</v>
      </c>
      <c r="Y764" s="124" t="n">
        <f aca="false">Y763+Y$16</f>
        <v>0.00297227948904036</v>
      </c>
      <c r="Z764" s="115" t="n">
        <f aca="false">(K-(L0-Y764*Ldif-alph*Y764^0.5))/R0</f>
        <v>0.938250423345723</v>
      </c>
      <c r="AA764" s="113" t="n">
        <f aca="false">IF(Z764&lt;1,X$14*((1-r_1)-Y$14*(1-r_1^2)+Z$14*(1-r_1^3)),0)</f>
        <v>66727.6787971927</v>
      </c>
      <c r="AB764" s="97" t="n">
        <f aca="false">AB763+AB$15</f>
        <v>0.00297227948904036</v>
      </c>
      <c r="AC764" s="115" t="n">
        <f aca="false">(Kopt-(L0-AB764*Ldif-alph*AB764^0.5))/R0</f>
        <v>0.938250423345723</v>
      </c>
      <c r="AD764" s="113" t="n">
        <f aca="false">IF(AC764&lt;1,X$14*((1-ropt)-Y$14*(1-ropt^2)+Z$14*(1-ropt^3)),0)</f>
        <v>66727.6787971927</v>
      </c>
    </row>
    <row r="765" customFormat="false" ht="12.75" hidden="false" customHeight="false" outlineLevel="0" collapsed="false">
      <c r="X765" s="102" t="n">
        <v>254</v>
      </c>
      <c r="Y765" s="124" t="n">
        <f aca="false">Y764+Y$16</f>
        <v>0.0029762691259384</v>
      </c>
      <c r="Z765" s="115" t="n">
        <f aca="false">(K-(L0-Y765*Ldif-alph*Y765^0.5))/R0</f>
        <v>0.938511691664032</v>
      </c>
      <c r="AA765" s="113" t="n">
        <f aca="false">IF(Z765&lt;1,X$14*((1-r_1)-Y$14*(1-r_1^2)+Z$14*(1-r_1^3)),0)</f>
        <v>66164.2110853339</v>
      </c>
      <c r="AB765" s="97" t="n">
        <f aca="false">AB764+AB$15</f>
        <v>0.0029762691259384</v>
      </c>
      <c r="AC765" s="115" t="n">
        <f aca="false">(Kopt-(L0-AB765*Ldif-alph*AB765^0.5))/R0</f>
        <v>0.938511691664032</v>
      </c>
      <c r="AD765" s="113" t="n">
        <f aca="false">IF(AC765&lt;1,X$14*((1-ropt)-Y$14*(1-ropt^2)+Z$14*(1-ropt^3)),0)</f>
        <v>66164.2110853339</v>
      </c>
    </row>
    <row r="766" customFormat="false" ht="12.75" hidden="false" customHeight="false" outlineLevel="0" collapsed="false">
      <c r="X766" s="102" t="n">
        <v>253</v>
      </c>
      <c r="Y766" s="124" t="n">
        <f aca="false">Y765+Y$16</f>
        <v>0.00298025876283644</v>
      </c>
      <c r="Z766" s="115" t="n">
        <f aca="false">(K-(L0-Y766*Ldif-alph*Y766^0.5))/R0</f>
        <v>0.938772784928893</v>
      </c>
      <c r="AA766" s="113" t="n">
        <f aca="false">IF(Z766&lt;1,X$14*((1-r_1)-Y$14*(1-r_1^2)+Z$14*(1-r_1^3)),0)</f>
        <v>65603.507643863</v>
      </c>
      <c r="AB766" s="97" t="n">
        <f aca="false">AB765+AB$15</f>
        <v>0.00298025876283644</v>
      </c>
      <c r="AC766" s="115" t="n">
        <f aca="false">(Kopt-(L0-AB766*Ldif-alph*AB766^0.5))/R0</f>
        <v>0.938772784928893</v>
      </c>
      <c r="AD766" s="113" t="n">
        <f aca="false">IF(AC766&lt;1,X$14*((1-ropt)-Y$14*(1-ropt^2)+Z$14*(1-ropt^3)),0)</f>
        <v>65603.507643863</v>
      </c>
    </row>
    <row r="767" customFormat="false" ht="12.75" hidden="false" customHeight="false" outlineLevel="0" collapsed="false">
      <c r="X767" s="102" t="n">
        <v>252</v>
      </c>
      <c r="Y767" s="124" t="n">
        <f aca="false">Y766+Y$16</f>
        <v>0.00298424839973448</v>
      </c>
      <c r="Z767" s="115" t="n">
        <f aca="false">(K-(L0-Y767*Ldif-alph*Y767^0.5))/R0</f>
        <v>0.939033703491709</v>
      </c>
      <c r="AA767" s="113" t="n">
        <f aca="false">IF(Z767&lt;1,X$14*((1-r_1)-Y$14*(1-r_1^2)+Z$14*(1-r_1^3)),0)</f>
        <v>65045.562923895</v>
      </c>
      <c r="AB767" s="97" t="n">
        <f aca="false">AB766+AB$15</f>
        <v>0.00298424839973448</v>
      </c>
      <c r="AC767" s="115" t="n">
        <f aca="false">(Kopt-(L0-AB767*Ldif-alph*AB767^0.5))/R0</f>
        <v>0.939033703491709</v>
      </c>
      <c r="AD767" s="113" t="n">
        <f aca="false">IF(AC767&lt;1,X$14*((1-ropt)-Y$14*(1-ropt^2)+Z$14*(1-ropt^3)),0)</f>
        <v>65045.562923895</v>
      </c>
    </row>
    <row r="768" customFormat="false" ht="12.75" hidden="false" customHeight="false" outlineLevel="0" collapsed="false">
      <c r="X768" s="102" t="n">
        <v>251</v>
      </c>
      <c r="Y768" s="124" t="n">
        <f aca="false">Y767+Y$16</f>
        <v>0.00298823803663252</v>
      </c>
      <c r="Z768" s="115" t="n">
        <f aca="false">(K-(L0-Y768*Ldif-alph*Y768^0.5))/R0</f>
        <v>0.939294447702692</v>
      </c>
      <c r="AA768" s="113" t="n">
        <f aca="false">IF(Z768&lt;1,X$14*((1-r_1)-Y$14*(1-r_1^2)+Z$14*(1-r_1^3)),0)</f>
        <v>64490.3713951209</v>
      </c>
      <c r="AB768" s="97" t="n">
        <f aca="false">AB767+AB$15</f>
        <v>0.00298823803663252</v>
      </c>
      <c r="AC768" s="115" t="n">
        <f aca="false">(Kopt-(L0-AB768*Ldif-alph*AB768^0.5))/R0</f>
        <v>0.939294447702692</v>
      </c>
      <c r="AD768" s="113" t="n">
        <f aca="false">IF(AC768&lt;1,X$14*((1-ropt)-Y$14*(1-ropt^2)+Z$14*(1-ropt^3)),0)</f>
        <v>64490.3713951209</v>
      </c>
    </row>
    <row r="769" customFormat="false" ht="12.75" hidden="false" customHeight="false" outlineLevel="0" collapsed="false">
      <c r="X769" s="102" t="n">
        <v>250</v>
      </c>
      <c r="Y769" s="124" t="n">
        <f aca="false">Y768+Y$16</f>
        <v>0.00299222767353056</v>
      </c>
      <c r="Z769" s="115" t="n">
        <f aca="false">(K-(L0-Y769*Ldif-alph*Y769^0.5))/R0</f>
        <v>0.939555017910906</v>
      </c>
      <c r="AA769" s="113" t="n">
        <f aca="false">IF(Z769&lt;1,X$14*((1-r_1)-Y$14*(1-r_1^2)+Z$14*(1-r_1^3)),0)</f>
        <v>63937.9275456406</v>
      </c>
      <c r="AB769" s="97" t="n">
        <f aca="false">AB768+AB$15</f>
        <v>0.00299222767353056</v>
      </c>
      <c r="AC769" s="115" t="n">
        <f aca="false">(Kopt-(L0-AB769*Ldif-alph*AB769^0.5))/R0</f>
        <v>0.939555017910906</v>
      </c>
      <c r="AD769" s="113" t="n">
        <f aca="false">IF(AC769&lt;1,X$14*((1-ropt)-Y$14*(1-ropt^2)+Z$14*(1-ropt^3)),0)</f>
        <v>63937.9275456406</v>
      </c>
    </row>
    <row r="770" customFormat="false" ht="12.75" hidden="false" customHeight="false" outlineLevel="0" collapsed="false">
      <c r="X770" s="102" t="n">
        <v>249</v>
      </c>
      <c r="Y770" s="124" t="n">
        <f aca="false">Y769+Y$16</f>
        <v>0.0029962173104286</v>
      </c>
      <c r="Z770" s="115" t="n">
        <f aca="false">(K-(L0-Y770*Ldif-alph*Y770^0.5))/R0</f>
        <v>0.939815414464232</v>
      </c>
      <c r="AA770" s="113" t="n">
        <f aca="false">IF(Z770&lt;1,X$14*((1-r_1)-Y$14*(1-r_1^2)+Z$14*(1-r_1^3)),0)</f>
        <v>63388.2258819629</v>
      </c>
      <c r="AB770" s="97" t="n">
        <f aca="false">AB769+AB$15</f>
        <v>0.0029962173104286</v>
      </c>
      <c r="AC770" s="115" t="n">
        <f aca="false">(Kopt-(L0-AB770*Ldif-alph*AB770^0.5))/R0</f>
        <v>0.939815414464232</v>
      </c>
      <c r="AD770" s="113" t="n">
        <f aca="false">IF(AC770&lt;1,X$14*((1-ropt)-Y$14*(1-ropt^2)+Z$14*(1-ropt^3)),0)</f>
        <v>63388.2258819629</v>
      </c>
    </row>
    <row r="771" customFormat="false" ht="12.75" hidden="false" customHeight="false" outlineLevel="0" collapsed="false">
      <c r="X771" s="102" t="n">
        <v>248</v>
      </c>
      <c r="Y771" s="124" t="n">
        <f aca="false">Y770+Y$16</f>
        <v>0.00300020694732664</v>
      </c>
      <c r="Z771" s="115" t="n">
        <f aca="false">(K-(L0-Y771*Ldif-alph*Y771^0.5))/R0</f>
        <v>0.940075637709403</v>
      </c>
      <c r="AA771" s="113" t="n">
        <f aca="false">IF(Z771&lt;1,X$14*((1-r_1)-Y$14*(1-r_1^2)+Z$14*(1-r_1^3)),0)</f>
        <v>62841.2609288578</v>
      </c>
      <c r="AB771" s="97" t="n">
        <f aca="false">AB770+AB$15</f>
        <v>0.00300020694732664</v>
      </c>
      <c r="AC771" s="115" t="n">
        <f aca="false">(Kopt-(L0-AB771*Ldif-alph*AB771^0.5))/R0</f>
        <v>0.940075637709403</v>
      </c>
      <c r="AD771" s="113" t="n">
        <f aca="false">IF(AC771&lt;1,X$14*((1-ropt)-Y$14*(1-ropt^2)+Z$14*(1-ropt^3)),0)</f>
        <v>62841.2609288578</v>
      </c>
    </row>
    <row r="772" customFormat="false" ht="12.75" hidden="false" customHeight="false" outlineLevel="0" collapsed="false">
      <c r="X772" s="102" t="n">
        <v>247</v>
      </c>
      <c r="Y772" s="124" t="n">
        <f aca="false">Y771+Y$16</f>
        <v>0.00300419658422468</v>
      </c>
      <c r="Z772" s="115" t="n">
        <f aca="false">(K-(L0-Y772*Ldif-alph*Y772^0.5))/R0</f>
        <v>0.940335687992005</v>
      </c>
      <c r="AA772" s="113" t="n">
        <f aca="false">IF(Z772&lt;1,X$14*((1-r_1)-Y$14*(1-r_1^2)+Z$14*(1-r_1^3)),0)</f>
        <v>62297.0272292789</v>
      </c>
      <c r="AB772" s="97" t="n">
        <f aca="false">AB771+AB$15</f>
        <v>0.00300419658422468</v>
      </c>
      <c r="AC772" s="115" t="n">
        <f aca="false">(Kopt-(L0-AB772*Ldif-alph*AB772^0.5))/R0</f>
        <v>0.940335687992005</v>
      </c>
      <c r="AD772" s="113" t="n">
        <f aca="false">IF(AC772&lt;1,X$14*((1-ropt)-Y$14*(1-ropt^2)+Z$14*(1-ropt^3)),0)</f>
        <v>62297.0272292789</v>
      </c>
    </row>
    <row r="773" customFormat="false" ht="12.75" hidden="false" customHeight="false" outlineLevel="0" collapsed="false">
      <c r="X773" s="102" t="n">
        <v>246</v>
      </c>
      <c r="Y773" s="124" t="n">
        <f aca="false">Y772+Y$16</f>
        <v>0.00300818622112272</v>
      </c>
      <c r="Z773" s="115" t="n">
        <f aca="false">(K-(L0-Y773*Ldif-alph*Y773^0.5))/R0</f>
        <v>0.940595565656462</v>
      </c>
      <c r="AA773" s="113" t="n">
        <f aca="false">IF(Z773&lt;1,X$14*((1-r_1)-Y$14*(1-r_1^2)+Z$14*(1-r_1^3)),0)</f>
        <v>61755.5193443262</v>
      </c>
      <c r="AB773" s="97" t="n">
        <f aca="false">AB772+AB$15</f>
        <v>0.00300818622112272</v>
      </c>
      <c r="AC773" s="115" t="n">
        <f aca="false">(Kopt-(L0-AB773*Ldif-alph*AB773^0.5))/R0</f>
        <v>0.940595565656462</v>
      </c>
      <c r="AD773" s="113" t="n">
        <f aca="false">IF(AC773&lt;1,X$14*((1-ropt)-Y$14*(1-ropt^2)+Z$14*(1-ropt^3)),0)</f>
        <v>61755.5193443262</v>
      </c>
    </row>
    <row r="774" customFormat="false" ht="12.75" hidden="false" customHeight="false" outlineLevel="0" collapsed="false">
      <c r="X774" s="102" t="n">
        <v>245</v>
      </c>
      <c r="Y774" s="124" t="n">
        <f aca="false">Y773+Y$16</f>
        <v>0.00301217585802076</v>
      </c>
      <c r="Z774" s="115" t="n">
        <f aca="false">(K-(L0-Y774*Ldif-alph*Y774^0.5))/R0</f>
        <v>0.940855271046073</v>
      </c>
      <c r="AA774" s="113" t="n">
        <f aca="false">IF(Z774&lt;1,X$14*((1-r_1)-Y$14*(1-r_1^2)+Z$14*(1-r_1^3)),0)</f>
        <v>61216.7318530871</v>
      </c>
      <c r="AB774" s="97" t="n">
        <f aca="false">AB773+AB$15</f>
        <v>0.00301217585802076</v>
      </c>
      <c r="AC774" s="115" t="n">
        <f aca="false">(Kopt-(L0-AB774*Ldif-alph*AB774^0.5))/R0</f>
        <v>0.940855271046073</v>
      </c>
      <c r="AD774" s="113" t="n">
        <f aca="false">IF(AC774&lt;1,X$14*((1-ropt)-Y$14*(1-ropt^2)+Z$14*(1-ropt^3)),0)</f>
        <v>61216.7318530871</v>
      </c>
    </row>
    <row r="775" customFormat="false" ht="12.75" hidden="false" customHeight="false" outlineLevel="0" collapsed="false">
      <c r="X775" s="102" t="n">
        <v>244</v>
      </c>
      <c r="Y775" s="124" t="n">
        <f aca="false">Y774+Y$16</f>
        <v>0.0030161654949188</v>
      </c>
      <c r="Z775" s="115" t="n">
        <f aca="false">(K-(L0-Y775*Ldif-alph*Y775^0.5))/R0</f>
        <v>0.941114804502986</v>
      </c>
      <c r="AA775" s="113" t="n">
        <f aca="false">IF(Z775&lt;1,X$14*((1-r_1)-Y$14*(1-r_1^2)+Z$14*(1-r_1^3)),0)</f>
        <v>60680.6593526266</v>
      </c>
      <c r="AB775" s="97" t="n">
        <f aca="false">AB774+AB$15</f>
        <v>0.0030161654949188</v>
      </c>
      <c r="AC775" s="115" t="n">
        <f aca="false">(Kopt-(L0-AB775*Ldif-alph*AB775^0.5))/R0</f>
        <v>0.941114804502986</v>
      </c>
      <c r="AD775" s="113" t="n">
        <f aca="false">IF(AC775&lt;1,X$14*((1-ropt)-Y$14*(1-ropt^2)+Z$14*(1-ropt^3)),0)</f>
        <v>60680.6593526266</v>
      </c>
    </row>
    <row r="776" customFormat="false" ht="12.75" hidden="false" customHeight="false" outlineLevel="0" collapsed="false">
      <c r="X776" s="102" t="n">
        <v>243</v>
      </c>
      <c r="Y776" s="124" t="n">
        <f aca="false">Y775+Y$16</f>
        <v>0.00302015513181684</v>
      </c>
      <c r="Z776" s="115" t="n">
        <f aca="false">(K-(L0-Y776*Ldif-alph*Y776^0.5))/R0</f>
        <v>0.941374166368232</v>
      </c>
      <c r="AA776" s="113" t="n">
        <f aca="false">IF(Z776&lt;1,X$14*((1-r_1)-Y$14*(1-r_1^2)+Z$14*(1-r_1^3)),0)</f>
        <v>60147.2964578454</v>
      </c>
      <c r="AB776" s="97" t="n">
        <f aca="false">AB775+AB$15</f>
        <v>0.00302015513181684</v>
      </c>
      <c r="AC776" s="115" t="n">
        <f aca="false">(Kopt-(L0-AB776*Ldif-alph*AB776^0.5))/R0</f>
        <v>0.941374166368232</v>
      </c>
      <c r="AD776" s="113" t="n">
        <f aca="false">IF(AC776&lt;1,X$14*((1-ropt)-Y$14*(1-ropt^2)+Z$14*(1-ropt^3)),0)</f>
        <v>60147.2964578454</v>
      </c>
    </row>
    <row r="777" customFormat="false" ht="12.75" hidden="false" customHeight="false" outlineLevel="0" collapsed="false">
      <c r="X777" s="102" t="n">
        <v>242</v>
      </c>
      <c r="Y777" s="124" t="n">
        <f aca="false">Y776+Y$16</f>
        <v>0.00302414476871488</v>
      </c>
      <c r="Z777" s="115" t="n">
        <f aca="false">(K-(L0-Y777*Ldif-alph*Y777^0.5))/R0</f>
        <v>0.941633356981703</v>
      </c>
      <c r="AA777" s="113" t="n">
        <f aca="false">IF(Z777&lt;1,X$14*((1-r_1)-Y$14*(1-r_1^2)+Z$14*(1-r_1^3)),0)</f>
        <v>59616.6378014429</v>
      </c>
      <c r="AB777" s="97" t="n">
        <f aca="false">AB776+AB$15</f>
        <v>0.00302414476871488</v>
      </c>
      <c r="AC777" s="115" t="n">
        <f aca="false">(Kopt-(L0-AB777*Ldif-alph*AB777^0.5))/R0</f>
        <v>0.941633356981703</v>
      </c>
      <c r="AD777" s="113" t="n">
        <f aca="false">IF(AC777&lt;1,X$14*((1-ropt)-Y$14*(1-ropt^2)+Z$14*(1-ropt^3)),0)</f>
        <v>59616.6378014429</v>
      </c>
    </row>
    <row r="778" customFormat="false" ht="12.75" hidden="false" customHeight="false" outlineLevel="0" collapsed="false">
      <c r="X778" s="102" t="n">
        <v>241</v>
      </c>
      <c r="Y778" s="124" t="n">
        <f aca="false">Y777+Y$16</f>
        <v>0.00302813440561293</v>
      </c>
      <c r="Z778" s="115" t="n">
        <f aca="false">(K-(L0-Y778*Ldif-alph*Y778^0.5))/R0</f>
        <v>0.941892376682178</v>
      </c>
      <c r="AA778" s="113" t="n">
        <f aca="false">IF(Z778&lt;1,X$14*((1-r_1)-Y$14*(1-r_1^2)+Z$14*(1-r_1^3)),0)</f>
        <v>59088.6780338029</v>
      </c>
      <c r="AB778" s="97" t="n">
        <f aca="false">AB777+AB$15</f>
        <v>0.00302813440561293</v>
      </c>
      <c r="AC778" s="115" t="n">
        <f aca="false">(Kopt-(L0-AB778*Ldif-alph*AB778^0.5))/R0</f>
        <v>0.941892376682178</v>
      </c>
      <c r="AD778" s="113" t="n">
        <f aca="false">IF(AC778&lt;1,X$14*((1-ropt)-Y$14*(1-ropt^2)+Z$14*(1-ropt^3)),0)</f>
        <v>59088.6780338029</v>
      </c>
    </row>
    <row r="779" customFormat="false" ht="12.75" hidden="false" customHeight="false" outlineLevel="0" collapsed="false">
      <c r="X779" s="102" t="n">
        <v>240</v>
      </c>
      <c r="Y779" s="124" t="n">
        <f aca="false">Y778+Y$16</f>
        <v>0.00303212404251097</v>
      </c>
      <c r="Z779" s="115" t="n">
        <f aca="false">(K-(L0-Y779*Ldif-alph*Y779^0.5))/R0</f>
        <v>0.94215122580732</v>
      </c>
      <c r="AA779" s="113" t="n">
        <f aca="false">IF(Z779&lt;1,X$14*((1-r_1)-Y$14*(1-r_1^2)+Z$14*(1-r_1^3)),0)</f>
        <v>58563.4118229253</v>
      </c>
      <c r="AB779" s="97" t="n">
        <f aca="false">AB778+AB$15</f>
        <v>0.00303212404251097</v>
      </c>
      <c r="AC779" s="115" t="n">
        <f aca="false">(Kopt-(L0-AB779*Ldif-alph*AB779^0.5))/R0</f>
        <v>0.94215122580732</v>
      </c>
      <c r="AD779" s="113" t="n">
        <f aca="false">IF(AC779&lt;1,X$14*((1-ropt)-Y$14*(1-ropt^2)+Z$14*(1-ropt^3)),0)</f>
        <v>58563.4118229253</v>
      </c>
    </row>
    <row r="780" customFormat="false" ht="12.75" hidden="false" customHeight="false" outlineLevel="0" collapsed="false">
      <c r="X780" s="102" t="n">
        <v>239</v>
      </c>
      <c r="Y780" s="124" t="n">
        <f aca="false">Y779+Y$16</f>
        <v>0.00303611367940901</v>
      </c>
      <c r="Z780" s="115" t="n">
        <f aca="false">(K-(L0-Y780*Ldif-alph*Y780^0.5))/R0</f>
        <v>0.942409904693677</v>
      </c>
      <c r="AA780" s="113" t="n">
        <f aca="false">IF(Z780&lt;1,X$14*((1-r_1)-Y$14*(1-r_1^2)+Z$14*(1-r_1^3)),0)</f>
        <v>58040.8338543484</v>
      </c>
      <c r="AB780" s="97" t="n">
        <f aca="false">AB779+AB$15</f>
        <v>0.00303611367940901</v>
      </c>
      <c r="AC780" s="115" t="n">
        <f aca="false">(Kopt-(L0-AB780*Ldif-alph*AB780^0.5))/R0</f>
        <v>0.942409904693677</v>
      </c>
      <c r="AD780" s="113" t="n">
        <f aca="false">IF(AC780&lt;1,X$14*((1-ropt)-Y$14*(1-ropt^2)+Z$14*(1-ropt^3)),0)</f>
        <v>58040.8338543484</v>
      </c>
    </row>
    <row r="781" customFormat="false" ht="12.75" hidden="false" customHeight="false" outlineLevel="0" collapsed="false">
      <c r="X781" s="102" t="n">
        <v>238</v>
      </c>
      <c r="Y781" s="124" t="n">
        <f aca="false">Y780+Y$16</f>
        <v>0.00304010331630705</v>
      </c>
      <c r="Z781" s="115" t="n">
        <f aca="false">(K-(L0-Y781*Ldif-alph*Y781^0.5))/R0</f>
        <v>0.9426684136767</v>
      </c>
      <c r="AA781" s="113" t="n">
        <f aca="false">IF(Z781&lt;1,X$14*((1-r_1)-Y$14*(1-r_1^2)+Z$14*(1-r_1^3)),0)</f>
        <v>57520.9388310558</v>
      </c>
      <c r="AB781" s="97" t="n">
        <f aca="false">AB780+AB$15</f>
        <v>0.00304010331630705</v>
      </c>
      <c r="AC781" s="115" t="n">
        <f aca="false">(Kopt-(L0-AB781*Ldif-alph*AB781^0.5))/R0</f>
        <v>0.9426684136767</v>
      </c>
      <c r="AD781" s="113" t="n">
        <f aca="false">IF(AC781&lt;1,X$14*((1-ropt)-Y$14*(1-ropt^2)+Z$14*(1-ropt^3)),0)</f>
        <v>57520.9388310558</v>
      </c>
    </row>
    <row r="782" customFormat="false" ht="12.75" hidden="false" customHeight="false" outlineLevel="0" collapsed="false">
      <c r="X782" s="102" t="n">
        <v>237</v>
      </c>
      <c r="Y782" s="124" t="n">
        <f aca="false">Y781+Y$16</f>
        <v>0.00304409295320509</v>
      </c>
      <c r="Z782" s="115" t="n">
        <f aca="false">(K-(L0-Y782*Ldif-alph*Y782^0.5))/R0</f>
        <v>0.942926753090732</v>
      </c>
      <c r="AA782" s="113" t="n">
        <f aca="false">IF(Z782&lt;1,X$14*((1-r_1)-Y$14*(1-r_1^2)+Z$14*(1-r_1^3)),0)</f>
        <v>57003.7214734101</v>
      </c>
      <c r="AB782" s="97" t="n">
        <f aca="false">AB781+AB$15</f>
        <v>0.00304409295320509</v>
      </c>
      <c r="AC782" s="115" t="n">
        <f aca="false">(Kopt-(L0-AB782*Ldif-alph*AB782^0.5))/R0</f>
        <v>0.942926753090732</v>
      </c>
      <c r="AD782" s="113" t="n">
        <f aca="false">IF(AC782&lt;1,X$14*((1-ropt)-Y$14*(1-ropt^2)+Z$14*(1-ropt^3)),0)</f>
        <v>57003.7214734101</v>
      </c>
    </row>
    <row r="783" customFormat="false" ht="12.75" hidden="false" customHeight="false" outlineLevel="0" collapsed="false">
      <c r="X783" s="102" t="n">
        <v>236</v>
      </c>
      <c r="Y783" s="124" t="n">
        <f aca="false">Y782+Y$16</f>
        <v>0.00304808259010313</v>
      </c>
      <c r="Z783" s="115" t="n">
        <f aca="false">(K-(L0-Y783*Ldif-alph*Y783^0.5))/R0</f>
        <v>0.943184923269021</v>
      </c>
      <c r="AA783" s="113" t="n">
        <f aca="false">IF(Z783&lt;1,X$14*((1-r_1)-Y$14*(1-r_1^2)+Z$14*(1-r_1^3)),0)</f>
        <v>56489.1765190737</v>
      </c>
      <c r="AB783" s="97" t="n">
        <f aca="false">AB782+AB$15</f>
        <v>0.00304808259010313</v>
      </c>
      <c r="AC783" s="115" t="n">
        <f aca="false">(Kopt-(L0-AB783*Ldif-alph*AB783^0.5))/R0</f>
        <v>0.943184923269021</v>
      </c>
      <c r="AD783" s="113" t="n">
        <f aca="false">IF(AC783&lt;1,X$14*((1-ropt)-Y$14*(1-ropt^2)+Z$14*(1-ropt^3)),0)</f>
        <v>56489.1765190737</v>
      </c>
    </row>
    <row r="784" customFormat="false" ht="12.75" hidden="false" customHeight="false" outlineLevel="0" collapsed="false">
      <c r="X784" s="102" t="n">
        <v>235</v>
      </c>
      <c r="Y784" s="124" t="n">
        <f aca="false">Y783+Y$16</f>
        <v>0.00305207222700117</v>
      </c>
      <c r="Z784" s="115" t="n">
        <f aca="false">(K-(L0-Y784*Ldif-alph*Y784^0.5))/R0</f>
        <v>0.943442924543733</v>
      </c>
      <c r="AA784" s="113" t="n">
        <f aca="false">IF(Z784&lt;1,X$14*((1-r_1)-Y$14*(1-r_1^2)+Z$14*(1-r_1^3)),0)</f>
        <v>55977.2987229032</v>
      </c>
      <c r="AB784" s="97" t="n">
        <f aca="false">AB783+AB$15</f>
        <v>0.00305207222700117</v>
      </c>
      <c r="AC784" s="115" t="n">
        <f aca="false">(Kopt-(L0-AB784*Ldif-alph*AB784^0.5))/R0</f>
        <v>0.943442924543733</v>
      </c>
      <c r="AD784" s="113" t="n">
        <f aca="false">IF(AC784&lt;1,X$14*((1-ropt)-Y$14*(1-ropt^2)+Z$14*(1-ropt^3)),0)</f>
        <v>55977.2987229032</v>
      </c>
    </row>
    <row r="785" customFormat="false" ht="12.75" hidden="false" customHeight="false" outlineLevel="0" collapsed="false">
      <c r="X785" s="102" t="n">
        <v>234</v>
      </c>
      <c r="Y785" s="124" t="n">
        <f aca="false">Y784+Y$16</f>
        <v>0.00305606186389921</v>
      </c>
      <c r="Z785" s="115" t="n">
        <f aca="false">(K-(L0-Y785*Ldif-alph*Y785^0.5))/R0</f>
        <v>0.943700757245938</v>
      </c>
      <c r="AA785" s="113" t="n">
        <f aca="false">IF(Z785&lt;1,X$14*((1-r_1)-Y$14*(1-r_1^2)+Z$14*(1-r_1^3)),0)</f>
        <v>55468.0828569132</v>
      </c>
      <c r="AB785" s="97" t="n">
        <f aca="false">AB784+AB$15</f>
        <v>0.00305606186389921</v>
      </c>
      <c r="AC785" s="115" t="n">
        <f aca="false">(Kopt-(L0-AB785*Ldif-alph*AB785^0.5))/R0</f>
        <v>0.943700757245938</v>
      </c>
      <c r="AD785" s="113" t="n">
        <f aca="false">IF(AC785&lt;1,X$14*((1-ropt)-Y$14*(1-ropt^2)+Z$14*(1-ropt^3)),0)</f>
        <v>55468.0828569132</v>
      </c>
    </row>
    <row r="786" customFormat="false" ht="12.75" hidden="false" customHeight="false" outlineLevel="0" collapsed="false">
      <c r="X786" s="102" t="n">
        <v>233</v>
      </c>
      <c r="Y786" s="124" t="n">
        <f aca="false">Y785+Y$16</f>
        <v>0.00306005150079725</v>
      </c>
      <c r="Z786" s="115" t="n">
        <f aca="false">(K-(L0-Y786*Ldif-alph*Y786^0.5))/R0</f>
        <v>0.943958421705638</v>
      </c>
      <c r="AA786" s="113" t="n">
        <f aca="false">IF(Z786&lt;1,X$14*((1-r_1)-Y$14*(1-r_1^2)+Z$14*(1-r_1^3)),0)</f>
        <v>54961.5237101553</v>
      </c>
      <c r="AB786" s="97" t="n">
        <f aca="false">AB785+AB$15</f>
        <v>0.00306005150079725</v>
      </c>
      <c r="AC786" s="115" t="n">
        <f aca="false">(Kopt-(L0-AB786*Ldif-alph*AB786^0.5))/R0</f>
        <v>0.943958421705638</v>
      </c>
      <c r="AD786" s="113" t="n">
        <f aca="false">IF(AC786&lt;1,X$14*((1-ropt)-Y$14*(1-ropt^2)+Z$14*(1-ropt^3)),0)</f>
        <v>54961.5237101553</v>
      </c>
    </row>
    <row r="787" customFormat="false" ht="12.75" hidden="false" customHeight="false" outlineLevel="0" collapsed="false">
      <c r="X787" s="102" t="n">
        <v>232</v>
      </c>
      <c r="Y787" s="124" t="n">
        <f aca="false">Y786+Y$16</f>
        <v>0.00306404113769529</v>
      </c>
      <c r="Z787" s="115" t="n">
        <f aca="false">(K-(L0-Y787*Ldif-alph*Y787^0.5))/R0</f>
        <v>0.944215918251748</v>
      </c>
      <c r="AA787" s="113" t="n">
        <f aca="false">IF(Z787&lt;1,X$14*((1-r_1)-Y$14*(1-r_1^2)+Z$14*(1-r_1^3)),0)</f>
        <v>54457.6160886756</v>
      </c>
      <c r="AB787" s="97" t="n">
        <f aca="false">AB786+AB$15</f>
        <v>0.00306404113769529</v>
      </c>
      <c r="AC787" s="115" t="n">
        <f aca="false">(Kopt-(L0-AB787*Ldif-alph*AB787^0.5))/R0</f>
        <v>0.944215918251748</v>
      </c>
      <c r="AD787" s="113" t="n">
        <f aca="false">IF(AC787&lt;1,X$14*((1-ropt)-Y$14*(1-ropt^2)+Z$14*(1-ropt^3)),0)</f>
        <v>54457.6160886756</v>
      </c>
    </row>
    <row r="788" customFormat="false" ht="12.75" hidden="false" customHeight="false" outlineLevel="0" collapsed="false">
      <c r="X788" s="102" t="n">
        <v>231</v>
      </c>
      <c r="Y788" s="124" t="n">
        <f aca="false">Y787+Y$16</f>
        <v>0.00306803077459333</v>
      </c>
      <c r="Z788" s="115" t="n">
        <f aca="false">(K-(L0-Y788*Ldif-alph*Y788^0.5))/R0</f>
        <v>0.944473247212119</v>
      </c>
      <c r="AA788" s="113" t="n">
        <f aca="false">IF(Z788&lt;1,X$14*((1-r_1)-Y$14*(1-r_1^2)+Z$14*(1-r_1^3)),0)</f>
        <v>53956.3548154137</v>
      </c>
      <c r="AB788" s="97" t="n">
        <f aca="false">AB787+AB$15</f>
        <v>0.00306803077459333</v>
      </c>
      <c r="AC788" s="115" t="n">
        <f aca="false">(Kopt-(L0-AB788*Ldif-alph*AB788^0.5))/R0</f>
        <v>0.944473247212119</v>
      </c>
      <c r="AD788" s="113" t="n">
        <f aca="false">IF(AC788&lt;1,X$14*((1-ropt)-Y$14*(1-ropt^2)+Z$14*(1-ropt^3)),0)</f>
        <v>53956.3548154137</v>
      </c>
    </row>
    <row r="789" customFormat="false" ht="12.75" hidden="false" customHeight="false" outlineLevel="0" collapsed="false">
      <c r="X789" s="102" t="n">
        <v>230</v>
      </c>
      <c r="Y789" s="124" t="n">
        <f aca="false">Y788+Y$16</f>
        <v>0.00307202041149137</v>
      </c>
      <c r="Z789" s="115" t="n">
        <f aca="false">(K-(L0-Y789*Ldif-alph*Y789^0.5))/R0</f>
        <v>0.944730408913533</v>
      </c>
      <c r="AA789" s="113" t="n">
        <f aca="false">IF(Z789&lt;1,X$14*((1-r_1)-Y$14*(1-r_1^2)+Z$14*(1-r_1^3)),0)</f>
        <v>53457.7347301424</v>
      </c>
      <c r="AB789" s="97" t="n">
        <f aca="false">AB788+AB$15</f>
        <v>0.00307202041149137</v>
      </c>
      <c r="AC789" s="115" t="n">
        <f aca="false">(Kopt-(L0-AB789*Ldif-alph*AB789^0.5))/R0</f>
        <v>0.944730408913533</v>
      </c>
      <c r="AD789" s="113" t="n">
        <f aca="false">IF(AC789&lt;1,X$14*((1-ropt)-Y$14*(1-ropt^2)+Z$14*(1-ropt^3)),0)</f>
        <v>53457.7347301424</v>
      </c>
    </row>
    <row r="790" customFormat="false" ht="12.75" hidden="false" customHeight="false" outlineLevel="0" collapsed="false">
      <c r="X790" s="102" t="n">
        <v>229</v>
      </c>
      <c r="Y790" s="124" t="n">
        <f aca="false">Y789+Y$16</f>
        <v>0.00307601004838941</v>
      </c>
      <c r="Z790" s="115" t="n">
        <f aca="false">(K-(L0-Y790*Ldif-alph*Y790^0.5))/R0</f>
        <v>0.94498740368172</v>
      </c>
      <c r="AA790" s="113" t="n">
        <f aca="false">IF(Z790&lt;1,X$14*((1-r_1)-Y$14*(1-r_1^2)+Z$14*(1-r_1^3)),0)</f>
        <v>52961.7506893665</v>
      </c>
      <c r="AB790" s="97" t="n">
        <f aca="false">AB789+AB$15</f>
        <v>0.00307601004838941</v>
      </c>
      <c r="AC790" s="115" t="n">
        <f aca="false">(Kopt-(L0-AB790*Ldif-alph*AB790^0.5))/R0</f>
        <v>0.94498740368172</v>
      </c>
      <c r="AD790" s="113" t="n">
        <f aca="false">IF(AC790&lt;1,X$14*((1-ropt)-Y$14*(1-ropt^2)+Z$14*(1-ropt^3)),0)</f>
        <v>52961.7506893665</v>
      </c>
    </row>
    <row r="791" customFormat="false" ht="12.75" hidden="false" customHeight="false" outlineLevel="0" collapsed="false">
      <c r="X791" s="102" t="n">
        <v>228</v>
      </c>
      <c r="Y791" s="124" t="n">
        <f aca="false">Y790+Y$16</f>
        <v>0.00307999968528745</v>
      </c>
      <c r="Z791" s="115" t="n">
        <f aca="false">(K-(L0-Y791*Ldif-alph*Y791^0.5))/R0</f>
        <v>0.94524423184134</v>
      </c>
      <c r="AA791" s="113" t="n">
        <f aca="false">IF(Z791&lt;1,X$14*((1-r_1)-Y$14*(1-r_1^2)+Z$14*(1-r_1^3)),0)</f>
        <v>52468.3975662863</v>
      </c>
      <c r="AB791" s="97" t="n">
        <f aca="false">AB790+AB$15</f>
        <v>0.00307999968528745</v>
      </c>
      <c r="AC791" s="115" t="n">
        <f aca="false">(Kopt-(L0-AB791*Ldif-alph*AB791^0.5))/R0</f>
        <v>0.94524423184134</v>
      </c>
      <c r="AD791" s="113" t="n">
        <f aca="false">IF(AC791&lt;1,X$14*((1-ropt)-Y$14*(1-ropt^2)+Z$14*(1-ropt^3)),0)</f>
        <v>52468.3975662863</v>
      </c>
    </row>
    <row r="792" customFormat="false" ht="12.75" hidden="false" customHeight="false" outlineLevel="0" collapsed="false">
      <c r="X792" s="102" t="n">
        <v>227</v>
      </c>
      <c r="Y792" s="124" t="n">
        <f aca="false">Y791+Y$16</f>
        <v>0.00308398932218549</v>
      </c>
      <c r="Z792" s="115" t="n">
        <f aca="false">(K-(L0-Y792*Ldif-alph*Y792^0.5))/R0</f>
        <v>0.945500893716014</v>
      </c>
      <c r="AA792" s="113" t="n">
        <f aca="false">IF(Z792&lt;1,X$14*((1-r_1)-Y$14*(1-r_1^2)+Z$14*(1-r_1^3)),0)</f>
        <v>51977.6702506805</v>
      </c>
      <c r="AB792" s="97" t="n">
        <f aca="false">AB791+AB$15</f>
        <v>0.00308398932218549</v>
      </c>
      <c r="AC792" s="115" t="n">
        <f aca="false">(Kopt-(L0-AB792*Ldif-alph*AB792^0.5))/R0</f>
        <v>0.945500893716014</v>
      </c>
      <c r="AD792" s="113" t="n">
        <f aca="false">IF(AC792&lt;1,X$14*((1-ropt)-Y$14*(1-ropt^2)+Z$14*(1-ropt^3)),0)</f>
        <v>51977.6702506805</v>
      </c>
    </row>
    <row r="793" customFormat="false" ht="12.75" hidden="false" customHeight="false" outlineLevel="0" collapsed="false">
      <c r="X793" s="102" t="n">
        <v>226</v>
      </c>
      <c r="Y793" s="124" t="n">
        <f aca="false">Y792+Y$16</f>
        <v>0.00308797895908353</v>
      </c>
      <c r="Z793" s="115" t="n">
        <f aca="false">(K-(L0-Y793*Ldif-alph*Y793^0.5))/R0</f>
        <v>0.945757389628312</v>
      </c>
      <c r="AA793" s="113" t="n">
        <f aca="false">IF(Z793&lt;1,X$14*((1-r_1)-Y$14*(1-r_1^2)+Z$14*(1-r_1^3)),0)</f>
        <v>51489.5636488583</v>
      </c>
      <c r="AB793" s="97" t="n">
        <f aca="false">AB792+AB$15</f>
        <v>0.00308797895908353</v>
      </c>
      <c r="AC793" s="115" t="n">
        <f aca="false">(Kopt-(L0-AB793*Ldif-alph*AB793^0.5))/R0</f>
        <v>0.945757389628312</v>
      </c>
      <c r="AD793" s="113" t="n">
        <f aca="false">IF(AC793&lt;1,X$14*((1-ropt)-Y$14*(1-ropt^2)+Z$14*(1-ropt^3)),0)</f>
        <v>51489.5636488583</v>
      </c>
    </row>
    <row r="794" customFormat="false" ht="12.75" hidden="false" customHeight="false" outlineLevel="0" collapsed="false">
      <c r="X794" s="102" t="n">
        <v>225</v>
      </c>
      <c r="Y794" s="124" t="n">
        <f aca="false">Y793+Y$16</f>
        <v>0.00309196859598158</v>
      </c>
      <c r="Z794" s="115" t="n">
        <f aca="false">(K-(L0-Y794*Ldif-alph*Y794^0.5))/R0</f>
        <v>0.946013719899761</v>
      </c>
      <c r="AA794" s="113" t="n">
        <f aca="false">IF(Z794&lt;1,X$14*((1-r_1)-Y$14*(1-r_1^2)+Z$14*(1-r_1^3)),0)</f>
        <v>51004.072683577</v>
      </c>
      <c r="AB794" s="97" t="n">
        <f aca="false">AB793+AB$15</f>
        <v>0.00309196859598158</v>
      </c>
      <c r="AC794" s="115" t="n">
        <f aca="false">(Kopt-(L0-AB794*Ldif-alph*AB794^0.5))/R0</f>
        <v>0.946013719899761</v>
      </c>
      <c r="AD794" s="113" t="n">
        <f aca="false">IF(AC794&lt;1,X$14*((1-ropt)-Y$14*(1-ropt^2)+Z$14*(1-ropt^3)),0)</f>
        <v>51004.072683577</v>
      </c>
    </row>
    <row r="795" customFormat="false" ht="12.75" hidden="false" customHeight="false" outlineLevel="0" collapsed="false">
      <c r="X795" s="102" t="n">
        <v>224</v>
      </c>
      <c r="Y795" s="124" t="n">
        <f aca="false">Y794+Y$16</f>
        <v>0.00309595823287962</v>
      </c>
      <c r="Z795" s="115" t="n">
        <f aca="false">(K-(L0-Y795*Ldif-alph*Y795^0.5))/R0</f>
        <v>0.946269884850857</v>
      </c>
      <c r="AA795" s="113" t="n">
        <f aca="false">IF(Z795&lt;1,X$14*((1-r_1)-Y$14*(1-r_1^2)+Z$14*(1-r_1^3)),0)</f>
        <v>50521.1922939533</v>
      </c>
      <c r="AB795" s="97" t="n">
        <f aca="false">AB794+AB$15</f>
        <v>0.00309595823287962</v>
      </c>
      <c r="AC795" s="115" t="n">
        <f aca="false">(Kopt-(L0-AB795*Ldif-alph*AB795^0.5))/R0</f>
        <v>0.946269884850857</v>
      </c>
      <c r="AD795" s="113" t="n">
        <f aca="false">IF(AC795&lt;1,X$14*((1-ropt)-Y$14*(1-ropt^2)+Z$14*(1-ropt^3)),0)</f>
        <v>50521.1922939533</v>
      </c>
    </row>
    <row r="796" customFormat="false" ht="12.75" hidden="false" customHeight="false" outlineLevel="0" collapsed="false">
      <c r="X796" s="102" t="n">
        <v>223</v>
      </c>
      <c r="Y796" s="124" t="n">
        <f aca="false">Y795+Y$16</f>
        <v>0.00309994786977766</v>
      </c>
      <c r="Z796" s="115" t="n">
        <f aca="false">(K-(L0-Y796*Ldif-alph*Y796^0.5))/R0</f>
        <v>0.946525884801054</v>
      </c>
      <c r="AA796" s="113" t="n">
        <f aca="false">IF(Z796&lt;1,X$14*((1-r_1)-Y$14*(1-r_1^2)+Z$14*(1-r_1^3)),0)</f>
        <v>50040.917435428</v>
      </c>
      <c r="AB796" s="97" t="n">
        <f aca="false">AB795+AB$15</f>
        <v>0.00309994786977766</v>
      </c>
      <c r="AC796" s="115" t="n">
        <f aca="false">(Kopt-(L0-AB796*Ldif-alph*AB796^0.5))/R0</f>
        <v>0.946525884801054</v>
      </c>
      <c r="AD796" s="113" t="n">
        <f aca="false">IF(AC796&lt;1,X$14*((1-ropt)-Y$14*(1-ropt^2)+Z$14*(1-ropt^3)),0)</f>
        <v>50040.917435428</v>
      </c>
    </row>
    <row r="797" customFormat="false" ht="12.75" hidden="false" customHeight="false" outlineLevel="0" collapsed="false">
      <c r="X797" s="102" t="n">
        <v>222</v>
      </c>
      <c r="Y797" s="124" t="n">
        <f aca="false">Y796+Y$16</f>
        <v>0.0031039375066757</v>
      </c>
      <c r="Z797" s="115" t="n">
        <f aca="false">(K-(L0-Y797*Ldif-alph*Y797^0.5))/R0</f>
        <v>0.94678172006879</v>
      </c>
      <c r="AA797" s="113" t="n">
        <f aca="false">IF(Z797&lt;1,X$14*((1-r_1)-Y$14*(1-r_1^2)+Z$14*(1-r_1^3)),0)</f>
        <v>49563.2430796417</v>
      </c>
      <c r="AB797" s="97" t="n">
        <f aca="false">AB796+AB$15</f>
        <v>0.0031039375066757</v>
      </c>
      <c r="AC797" s="115" t="n">
        <f aca="false">(Kopt-(L0-AB797*Ldif-alph*AB797^0.5))/R0</f>
        <v>0.94678172006879</v>
      </c>
      <c r="AD797" s="113" t="n">
        <f aca="false">IF(AC797&lt;1,X$14*((1-ropt)-Y$14*(1-ropt^2)+Z$14*(1-ropt^3)),0)</f>
        <v>49563.2430796417</v>
      </c>
    </row>
    <row r="798" customFormat="false" ht="12.75" hidden="false" customHeight="false" outlineLevel="0" collapsed="false">
      <c r="X798" s="102" t="n">
        <v>221</v>
      </c>
      <c r="Y798" s="124" t="n">
        <f aca="false">Y797+Y$16</f>
        <v>0.00310792714357374</v>
      </c>
      <c r="Z798" s="115" t="n">
        <f aca="false">(K-(L0-Y798*Ldif-alph*Y798^0.5))/R0</f>
        <v>0.947037390971469</v>
      </c>
      <c r="AA798" s="113" t="n">
        <f aca="false">IF(Z798&lt;1,X$14*((1-r_1)-Y$14*(1-r_1^2)+Z$14*(1-r_1^3)),0)</f>
        <v>49088.1642144075</v>
      </c>
      <c r="AB798" s="97" t="n">
        <f aca="false">AB797+AB$15</f>
        <v>0.00310792714357374</v>
      </c>
      <c r="AC798" s="115" t="n">
        <f aca="false">(Kopt-(L0-AB798*Ldif-alph*AB798^0.5))/R0</f>
        <v>0.947037390971469</v>
      </c>
      <c r="AD798" s="113" t="n">
        <f aca="false">IF(AC798&lt;1,X$14*((1-ropt)-Y$14*(1-ropt^2)+Z$14*(1-ropt^3)),0)</f>
        <v>49088.1642144075</v>
      </c>
    </row>
    <row r="799" customFormat="false" ht="12.75" hidden="false" customHeight="false" outlineLevel="0" collapsed="false">
      <c r="X799" s="102" t="n">
        <v>220</v>
      </c>
      <c r="Y799" s="124" t="n">
        <f aca="false">Y798+Y$16</f>
        <v>0.00311191678047178</v>
      </c>
      <c r="Z799" s="115" t="n">
        <f aca="false">(K-(L0-Y799*Ldif-alph*Y799^0.5))/R0</f>
        <v>0.947292897825487</v>
      </c>
      <c r="AA799" s="113" t="n">
        <f aca="false">IF(Z799&lt;1,X$14*((1-r_1)-Y$14*(1-r_1^2)+Z$14*(1-r_1^3)),0)</f>
        <v>48615.6758436046</v>
      </c>
      <c r="AB799" s="97" t="n">
        <f aca="false">AB798+AB$15</f>
        <v>0.00311191678047178</v>
      </c>
      <c r="AC799" s="115" t="n">
        <f aca="false">(Kopt-(L0-AB799*Ldif-alph*AB799^0.5))/R0</f>
        <v>0.947292897825487</v>
      </c>
      <c r="AD799" s="113" t="n">
        <f aca="false">IF(AC799&lt;1,X$14*((1-ropt)-Y$14*(1-ropt^2)+Z$14*(1-ropt^3)),0)</f>
        <v>48615.6758436046</v>
      </c>
    </row>
    <row r="800" customFormat="false" ht="12.75" hidden="false" customHeight="false" outlineLevel="0" collapsed="false">
      <c r="X800" s="102" t="n">
        <v>219</v>
      </c>
      <c r="Y800" s="124" t="n">
        <f aca="false">Y799+Y$16</f>
        <v>0.00311590641736982</v>
      </c>
      <c r="Z800" s="115" t="n">
        <f aca="false">(K-(L0-Y800*Ldif-alph*Y800^0.5))/R0</f>
        <v>0.947548240946217</v>
      </c>
      <c r="AA800" s="113" t="n">
        <f aca="false">IF(Z800&lt;1,X$14*((1-r_1)-Y$14*(1-r_1^2)+Z$14*(1-r_1^3)),0)</f>
        <v>48145.7729871329</v>
      </c>
      <c r="AB800" s="97" t="n">
        <f aca="false">AB799+AB$15</f>
        <v>0.00311590641736982</v>
      </c>
      <c r="AC800" s="115" t="n">
        <f aca="false">(Kopt-(L0-AB800*Ldif-alph*AB800^0.5))/R0</f>
        <v>0.947548240946217</v>
      </c>
      <c r="AD800" s="113" t="n">
        <f aca="false">IF(AC800&lt;1,X$14*((1-ropt)-Y$14*(1-ropt^2)+Z$14*(1-ropt^3)),0)</f>
        <v>48145.7729871329</v>
      </c>
    </row>
    <row r="801" customFormat="false" ht="12.75" hidden="false" customHeight="false" outlineLevel="0" collapsed="false">
      <c r="X801" s="102" t="n">
        <v>218</v>
      </c>
      <c r="Y801" s="124" t="n">
        <f aca="false">Y800+Y$16</f>
        <v>0.00311989605426786</v>
      </c>
      <c r="Z801" s="115" t="n">
        <f aca="false">(K-(L0-Y801*Ldif-alph*Y801^0.5))/R0</f>
        <v>0.947803420648031</v>
      </c>
      <c r="AA801" s="113" t="n">
        <f aca="false">IF(Z801&lt;1,X$14*((1-r_1)-Y$14*(1-r_1^2)+Z$14*(1-r_1^3)),0)</f>
        <v>47678.4506808126</v>
      </c>
      <c r="AB801" s="97" t="n">
        <f aca="false">AB800+AB$15</f>
        <v>0.00311989605426786</v>
      </c>
      <c r="AC801" s="115" t="n">
        <f aca="false">(Kopt-(L0-AB801*Ldif-alph*AB801^0.5))/R0</f>
        <v>0.947803420648031</v>
      </c>
      <c r="AD801" s="113" t="n">
        <f aca="false">IF(AC801&lt;1,X$14*((1-ropt)-Y$14*(1-ropt^2)+Z$14*(1-ropt^3)),0)</f>
        <v>47678.4506808126</v>
      </c>
    </row>
    <row r="802" customFormat="false" ht="12.75" hidden="false" customHeight="false" outlineLevel="0" collapsed="false">
      <c r="X802" s="102" t="n">
        <v>217</v>
      </c>
      <c r="Y802" s="124" t="n">
        <f aca="false">Y801+Y$16</f>
        <v>0.0031238856911659</v>
      </c>
      <c r="Z802" s="115" t="n">
        <f aca="false">(K-(L0-Y802*Ldif-alph*Y802^0.5))/R0</f>
        <v>0.948058437244287</v>
      </c>
      <c r="AA802" s="113" t="n">
        <f aca="false">IF(Z802&lt;1,X$14*((1-r_1)-Y$14*(1-r_1^2)+Z$14*(1-r_1^3)),0)</f>
        <v>47213.7039763507</v>
      </c>
      <c r="AB802" s="97" t="n">
        <f aca="false">AB801+AB$15</f>
        <v>0.0031238856911659</v>
      </c>
      <c r="AC802" s="115" t="n">
        <f aca="false">(Kopt-(L0-AB802*Ldif-alph*AB802^0.5))/R0</f>
        <v>0.948058437244287</v>
      </c>
      <c r="AD802" s="113" t="n">
        <f aca="false">IF(AC802&lt;1,X$14*((1-ropt)-Y$14*(1-ropt^2)+Z$14*(1-ropt^3)),0)</f>
        <v>47213.7039763507</v>
      </c>
    </row>
    <row r="803" customFormat="false" ht="12.75" hidden="false" customHeight="false" outlineLevel="0" collapsed="false">
      <c r="X803" s="102" t="n">
        <v>216</v>
      </c>
      <c r="Y803" s="124" t="n">
        <f aca="false">Y802+Y$16</f>
        <v>0.00312787532806394</v>
      </c>
      <c r="Z803" s="115" t="n">
        <f aca="false">(K-(L0-Y803*Ldif-alph*Y803^0.5))/R0</f>
        <v>0.948313291047355</v>
      </c>
      <c r="AA803" s="113" t="n">
        <f aca="false">IF(Z803&lt;1,X$14*((1-r_1)-Y$14*(1-r_1^2)+Z$14*(1-r_1^3)),0)</f>
        <v>46751.5279412209</v>
      </c>
      <c r="AB803" s="97" t="n">
        <f aca="false">AB802+AB$15</f>
        <v>0.00312787532806394</v>
      </c>
      <c r="AC803" s="115" t="n">
        <f aca="false">(Kopt-(L0-AB803*Ldif-alph*AB803^0.5))/R0</f>
        <v>0.948313291047355</v>
      </c>
      <c r="AD803" s="113" t="n">
        <f aca="false">IF(AC803&lt;1,X$14*((1-ropt)-Y$14*(1-ropt^2)+Z$14*(1-ropt^3)),0)</f>
        <v>46751.5279412209</v>
      </c>
    </row>
    <row r="804" customFormat="false" ht="12.75" hidden="false" customHeight="false" outlineLevel="0" collapsed="false">
      <c r="X804" s="102" t="n">
        <v>215</v>
      </c>
      <c r="Y804" s="124" t="n">
        <f aca="false">Y803+Y$16</f>
        <v>0.00313186496496198</v>
      </c>
      <c r="Z804" s="115" t="n">
        <f aca="false">(K-(L0-Y804*Ldif-alph*Y804^0.5))/R0</f>
        <v>0.948567982368597</v>
      </c>
      <c r="AA804" s="113" t="n">
        <f aca="false">IF(Z804&lt;1,X$14*((1-r_1)-Y$14*(1-r_1^2)+Z$14*(1-r_1^3)),0)</f>
        <v>46291.917658646</v>
      </c>
      <c r="AB804" s="97" t="n">
        <f aca="false">AB803+AB$15</f>
        <v>0.00313186496496198</v>
      </c>
      <c r="AC804" s="115" t="n">
        <f aca="false">(Kopt-(L0-AB804*Ldif-alph*AB804^0.5))/R0</f>
        <v>0.948567982368597</v>
      </c>
      <c r="AD804" s="113" t="n">
        <f aca="false">IF(AC804&lt;1,X$14*((1-ropt)-Y$14*(1-ropt^2)+Z$14*(1-ropt^3)),0)</f>
        <v>46291.917658646</v>
      </c>
    </row>
    <row r="805" customFormat="false" ht="12.75" hidden="false" customHeight="false" outlineLevel="0" collapsed="false">
      <c r="X805" s="102" t="n">
        <v>214</v>
      </c>
      <c r="Y805" s="124" t="n">
        <f aca="false">Y804+Y$16</f>
        <v>0.00313585460186002</v>
      </c>
      <c r="Z805" s="115" t="n">
        <f aca="false">(K-(L0-Y805*Ldif-alph*Y805^0.5))/R0</f>
        <v>0.948822511518393</v>
      </c>
      <c r="AA805" s="113" t="n">
        <f aca="false">IF(Z805&lt;1,X$14*((1-r_1)-Y$14*(1-r_1^2)+Z$14*(1-r_1^3)),0)</f>
        <v>45834.868227489</v>
      </c>
      <c r="AB805" s="97" t="n">
        <f aca="false">AB804+AB$15</f>
        <v>0.00313585460186002</v>
      </c>
      <c r="AC805" s="115" t="n">
        <f aca="false">(Kopt-(L0-AB805*Ldif-alph*AB805^0.5))/R0</f>
        <v>0.948822511518393</v>
      </c>
      <c r="AD805" s="113" t="n">
        <f aca="false">IF(AC805&lt;1,X$14*((1-ropt)-Y$14*(1-ropt^2)+Z$14*(1-ropt^3)),0)</f>
        <v>45834.868227489</v>
      </c>
    </row>
    <row r="806" customFormat="false" ht="12.75" hidden="false" customHeight="false" outlineLevel="0" collapsed="false">
      <c r="X806" s="102" t="n">
        <v>213</v>
      </c>
      <c r="Y806" s="124" t="n">
        <f aca="false">Y805+Y$16</f>
        <v>0.00313984423875806</v>
      </c>
      <c r="Z806" s="115" t="n">
        <f aca="false">(K-(L0-Y806*Ldif-alph*Y806^0.5))/R0</f>
        <v>0.949076878806129</v>
      </c>
      <c r="AA806" s="113" t="n">
        <f aca="false">IF(Z806&lt;1,X$14*((1-r_1)-Y$14*(1-r_1^2)+Z$14*(1-r_1^3)),0)</f>
        <v>45380.3747621987</v>
      </c>
      <c r="AB806" s="97" t="n">
        <f aca="false">AB805+AB$15</f>
        <v>0.00313984423875806</v>
      </c>
      <c r="AC806" s="115" t="n">
        <f aca="false">(Kopt-(L0-AB806*Ldif-alph*AB806^0.5))/R0</f>
        <v>0.949076878806129</v>
      </c>
      <c r="AD806" s="113" t="n">
        <f aca="false">IF(AC806&lt;1,X$14*((1-ropt)-Y$14*(1-ropt^2)+Z$14*(1-ropt^3)),0)</f>
        <v>45380.3747621987</v>
      </c>
    </row>
    <row r="807" customFormat="false" ht="12.75" hidden="false" customHeight="false" outlineLevel="0" collapsed="false">
      <c r="X807" s="102" t="n">
        <v>212</v>
      </c>
      <c r="Y807" s="124" t="n">
        <f aca="false">Y806+Y$16</f>
        <v>0.0031438338756561</v>
      </c>
      <c r="Z807" s="115" t="n">
        <f aca="false">(K-(L0-Y807*Ldif-alph*Y807^0.5))/R0</f>
        <v>0.949331084540213</v>
      </c>
      <c r="AA807" s="113" t="n">
        <f aca="false">IF(Z807&lt;1,X$14*((1-r_1)-Y$14*(1-r_1^2)+Z$14*(1-r_1^3)),0)</f>
        <v>44928.4323927418</v>
      </c>
      <c r="AB807" s="97" t="n">
        <f aca="false">AB806+AB$15</f>
        <v>0.0031438338756561</v>
      </c>
      <c r="AC807" s="115" t="n">
        <f aca="false">(Kopt-(L0-AB807*Ldif-alph*AB807^0.5))/R0</f>
        <v>0.949331084540213</v>
      </c>
      <c r="AD807" s="113" t="n">
        <f aca="false">IF(AC807&lt;1,X$14*((1-ropt)-Y$14*(1-ropt^2)+Z$14*(1-ropt^3)),0)</f>
        <v>44928.4323927418</v>
      </c>
    </row>
    <row r="808" customFormat="false" ht="12.75" hidden="false" customHeight="false" outlineLevel="0" collapsed="false">
      <c r="X808" s="102" t="n">
        <v>211</v>
      </c>
      <c r="Y808" s="124" t="n">
        <f aca="false">Y807+Y$16</f>
        <v>0.00314782351255414</v>
      </c>
      <c r="Z808" s="115" t="n">
        <f aca="false">(K-(L0-Y808*Ldif-alph*Y808^0.5))/R0</f>
        <v>0.949585129028074</v>
      </c>
      <c r="AA808" s="113" t="n">
        <f aca="false">IF(Z808&lt;1,X$14*((1-r_1)-Y$14*(1-r_1^2)+Z$14*(1-r_1^3)),0)</f>
        <v>44479.0362645292</v>
      </c>
      <c r="AB808" s="97" t="n">
        <f aca="false">AB807+AB$15</f>
        <v>0.00314782351255414</v>
      </c>
      <c r="AC808" s="115" t="n">
        <f aca="false">(Kopt-(L0-AB808*Ldif-alph*AB808^0.5))/R0</f>
        <v>0.949585129028074</v>
      </c>
      <c r="AD808" s="113" t="n">
        <f aca="false">IF(AC808&lt;1,X$14*((1-ropt)-Y$14*(1-ropt^2)+Z$14*(1-ropt^3)),0)</f>
        <v>44479.0362645292</v>
      </c>
    </row>
    <row r="809" customFormat="false" ht="12.75" hidden="false" customHeight="false" outlineLevel="0" collapsed="false">
      <c r="X809" s="102" t="n">
        <v>210</v>
      </c>
      <c r="Y809" s="124" t="n">
        <f aca="false">Y808+Y$16</f>
        <v>0.00315181314945218</v>
      </c>
      <c r="Z809" s="115" t="n">
        <f aca="false">(K-(L0-Y809*Ldif-alph*Y809^0.5))/R0</f>
        <v>0.949839012576169</v>
      </c>
      <c r="AA809" s="113" t="n">
        <f aca="false">IF(Z809&lt;1,X$14*((1-r_1)-Y$14*(1-r_1^2)+Z$14*(1-r_1^3)),0)</f>
        <v>44032.1815383399</v>
      </c>
      <c r="AB809" s="97" t="n">
        <f aca="false">AB808+AB$15</f>
        <v>0.00315181314945218</v>
      </c>
      <c r="AC809" s="115" t="n">
        <f aca="false">(Kopt-(L0-AB809*Ldif-alph*AB809^0.5))/R0</f>
        <v>0.949839012576169</v>
      </c>
      <c r="AD809" s="113" t="n">
        <f aca="false">IF(AC809&lt;1,X$14*((1-ropt)-Y$14*(1-ropt^2)+Z$14*(1-ropt^3)),0)</f>
        <v>44032.1815383399</v>
      </c>
    </row>
    <row r="810" customFormat="false" ht="12.75" hidden="false" customHeight="false" outlineLevel="0" collapsed="false">
      <c r="X810" s="102" t="n">
        <v>209</v>
      </c>
      <c r="Y810" s="124" t="n">
        <f aca="false">Y809+Y$16</f>
        <v>0.00315580278635023</v>
      </c>
      <c r="Z810" s="115" t="n">
        <f aca="false">(K-(L0-Y810*Ldif-alph*Y810^0.5))/R0</f>
        <v>0.950092735489978</v>
      </c>
      <c r="AA810" s="113" t="n">
        <f aca="false">IF(Z810&lt;1,X$14*((1-r_1)-Y$14*(1-r_1^2)+Z$14*(1-r_1^3)),0)</f>
        <v>43587.8633902823</v>
      </c>
      <c r="AB810" s="97" t="n">
        <f aca="false">AB809+AB$15</f>
        <v>0.00315580278635023</v>
      </c>
      <c r="AC810" s="115" t="n">
        <f aca="false">(Kopt-(L0-AB810*Ldif-alph*AB810^0.5))/R0</f>
        <v>0.950092735489978</v>
      </c>
      <c r="AD810" s="113" t="n">
        <f aca="false">IF(AC810&lt;1,X$14*((1-ropt)-Y$14*(1-ropt^2)+Z$14*(1-ropt^3)),0)</f>
        <v>43587.8633902823</v>
      </c>
    </row>
    <row r="811" customFormat="false" ht="12.75" hidden="false" customHeight="false" outlineLevel="0" collapsed="false">
      <c r="X811" s="102" t="n">
        <v>208</v>
      </c>
      <c r="Y811" s="124" t="n">
        <f aca="false">Y810+Y$16</f>
        <v>0.00315979242324827</v>
      </c>
      <c r="Z811" s="115" t="n">
        <f aca="false">(K-(L0-Y811*Ldif-alph*Y811^0.5))/R0</f>
        <v>0.950346298074025</v>
      </c>
      <c r="AA811" s="113" t="n">
        <f aca="false">IF(Z811&lt;1,X$14*((1-r_1)-Y$14*(1-r_1^2)+Z$14*(1-r_1^3)),0)</f>
        <v>43146.0770116873</v>
      </c>
      <c r="AB811" s="97" t="n">
        <f aca="false">AB810+AB$15</f>
        <v>0.00315979242324827</v>
      </c>
      <c r="AC811" s="115" t="n">
        <f aca="false">(Kopt-(L0-AB811*Ldif-alph*AB811^0.5))/R0</f>
        <v>0.950346298074025</v>
      </c>
      <c r="AD811" s="113" t="n">
        <f aca="false">IF(AC811&lt;1,X$14*((1-ropt)-Y$14*(1-ropt^2)+Z$14*(1-ropt^3)),0)</f>
        <v>43146.0770116873</v>
      </c>
    </row>
    <row r="812" customFormat="false" ht="12.75" hidden="false" customHeight="false" outlineLevel="0" collapsed="false">
      <c r="X812" s="102" t="n">
        <v>207</v>
      </c>
      <c r="Y812" s="124" t="n">
        <f aca="false">Y811+Y$16</f>
        <v>0.00316378206014631</v>
      </c>
      <c r="Z812" s="115" t="n">
        <f aca="false">(K-(L0-Y812*Ldif-alph*Y812^0.5))/R0</f>
        <v>0.950599700631867</v>
      </c>
      <c r="AA812" s="113" t="n">
        <f aca="false">IF(Z812&lt;1,X$14*((1-r_1)-Y$14*(1-r_1^2)+Z$14*(1-r_1^3)),0)</f>
        <v>42706.8176090698</v>
      </c>
      <c r="AB812" s="97" t="n">
        <f aca="false">AB811+AB$15</f>
        <v>0.00316378206014631</v>
      </c>
      <c r="AC812" s="115" t="n">
        <f aca="false">(Kopt-(L0-AB812*Ldif-alph*AB812^0.5))/R0</f>
        <v>0.950599700631867</v>
      </c>
      <c r="AD812" s="113" t="n">
        <f aca="false">IF(AC812&lt;1,X$14*((1-ropt)-Y$14*(1-ropt^2)+Z$14*(1-ropt^3)),0)</f>
        <v>42706.8176090698</v>
      </c>
    </row>
    <row r="813" customFormat="false" ht="12.75" hidden="false" customHeight="false" outlineLevel="0" collapsed="false">
      <c r="X813" s="102" t="n">
        <v>206</v>
      </c>
      <c r="Y813" s="124" t="n">
        <f aca="false">Y812+Y$16</f>
        <v>0.00316777169704435</v>
      </c>
      <c r="Z813" s="115" t="n">
        <f aca="false">(K-(L0-Y813*Ldif-alph*Y813^0.5))/R0</f>
        <v>0.950852943466111</v>
      </c>
      <c r="AA813" s="113" t="n">
        <f aca="false">IF(Z813&lt;1,X$14*((1-r_1)-Y$14*(1-r_1^2)+Z$14*(1-r_1^3)),0)</f>
        <v>42270.0804040424</v>
      </c>
      <c r="AB813" s="97" t="n">
        <f aca="false">AB812+AB$15</f>
        <v>0.00316777169704435</v>
      </c>
      <c r="AC813" s="115" t="n">
        <f aca="false">(Kopt-(L0-AB813*Ldif-alph*AB813^0.5))/R0</f>
        <v>0.950852943466111</v>
      </c>
      <c r="AD813" s="113" t="n">
        <f aca="false">IF(AC813&lt;1,X$14*((1-ropt)-Y$14*(1-ropt^2)+Z$14*(1-ropt^3)),0)</f>
        <v>42270.0804040424</v>
      </c>
    </row>
    <row r="814" customFormat="false" ht="12.75" hidden="false" customHeight="false" outlineLevel="0" collapsed="false">
      <c r="X814" s="102" t="n">
        <v>205</v>
      </c>
      <c r="Y814" s="124" t="n">
        <f aca="false">Y813+Y$16</f>
        <v>0.00317176133394239</v>
      </c>
      <c r="Z814" s="115" t="n">
        <f aca="false">(K-(L0-Y814*Ldif-alph*Y814^0.5))/R0</f>
        <v>0.9511060268784</v>
      </c>
      <c r="AA814" s="113" t="n">
        <f aca="false">IF(Z814&lt;1,X$14*((1-r_1)-Y$14*(1-r_1^2)+Z$14*(1-r_1^3)),0)</f>
        <v>41835.8606332756</v>
      </c>
      <c r="AB814" s="97" t="n">
        <f aca="false">AB813+AB$15</f>
        <v>0.00317176133394239</v>
      </c>
      <c r="AC814" s="115" t="n">
        <f aca="false">(Kopt-(L0-AB814*Ldif-alph*AB814^0.5))/R0</f>
        <v>0.9511060268784</v>
      </c>
      <c r="AD814" s="113" t="n">
        <f aca="false">IF(AC814&lt;1,X$14*((1-ropt)-Y$14*(1-ropt^2)+Z$14*(1-ropt^3)),0)</f>
        <v>41835.8606332756</v>
      </c>
    </row>
    <row r="815" customFormat="false" ht="12.75" hidden="false" customHeight="false" outlineLevel="0" collapsed="false">
      <c r="X815" s="102" t="n">
        <v>204</v>
      </c>
      <c r="Y815" s="124" t="n">
        <f aca="false">Y814+Y$16</f>
        <v>0.00317575097084043</v>
      </c>
      <c r="Z815" s="115" t="n">
        <f aca="false">(K-(L0-Y815*Ldif-alph*Y815^0.5))/R0</f>
        <v>0.951358951169442</v>
      </c>
      <c r="AA815" s="113" t="n">
        <f aca="false">IF(Z815&lt;1,X$14*((1-r_1)-Y$14*(1-r_1^2)+Z$14*(1-r_1^3)),0)</f>
        <v>41404.153548392</v>
      </c>
      <c r="AB815" s="97" t="n">
        <f aca="false">AB814+AB$15</f>
        <v>0.00317575097084043</v>
      </c>
      <c r="AC815" s="115" t="n">
        <f aca="false">(Kopt-(L0-AB815*Ldif-alph*AB815^0.5))/R0</f>
        <v>0.951358951169442</v>
      </c>
      <c r="AD815" s="113" t="n">
        <f aca="false">IF(AC815&lt;1,X$14*((1-ropt)-Y$14*(1-ropt^2)+Z$14*(1-ropt^3)),0)</f>
        <v>41404.153548392</v>
      </c>
    </row>
    <row r="816" customFormat="false" ht="12.75" hidden="false" customHeight="false" outlineLevel="0" collapsed="false">
      <c r="X816" s="102" t="n">
        <v>203</v>
      </c>
      <c r="Y816" s="124" t="n">
        <f aca="false">Y815+Y$16</f>
        <v>0.00317974060773847</v>
      </c>
      <c r="Z816" s="115" t="n">
        <f aca="false">(K-(L0-Y816*Ldif-alph*Y816^0.5))/R0</f>
        <v>0.951611716638991</v>
      </c>
      <c r="AA816" s="113" t="n">
        <f aca="false">IF(Z816&lt;1,X$14*((1-r_1)-Y$14*(1-r_1^2)+Z$14*(1-r_1^3)),0)</f>
        <v>40974.9544159435</v>
      </c>
      <c r="AB816" s="97" t="n">
        <f aca="false">AB815+AB$15</f>
        <v>0.00317974060773847</v>
      </c>
      <c r="AC816" s="115" t="n">
        <f aca="false">(Kopt-(L0-AB816*Ldif-alph*AB816^0.5))/R0</f>
        <v>0.951611716638991</v>
      </c>
      <c r="AD816" s="113" t="n">
        <f aca="false">IF(AC816&lt;1,X$14*((1-ropt)-Y$14*(1-ropt^2)+Z$14*(1-ropt^3)),0)</f>
        <v>40974.9544159435</v>
      </c>
    </row>
    <row r="817" customFormat="false" ht="12.75" hidden="false" customHeight="false" outlineLevel="0" collapsed="false">
      <c r="X817" s="102" t="n">
        <v>202</v>
      </c>
      <c r="Y817" s="124" t="n">
        <f aca="false">Y816+Y$16</f>
        <v>0.00318373024463651</v>
      </c>
      <c r="Z817" s="115" t="n">
        <f aca="false">(K-(L0-Y817*Ldif-alph*Y817^0.5))/R0</f>
        <v>0.951864323585866</v>
      </c>
      <c r="AA817" s="113" t="n">
        <f aca="false">IF(Z817&lt;1,X$14*((1-r_1)-Y$14*(1-r_1^2)+Z$14*(1-r_1^3)),0)</f>
        <v>40548.2585173084</v>
      </c>
      <c r="AB817" s="97" t="n">
        <f aca="false">AB816+AB$15</f>
        <v>0.00318373024463651</v>
      </c>
      <c r="AC817" s="115" t="n">
        <f aca="false">(Kopt-(L0-AB817*Ldif-alph*AB817^0.5))/R0</f>
        <v>0.951864323585866</v>
      </c>
      <c r="AD817" s="113" t="n">
        <f aca="false">IF(AC817&lt;1,X$14*((1-ropt)-Y$14*(1-ropt^2)+Z$14*(1-ropt^3)),0)</f>
        <v>40548.2585173084</v>
      </c>
    </row>
    <row r="818" customFormat="false" ht="12.75" hidden="false" customHeight="false" outlineLevel="0" collapsed="false">
      <c r="X818" s="102" t="n">
        <v>201</v>
      </c>
      <c r="Y818" s="124" t="n">
        <f aca="false">Y817+Y$16</f>
        <v>0.00318771988153455</v>
      </c>
      <c r="Z818" s="115" t="n">
        <f aca="false">(K-(L0-Y818*Ldif-alph*Y818^0.5))/R0</f>
        <v>0.952116772307946</v>
      </c>
      <c r="AA818" s="113" t="n">
        <f aca="false">IF(Z818&lt;1,X$14*((1-r_1)-Y$14*(1-r_1^2)+Z$14*(1-r_1^3)),0)</f>
        <v>40124.0611486598</v>
      </c>
      <c r="AB818" s="97" t="n">
        <f aca="false">AB817+AB$15</f>
        <v>0.00318771988153455</v>
      </c>
      <c r="AC818" s="115" t="n">
        <f aca="false">(Kopt-(L0-AB818*Ldif-alph*AB818^0.5))/R0</f>
        <v>0.952116772307946</v>
      </c>
      <c r="AD818" s="113" t="n">
        <f aca="false">IF(AC818&lt;1,X$14*((1-ropt)-Y$14*(1-ropt^2)+Z$14*(1-ropt^3)),0)</f>
        <v>40124.0611486598</v>
      </c>
    </row>
    <row r="819" customFormat="false" ht="12.75" hidden="false" customHeight="false" outlineLevel="0" collapsed="false">
      <c r="X819" s="102" t="n">
        <v>200</v>
      </c>
      <c r="Y819" s="124" t="n">
        <f aca="false">Y818+Y$16</f>
        <v>0.00319170951843259</v>
      </c>
      <c r="Z819" s="115" t="n">
        <f aca="false">(K-(L0-Y819*Ldif-alph*Y819^0.5))/R0</f>
        <v>0.952369063102187</v>
      </c>
      <c r="AA819" s="113" t="n">
        <f aca="false">IF(Z819&lt;1,X$14*((1-r_1)-Y$14*(1-r_1^2)+Z$14*(1-r_1^3)),0)</f>
        <v>39702.3576208611</v>
      </c>
      <c r="AB819" s="97" t="n">
        <f aca="false">AB818+AB$15</f>
        <v>0.00319170951843259</v>
      </c>
      <c r="AC819" s="115" t="n">
        <f aca="false">(Kopt-(L0-AB819*Ldif-alph*AB819^0.5))/R0</f>
        <v>0.952369063102187</v>
      </c>
      <c r="AD819" s="113" t="n">
        <f aca="false">IF(AC819&lt;1,X$14*((1-ropt)-Y$14*(1-ropt^2)+Z$14*(1-ropt^3)),0)</f>
        <v>39702.3576208611</v>
      </c>
    </row>
    <row r="820" customFormat="false" ht="12.75" hidden="false" customHeight="false" outlineLevel="0" collapsed="false">
      <c r="X820" s="102" t="n">
        <v>199</v>
      </c>
      <c r="Y820" s="124" t="n">
        <f aca="false">Y819+Y$16</f>
        <v>0.00319569915533063</v>
      </c>
      <c r="Z820" s="115" t="n">
        <f aca="false">(K-(L0-Y820*Ldif-alph*Y820^0.5))/R0</f>
        <v>0.952621196264607</v>
      </c>
      <c r="AA820" s="113" t="n">
        <f aca="false">IF(Z820&lt;1,X$14*((1-r_1)-Y$14*(1-r_1^2)+Z$14*(1-r_1^3)),0)</f>
        <v>39283.1432594465</v>
      </c>
      <c r="AB820" s="97" t="n">
        <f aca="false">AB819+AB$15</f>
        <v>0.00319569915533063</v>
      </c>
      <c r="AC820" s="115" t="n">
        <f aca="false">(Kopt-(L0-AB820*Ldif-alph*AB820^0.5))/R0</f>
        <v>0.952621196264607</v>
      </c>
      <c r="AD820" s="113" t="n">
        <f aca="false">IF(AC820&lt;1,X$14*((1-ropt)-Y$14*(1-ropt^2)+Z$14*(1-ropt^3)),0)</f>
        <v>39283.1432594465</v>
      </c>
    </row>
    <row r="821" customFormat="false" ht="12.75" hidden="false" customHeight="false" outlineLevel="0" collapsed="false">
      <c r="X821" s="102" t="n">
        <v>198</v>
      </c>
      <c r="Y821" s="124" t="n">
        <f aca="false">Y820+Y$16</f>
        <v>0.00319968879222867</v>
      </c>
      <c r="Z821" s="115" t="n">
        <f aca="false">(K-(L0-Y821*Ldif-alph*Y821^0.5))/R0</f>
        <v>0.952873172090304</v>
      </c>
      <c r="AA821" s="113" t="n">
        <f aca="false">IF(Z821&lt;1,X$14*((1-r_1)-Y$14*(1-r_1^2)+Z$14*(1-r_1^3)),0)</f>
        <v>38866.4134045277</v>
      </c>
      <c r="AB821" s="97" t="n">
        <f aca="false">AB820+AB$15</f>
        <v>0.00319968879222867</v>
      </c>
      <c r="AC821" s="115" t="n">
        <f aca="false">(Kopt-(L0-AB821*Ldif-alph*AB821^0.5))/R0</f>
        <v>0.952873172090304</v>
      </c>
      <c r="AD821" s="113" t="n">
        <f aca="false">IF(AC821&lt;1,X$14*((1-ropt)-Y$14*(1-ropt^2)+Z$14*(1-ropt^3)),0)</f>
        <v>38866.4134045277</v>
      </c>
    </row>
    <row r="822" customFormat="false" ht="12.75" hidden="false" customHeight="false" outlineLevel="0" collapsed="false">
      <c r="X822" s="102" t="n">
        <v>197</v>
      </c>
      <c r="Y822" s="124" t="n">
        <f aca="false">Y821+Y$16</f>
        <v>0.00320367842912671</v>
      </c>
      <c r="Z822" s="115" t="n">
        <f aca="false">(K-(L0-Y822*Ldif-alph*Y822^0.5))/R0</f>
        <v>0.953124990873461</v>
      </c>
      <c r="AA822" s="113" t="n">
        <f aca="false">IF(Z822&lt;1,X$14*((1-r_1)-Y$14*(1-r_1^2)+Z$14*(1-r_1^3)),0)</f>
        <v>38452.1634107299</v>
      </c>
      <c r="AB822" s="97" t="n">
        <f aca="false">AB821+AB$15</f>
        <v>0.00320367842912671</v>
      </c>
      <c r="AC822" s="115" t="n">
        <f aca="false">(Kopt-(L0-AB822*Ldif-alph*AB822^0.5))/R0</f>
        <v>0.953124990873461</v>
      </c>
      <c r="AD822" s="113" t="n">
        <f aca="false">IF(AC822&lt;1,X$14*((1-ropt)-Y$14*(1-ropt^2)+Z$14*(1-ropt^3)),0)</f>
        <v>38452.1634107299</v>
      </c>
    </row>
    <row r="823" customFormat="false" ht="12.75" hidden="false" customHeight="false" outlineLevel="0" collapsed="false">
      <c r="X823" s="102" t="n">
        <v>196</v>
      </c>
      <c r="Y823" s="124" t="n">
        <f aca="false">Y822+Y$16</f>
        <v>0.00320766806602475</v>
      </c>
      <c r="Z823" s="115" t="n">
        <f aca="false">(K-(L0-Y823*Ldif-alph*Y823^0.5))/R0</f>
        <v>0.953376652907337</v>
      </c>
      <c r="AA823" s="113" t="n">
        <f aca="false">IF(Z823&lt;1,X$14*((1-r_1)-Y$14*(1-r_1^2)+Z$14*(1-r_1^3)),0)</f>
        <v>38040.3886471525</v>
      </c>
      <c r="AB823" s="97" t="n">
        <f aca="false">AB822+AB$15</f>
        <v>0.00320766806602475</v>
      </c>
      <c r="AC823" s="115" t="n">
        <f aca="false">(Kopt-(L0-AB823*Ldif-alph*AB823^0.5))/R0</f>
        <v>0.953376652907337</v>
      </c>
      <c r="AD823" s="113" t="n">
        <f aca="false">IF(AC823&lt;1,X$14*((1-ropt)-Y$14*(1-ropt^2)+Z$14*(1-ropt^3)),0)</f>
        <v>38040.3886471525</v>
      </c>
    </row>
    <row r="824" customFormat="false" ht="12.75" hidden="false" customHeight="false" outlineLevel="0" collapsed="false">
      <c r="X824" s="102" t="n">
        <v>195</v>
      </c>
      <c r="Y824" s="124" t="n">
        <f aca="false">Y823+Y$16</f>
        <v>0.00321165770292279</v>
      </c>
      <c r="Z824" s="115" t="n">
        <f aca="false">(K-(L0-Y824*Ldif-alph*Y824^0.5))/R0</f>
        <v>0.953628158484286</v>
      </c>
      <c r="AA824" s="113" t="n">
        <f aca="false">IF(Z824&lt;1,X$14*((1-r_1)-Y$14*(1-r_1^2)+Z$14*(1-r_1^3)),0)</f>
        <v>37631.0844972727</v>
      </c>
      <c r="AB824" s="97" t="n">
        <f aca="false">AB823+AB$15</f>
        <v>0.00321165770292279</v>
      </c>
      <c r="AC824" s="115" t="n">
        <f aca="false">(Kopt-(L0-AB824*Ldif-alph*AB824^0.5))/R0</f>
        <v>0.953628158484286</v>
      </c>
      <c r="AD824" s="113" t="n">
        <f aca="false">IF(AC824&lt;1,X$14*((1-ropt)-Y$14*(1-ropt^2)+Z$14*(1-ropt^3)),0)</f>
        <v>37631.0844972727</v>
      </c>
    </row>
    <row r="825" customFormat="false" ht="12.75" hidden="false" customHeight="false" outlineLevel="0" collapsed="false">
      <c r="X825" s="102" t="n">
        <v>194</v>
      </c>
      <c r="Y825" s="124" t="n">
        <f aca="false">Y824+Y$16</f>
        <v>0.00321564733982083</v>
      </c>
      <c r="Z825" s="115" t="n">
        <f aca="false">(K-(L0-Y825*Ldif-alph*Y825^0.5))/R0</f>
        <v>0.953879507895752</v>
      </c>
      <c r="AA825" s="113" t="n">
        <f aca="false">IF(Z825&lt;1,X$14*((1-r_1)-Y$14*(1-r_1^2)+Z$14*(1-r_1^3)),0)</f>
        <v>37224.2463589137</v>
      </c>
      <c r="AB825" s="97" t="n">
        <f aca="false">AB824+AB$15</f>
        <v>0.00321564733982083</v>
      </c>
      <c r="AC825" s="115" t="n">
        <f aca="false">(Kopt-(L0-AB825*Ldif-alph*AB825^0.5))/R0</f>
        <v>0.953879507895752</v>
      </c>
      <c r="AD825" s="113" t="n">
        <f aca="false">IF(AC825&lt;1,X$14*((1-ropt)-Y$14*(1-ropt^2)+Z$14*(1-ropt^3)),0)</f>
        <v>37224.2463589137</v>
      </c>
    </row>
    <row r="826" customFormat="false" ht="12.75" hidden="false" customHeight="false" outlineLevel="0" collapsed="false">
      <c r="X826" s="102" t="n">
        <v>193</v>
      </c>
      <c r="Y826" s="124" t="n">
        <f aca="false">Y825+Y$16</f>
        <v>0.00321963697671888</v>
      </c>
      <c r="Z826" s="115" t="n">
        <f aca="false">(K-(L0-Y826*Ldif-alph*Y826^0.5))/R0</f>
        <v>0.954130701432279</v>
      </c>
      <c r="AA826" s="113" t="n">
        <f aca="false">IF(Z826&lt;1,X$14*((1-r_1)-Y$14*(1-r_1^2)+Z$14*(1-r_1^3)),0)</f>
        <v>36819.8696441577</v>
      </c>
      <c r="AB826" s="97" t="n">
        <f aca="false">AB825+AB$15</f>
        <v>0.00321963697671888</v>
      </c>
      <c r="AC826" s="115" t="n">
        <f aca="false">(Kopt-(L0-AB826*Ldif-alph*AB826^0.5))/R0</f>
        <v>0.954130701432279</v>
      </c>
      <c r="AD826" s="113" t="n">
        <f aca="false">IF(AC826&lt;1,X$14*((1-ropt)-Y$14*(1-ropt^2)+Z$14*(1-ropt^3)),0)</f>
        <v>36819.8696441577</v>
      </c>
    </row>
    <row r="827" customFormat="false" ht="12.75" hidden="false" customHeight="false" outlineLevel="0" collapsed="false">
      <c r="X827" s="102" t="n">
        <v>192</v>
      </c>
      <c r="Y827" s="124" t="n">
        <f aca="false">Y826+Y$16</f>
        <v>0.00322362661361692</v>
      </c>
      <c r="Z827" s="115" t="n">
        <f aca="false">(K-(L0-Y827*Ldif-alph*Y827^0.5))/R0</f>
        <v>0.954381739383501</v>
      </c>
      <c r="AA827" s="113" t="n">
        <f aca="false">IF(Z827&lt;1,X$14*((1-r_1)-Y$14*(1-r_1^2)+Z$14*(1-r_1^3)),0)</f>
        <v>36417.9497793088</v>
      </c>
      <c r="AB827" s="97" t="n">
        <f aca="false">AB826+AB$15</f>
        <v>0.00322362661361692</v>
      </c>
      <c r="AC827" s="115" t="n">
        <f aca="false">(Kopt-(L0-AB827*Ldif-alph*AB827^0.5))/R0</f>
        <v>0.954381739383501</v>
      </c>
      <c r="AD827" s="113" t="n">
        <f aca="false">IF(AC827&lt;1,X$14*((1-ropt)-Y$14*(1-ropt^2)+Z$14*(1-ropt^3)),0)</f>
        <v>36417.9497793088</v>
      </c>
    </row>
    <row r="828" customFormat="false" ht="12.75" hidden="false" customHeight="false" outlineLevel="0" collapsed="false">
      <c r="X828" s="102" t="n">
        <v>191</v>
      </c>
      <c r="Y828" s="124" t="n">
        <f aca="false">Y827+Y$16</f>
        <v>0.00322761625051496</v>
      </c>
      <c r="Z828" s="115" t="n">
        <f aca="false">(K-(L0-Y828*Ldif-alph*Y828^0.5))/R0</f>
        <v>0.95463262203817</v>
      </c>
      <c r="AA828" s="113" t="n">
        <f aca="false">IF(Z828&lt;1,X$14*((1-r_1)-Y$14*(1-r_1^2)+Z$14*(1-r_1^3)),0)</f>
        <v>36018.4822048018</v>
      </c>
      <c r="AB828" s="97" t="n">
        <f aca="false">AB827+AB$15</f>
        <v>0.00322761625051496</v>
      </c>
      <c r="AC828" s="115" t="n">
        <f aca="false">(Kopt-(L0-AB828*Ldif-alph*AB828^0.5))/R0</f>
        <v>0.95463262203817</v>
      </c>
      <c r="AD828" s="113" t="n">
        <f aca="false">IF(AC828&lt;1,X$14*((1-ropt)-Y$14*(1-ropt^2)+Z$14*(1-ropt^3)),0)</f>
        <v>36018.4822048018</v>
      </c>
    </row>
    <row r="829" customFormat="false" ht="12.75" hidden="false" customHeight="false" outlineLevel="0" collapsed="false">
      <c r="X829" s="102" t="n">
        <v>190</v>
      </c>
      <c r="Y829" s="124" t="n">
        <f aca="false">Y828+Y$16</f>
        <v>0.003231605887413</v>
      </c>
      <c r="Z829" s="115" t="n">
        <f aca="false">(K-(L0-Y829*Ldif-alph*Y829^0.5))/R0</f>
        <v>0.954883349684134</v>
      </c>
      <c r="AA829" s="113" t="n">
        <f aca="false">IF(Z829&lt;1,X$14*((1-r_1)-Y$14*(1-r_1^2)+Z$14*(1-r_1^3)),0)</f>
        <v>35621.462375173</v>
      </c>
      <c r="AB829" s="97" t="n">
        <f aca="false">AB828+AB$15</f>
        <v>0.003231605887413</v>
      </c>
      <c r="AC829" s="115" t="n">
        <f aca="false">(Kopt-(L0-AB829*Ldif-alph*AB829^0.5))/R0</f>
        <v>0.954883349684134</v>
      </c>
      <c r="AD829" s="113" t="n">
        <f aca="false">IF(AC829&lt;1,X$14*((1-ropt)-Y$14*(1-ropt^2)+Z$14*(1-ropt^3)),0)</f>
        <v>35621.462375173</v>
      </c>
    </row>
    <row r="830" customFormat="false" ht="12.75" hidden="false" customHeight="false" outlineLevel="0" collapsed="false">
      <c r="X830" s="102" t="n">
        <v>189</v>
      </c>
      <c r="Y830" s="124" t="n">
        <f aca="false">Y829+Y$16</f>
        <v>0.00323559552431104</v>
      </c>
      <c r="Z830" s="115" t="n">
        <f aca="false">(K-(L0-Y830*Ldif-alph*Y830^0.5))/R0</f>
        <v>0.955133922608359</v>
      </c>
      <c r="AA830" s="113" t="n">
        <f aca="false">IF(Z830&lt;1,X$14*((1-r_1)-Y$14*(1-r_1^2)+Z$14*(1-r_1^3)),0)</f>
        <v>35226.8857589727</v>
      </c>
      <c r="AB830" s="97" t="n">
        <f aca="false">AB829+AB$15</f>
        <v>0.00323559552431104</v>
      </c>
      <c r="AC830" s="115" t="n">
        <f aca="false">(Kopt-(L0-AB830*Ldif-alph*AB830^0.5))/R0</f>
        <v>0.955133922608359</v>
      </c>
      <c r="AD830" s="113" t="n">
        <f aca="false">IF(AC830&lt;1,X$14*((1-ropt)-Y$14*(1-ropt^2)+Z$14*(1-ropt^3)),0)</f>
        <v>35226.8857589727</v>
      </c>
    </row>
    <row r="831" customFormat="false" ht="12.75" hidden="false" customHeight="false" outlineLevel="0" collapsed="false">
      <c r="X831" s="102" t="n">
        <v>188</v>
      </c>
      <c r="Y831" s="124" t="n">
        <f aca="false">Y830+Y$16</f>
        <v>0.00323958516120908</v>
      </c>
      <c r="Z831" s="115" t="n">
        <f aca="false">(K-(L0-Y831*Ldif-alph*Y831^0.5))/R0</f>
        <v>0.955384341096925</v>
      </c>
      <c r="AA831" s="113" t="n">
        <f aca="false">IF(Z831&lt;1,X$14*((1-r_1)-Y$14*(1-r_1^2)+Z$14*(1-r_1^3)),0)</f>
        <v>34834.7478387207</v>
      </c>
      <c r="AB831" s="97" t="n">
        <f aca="false">AB830+AB$15</f>
        <v>0.00323958516120908</v>
      </c>
      <c r="AC831" s="115" t="n">
        <f aca="false">(Kopt-(L0-AB831*Ldif-alph*AB831^0.5))/R0</f>
        <v>0.955384341096925</v>
      </c>
      <c r="AD831" s="113" t="n">
        <f aca="false">IF(AC831&lt;1,X$14*((1-ropt)-Y$14*(1-ropt^2)+Z$14*(1-ropt^3)),0)</f>
        <v>34834.7478387207</v>
      </c>
    </row>
    <row r="832" customFormat="false" ht="12.75" hidden="false" customHeight="false" outlineLevel="0" collapsed="false">
      <c r="X832" s="102" t="n">
        <v>187</v>
      </c>
      <c r="Y832" s="124" t="n">
        <f aca="false">Y831+Y$16</f>
        <v>0.00324357479810712</v>
      </c>
      <c r="Z832" s="115" t="n">
        <f aca="false">(K-(L0-Y832*Ldif-alph*Y832^0.5))/R0</f>
        <v>0.955634605435033</v>
      </c>
      <c r="AA832" s="113" t="n">
        <f aca="false">IF(Z832&lt;1,X$14*((1-r_1)-Y$14*(1-r_1^2)+Z$14*(1-r_1^3)),0)</f>
        <v>34445.0441108418</v>
      </c>
      <c r="AB832" s="97" t="n">
        <f aca="false">AB831+AB$15</f>
        <v>0.00324357479810712</v>
      </c>
      <c r="AC832" s="115" t="n">
        <f aca="false">(Kopt-(L0-AB832*Ldif-alph*AB832^0.5))/R0</f>
        <v>0.955634605435033</v>
      </c>
      <c r="AD832" s="113" t="n">
        <f aca="false">IF(AC832&lt;1,X$14*((1-ropt)-Y$14*(1-ropt^2)+Z$14*(1-ropt^3)),0)</f>
        <v>34445.0441108418</v>
      </c>
    </row>
    <row r="833" customFormat="false" ht="12.75" hidden="false" customHeight="false" outlineLevel="0" collapsed="false">
      <c r="X833" s="102" t="n">
        <v>186</v>
      </c>
      <c r="Y833" s="124" t="n">
        <f aca="false">Y832+Y$16</f>
        <v>0.00324756443500516</v>
      </c>
      <c r="Z833" s="115" t="n">
        <f aca="false">(K-(L0-Y833*Ldif-alph*Y833^0.5))/R0</f>
        <v>0.955884715907005</v>
      </c>
      <c r="AA833" s="113" t="n">
        <f aca="false">IF(Z833&lt;1,X$14*((1-r_1)-Y$14*(1-r_1^2)+Z$14*(1-r_1^3)),0)</f>
        <v>34057.7700855985</v>
      </c>
      <c r="AB833" s="97" t="n">
        <f aca="false">AB832+AB$15</f>
        <v>0.00324756443500516</v>
      </c>
      <c r="AC833" s="115" t="n">
        <f aca="false">(Kopt-(L0-AB833*Ldif-alph*AB833^0.5))/R0</f>
        <v>0.955884715907005</v>
      </c>
      <c r="AD833" s="113" t="n">
        <f aca="false">IF(AC833&lt;1,X$14*((1-ropt)-Y$14*(1-ropt^2)+Z$14*(1-ropt^3)),0)</f>
        <v>34057.7700855985</v>
      </c>
    </row>
    <row r="834" customFormat="false" ht="12.75" hidden="false" customHeight="false" outlineLevel="0" collapsed="false">
      <c r="X834" s="102" t="n">
        <v>185</v>
      </c>
      <c r="Y834" s="124" t="n">
        <f aca="false">Y833+Y$16</f>
        <v>0.0032515540719032</v>
      </c>
      <c r="Z834" s="115" t="n">
        <f aca="false">(K-(L0-Y834*Ldif-alph*Y834^0.5))/R0</f>
        <v>0.956134672796293</v>
      </c>
      <c r="AA834" s="113" t="n">
        <f aca="false">IF(Z834&lt;1,X$14*((1-r_1)-Y$14*(1-r_1^2)+Z$14*(1-r_1^3)),0)</f>
        <v>33672.9212870454</v>
      </c>
      <c r="AB834" s="97" t="n">
        <f aca="false">AB833+AB$15</f>
        <v>0.0032515540719032</v>
      </c>
      <c r="AC834" s="115" t="n">
        <f aca="false">(Kopt-(L0-AB834*Ldif-alph*AB834^0.5))/R0</f>
        <v>0.956134672796293</v>
      </c>
      <c r="AD834" s="113" t="n">
        <f aca="false">IF(AC834&lt;1,X$14*((1-ropt)-Y$14*(1-ropt^2)+Z$14*(1-ropt^3)),0)</f>
        <v>33672.9212870454</v>
      </c>
    </row>
    <row r="835" customFormat="false" ht="12.75" hidden="false" customHeight="false" outlineLevel="0" collapsed="false">
      <c r="X835" s="102" t="n">
        <v>184</v>
      </c>
      <c r="Y835" s="124" t="n">
        <f aca="false">Y834+Y$16</f>
        <v>0.00325554370880124</v>
      </c>
      <c r="Z835" s="115" t="n">
        <f aca="false">(K-(L0-Y835*Ldif-alph*Y835^0.5))/R0</f>
        <v>0.956384476385476</v>
      </c>
      <c r="AA835" s="113" t="n">
        <f aca="false">IF(Z835&lt;1,X$14*((1-r_1)-Y$14*(1-r_1^2)+Z$14*(1-r_1^3)),0)</f>
        <v>33290.4932529582</v>
      </c>
      <c r="AB835" s="97" t="n">
        <f aca="false">AB834+AB$15</f>
        <v>0.00325554370880124</v>
      </c>
      <c r="AC835" s="115" t="n">
        <f aca="false">(Kopt-(L0-AB835*Ldif-alph*AB835^0.5))/R0</f>
        <v>0.956384476385476</v>
      </c>
      <c r="AD835" s="113" t="n">
        <f aca="false">IF(AC835&lt;1,X$14*((1-ropt)-Y$14*(1-ropt^2)+Z$14*(1-ropt^3)),0)</f>
        <v>33290.4932529582</v>
      </c>
    </row>
    <row r="836" customFormat="false" ht="12.75" hidden="false" customHeight="false" outlineLevel="0" collapsed="false">
      <c r="X836" s="102" t="n">
        <v>183</v>
      </c>
      <c r="Y836" s="124" t="n">
        <f aca="false">Y835+Y$16</f>
        <v>0.00325953334569928</v>
      </c>
      <c r="Z836" s="115" t="n">
        <f aca="false">(K-(L0-Y836*Ldif-alph*Y836^0.5))/R0</f>
        <v>0.956634126956271</v>
      </c>
      <c r="AA836" s="113" t="n">
        <f aca="false">IF(Z836&lt;1,X$14*((1-r_1)-Y$14*(1-r_1^2)+Z$14*(1-r_1^3)),0)</f>
        <v>32910.4815347844</v>
      </c>
      <c r="AB836" s="97" t="n">
        <f aca="false">AB835+AB$15</f>
        <v>0.00325953334569928</v>
      </c>
      <c r="AC836" s="115" t="n">
        <f aca="false">(Kopt-(L0-AB836*Ldif-alph*AB836^0.5))/R0</f>
        <v>0.956634126956271</v>
      </c>
      <c r="AD836" s="113" t="n">
        <f aca="false">IF(AC836&lt;1,X$14*((1-ropt)-Y$14*(1-ropt^2)+Z$14*(1-ropt^3)),0)</f>
        <v>32910.4815347844</v>
      </c>
    </row>
    <row r="837" customFormat="false" ht="12.75" hidden="false" customHeight="false" outlineLevel="0" collapsed="false">
      <c r="X837" s="102" t="n">
        <v>182</v>
      </c>
      <c r="Y837" s="124" t="n">
        <f aca="false">Y836+Y$16</f>
        <v>0.00326352298259732</v>
      </c>
      <c r="Z837" s="115" t="n">
        <f aca="false">(K-(L0-Y837*Ldif-alph*Y837^0.5))/R0</f>
        <v>0.956883624789529</v>
      </c>
      <c r="AA837" s="113" t="n">
        <f aca="false">IF(Z837&lt;1,X$14*((1-r_1)-Y$14*(1-r_1^2)+Z$14*(1-r_1^3)),0)</f>
        <v>32532.8816975759</v>
      </c>
      <c r="AB837" s="97" t="n">
        <f aca="false">AB836+AB$15</f>
        <v>0.00326352298259732</v>
      </c>
      <c r="AC837" s="115" t="n">
        <f aca="false">(Kopt-(L0-AB837*Ldif-alph*AB837^0.5))/R0</f>
        <v>0.956883624789529</v>
      </c>
      <c r="AD837" s="113" t="n">
        <f aca="false">IF(AC837&lt;1,X$14*((1-ropt)-Y$14*(1-ropt^2)+Z$14*(1-ropt^3)),0)</f>
        <v>32532.8816975759</v>
      </c>
    </row>
    <row r="838" customFormat="false" ht="12.75" hidden="false" customHeight="false" outlineLevel="0" collapsed="false">
      <c r="X838" s="102" t="n">
        <v>181</v>
      </c>
      <c r="Y838" s="124" t="n">
        <f aca="false">Y837+Y$16</f>
        <v>0.00326751261949536</v>
      </c>
      <c r="Z838" s="115" t="n">
        <f aca="false">(K-(L0-Y838*Ldif-alph*Y838^0.5))/R0</f>
        <v>0.957132970165251</v>
      </c>
      <c r="AA838" s="113" t="n">
        <f aca="false">IF(Z838&lt;1,X$14*((1-r_1)-Y$14*(1-r_1^2)+Z$14*(1-r_1^3)),0)</f>
        <v>32157.6893199321</v>
      </c>
      <c r="AB838" s="97" t="n">
        <f aca="false">AB837+AB$15</f>
        <v>0.00326751261949536</v>
      </c>
      <c r="AC838" s="115" t="n">
        <f aca="false">(Kopt-(L0-AB838*Ldif-alph*AB838^0.5))/R0</f>
        <v>0.957132970165251</v>
      </c>
      <c r="AD838" s="113" t="n">
        <f aca="false">IF(AC838&lt;1,X$14*((1-ropt)-Y$14*(1-ropt^2)+Z$14*(1-ropt^3)),0)</f>
        <v>32157.6893199321</v>
      </c>
    </row>
    <row r="839" customFormat="false" ht="12.75" hidden="false" customHeight="false" outlineLevel="0" collapsed="false">
      <c r="X839" s="102" t="n">
        <v>180</v>
      </c>
      <c r="Y839" s="124" t="n">
        <f aca="false">Y838+Y$16</f>
        <v>0.0032715022563934</v>
      </c>
      <c r="Z839" s="115" t="n">
        <f aca="false">(K-(L0-Y839*Ldif-alph*Y839^0.5))/R0</f>
        <v>0.957382163362573</v>
      </c>
      <c r="AA839" s="113" t="n">
        <f aca="false">IF(Z839&lt;1,X$14*((1-r_1)-Y$14*(1-r_1^2)+Z$14*(1-r_1^3)),0)</f>
        <v>31784.8999939519</v>
      </c>
      <c r="AB839" s="97" t="n">
        <f aca="false">AB838+AB$15</f>
        <v>0.0032715022563934</v>
      </c>
      <c r="AC839" s="115" t="n">
        <f aca="false">(Kopt-(L0-AB839*Ldif-alph*AB839^0.5))/R0</f>
        <v>0.957382163362573</v>
      </c>
      <c r="AD839" s="113" t="n">
        <f aca="false">IF(AC839&lt;1,X$14*((1-ropt)-Y$14*(1-ropt^2)+Z$14*(1-ropt^3)),0)</f>
        <v>31784.8999939519</v>
      </c>
    </row>
    <row r="840" customFormat="false" ht="12.75" hidden="false" customHeight="false" outlineLevel="0" collapsed="false">
      <c r="X840" s="102" t="n">
        <v>179</v>
      </c>
      <c r="Y840" s="124" t="n">
        <f aca="false">Y839+Y$16</f>
        <v>0.00327549189329144</v>
      </c>
      <c r="Z840" s="115" t="n">
        <f aca="false">(K-(L0-Y840*Ldif-alph*Y840^0.5))/R0</f>
        <v>0.957631204659787</v>
      </c>
      <c r="AA840" s="113" t="n">
        <f aca="false">IF(Z840&lt;1,X$14*((1-r_1)-Y$14*(1-r_1^2)+Z$14*(1-r_1^3)),0)</f>
        <v>31414.509325165</v>
      </c>
      <c r="AB840" s="97" t="n">
        <f aca="false">AB839+AB$15</f>
        <v>0.00327549189329144</v>
      </c>
      <c r="AC840" s="115" t="n">
        <f aca="false">(Kopt-(L0-AB840*Ldif-alph*AB840^0.5))/R0</f>
        <v>0.957631204659787</v>
      </c>
      <c r="AD840" s="113" t="n">
        <f aca="false">IF(AC840&lt;1,X$14*((1-ropt)-Y$14*(1-ropt^2)+Z$14*(1-ropt^3)),0)</f>
        <v>31414.509325165</v>
      </c>
    </row>
    <row r="841" customFormat="false" ht="12.75" hidden="false" customHeight="false" outlineLevel="0" collapsed="false">
      <c r="X841" s="102" t="n">
        <v>178</v>
      </c>
      <c r="Y841" s="124" t="n">
        <f aca="false">Y840+Y$16</f>
        <v>0.00327948153018948</v>
      </c>
      <c r="Z841" s="115" t="n">
        <f aca="false">(K-(L0-Y841*Ldif-alph*Y841^0.5))/R0</f>
        <v>0.957880094334335</v>
      </c>
      <c r="AA841" s="113" t="n">
        <f aca="false">IF(Z841&lt;1,X$14*((1-r_1)-Y$14*(1-r_1^2)+Z$14*(1-r_1^3)),0)</f>
        <v>31046.5129324783</v>
      </c>
      <c r="AB841" s="97" t="n">
        <f aca="false">AB840+AB$15</f>
        <v>0.00327948153018948</v>
      </c>
      <c r="AC841" s="115" t="n">
        <f aca="false">(Kopt-(L0-AB841*Ldif-alph*AB841^0.5))/R0</f>
        <v>0.957880094334335</v>
      </c>
      <c r="AD841" s="113" t="n">
        <f aca="false">IF(AC841&lt;1,X$14*((1-ropt)-Y$14*(1-ropt^2)+Z$14*(1-ropt^3)),0)</f>
        <v>31046.5129324783</v>
      </c>
    </row>
    <row r="842" customFormat="false" ht="12.75" hidden="false" customHeight="false" outlineLevel="0" collapsed="false">
      <c r="X842" s="102" t="n">
        <v>177</v>
      </c>
      <c r="Y842" s="124" t="n">
        <f aca="false">Y841+Y$16</f>
        <v>0.00328347116708753</v>
      </c>
      <c r="Z842" s="115" t="n">
        <f aca="false">(K-(L0-Y842*Ldif-alph*Y842^0.5))/R0</f>
        <v>0.958128832662821</v>
      </c>
      <c r="AA842" s="113" t="n">
        <f aca="false">IF(Z842&lt;1,X$14*((1-r_1)-Y$14*(1-r_1^2)+Z$14*(1-r_1^3)),0)</f>
        <v>30680.9064481151</v>
      </c>
      <c r="AB842" s="97" t="n">
        <f aca="false">AB841+AB$15</f>
        <v>0.00328347116708753</v>
      </c>
      <c r="AC842" s="115" t="n">
        <f aca="false">(Kopt-(L0-AB842*Ldif-alph*AB842^0.5))/R0</f>
        <v>0.958128832662821</v>
      </c>
      <c r="AD842" s="113" t="n">
        <f aca="false">IF(AC842&lt;1,X$14*((1-ropt)-Y$14*(1-ropt^2)+Z$14*(1-ropt^3)),0)</f>
        <v>30680.9064481151</v>
      </c>
    </row>
    <row r="843" customFormat="false" ht="12.75" hidden="false" customHeight="false" outlineLevel="0" collapsed="false">
      <c r="X843" s="102" t="n">
        <v>176</v>
      </c>
      <c r="Y843" s="124" t="n">
        <f aca="false">Y842+Y$16</f>
        <v>0.00328746080398557</v>
      </c>
      <c r="Z843" s="115" t="n">
        <f aca="false">(K-(L0-Y843*Ldif-alph*Y843^0.5))/R0</f>
        <v>0.958377419921</v>
      </c>
      <c r="AA843" s="113" t="n">
        <f aca="false">IF(Z843&lt;1,X$14*((1-r_1)-Y$14*(1-r_1^2)+Z$14*(1-r_1^3)),0)</f>
        <v>30317.6855175744</v>
      </c>
      <c r="AB843" s="97" t="n">
        <f aca="false">AB842+AB$15</f>
        <v>0.00328746080398557</v>
      </c>
      <c r="AC843" s="115" t="n">
        <f aca="false">(Kopt-(L0-AB843*Ldif-alph*AB843^0.5))/R0</f>
        <v>0.958377419921</v>
      </c>
      <c r="AD843" s="113" t="n">
        <f aca="false">IF(AC843&lt;1,X$14*((1-ropt)-Y$14*(1-ropt^2)+Z$14*(1-ropt^3)),0)</f>
        <v>30317.6855175744</v>
      </c>
    </row>
    <row r="844" customFormat="false" ht="12.75" hidden="false" customHeight="false" outlineLevel="0" collapsed="false">
      <c r="X844" s="102" t="n">
        <v>175</v>
      </c>
      <c r="Y844" s="124" t="n">
        <f aca="false">Y843+Y$16</f>
        <v>0.00329145044088361</v>
      </c>
      <c r="Z844" s="115" t="n">
        <f aca="false">(K-(L0-Y844*Ldif-alph*Y844^0.5))/R0</f>
        <v>0.958625856383799</v>
      </c>
      <c r="AA844" s="113" t="n">
        <f aca="false">IF(Z844&lt;1,X$14*((1-r_1)-Y$14*(1-r_1^2)+Z$14*(1-r_1^3)),0)</f>
        <v>29956.8457995456</v>
      </c>
      <c r="AB844" s="97" t="n">
        <f aca="false">AB843+AB$15</f>
        <v>0.00329145044088361</v>
      </c>
      <c r="AC844" s="115" t="n">
        <f aca="false">(Kopt-(L0-AB844*Ldif-alph*AB844^0.5))/R0</f>
        <v>0.958625856383799</v>
      </c>
      <c r="AD844" s="113" t="n">
        <f aca="false">IF(AC844&lt;1,X$14*((1-ropt)-Y$14*(1-ropt^2)+Z$14*(1-ropt^3)),0)</f>
        <v>29956.8457995456</v>
      </c>
    </row>
    <row r="845" customFormat="false" ht="12.75" hidden="false" customHeight="false" outlineLevel="0" collapsed="false">
      <c r="X845" s="102" t="n">
        <v>174</v>
      </c>
      <c r="Y845" s="124" t="n">
        <f aca="false">Y844+Y$16</f>
        <v>0.00329544007778165</v>
      </c>
      <c r="Z845" s="115" t="n">
        <f aca="false">(K-(L0-Y845*Ldif-alph*Y845^0.5))/R0</f>
        <v>0.958874142325306</v>
      </c>
      <c r="AA845" s="113" t="n">
        <f aca="false">IF(Z845&lt;1,X$14*((1-r_1)-Y$14*(1-r_1^2)+Z$14*(1-r_1^3)),0)</f>
        <v>29598.382965885</v>
      </c>
      <c r="AB845" s="97" t="n">
        <f aca="false">AB844+AB$15</f>
        <v>0.00329544007778165</v>
      </c>
      <c r="AC845" s="115" t="n">
        <f aca="false">(Kopt-(L0-AB845*Ldif-alph*AB845^0.5))/R0</f>
        <v>0.958874142325306</v>
      </c>
      <c r="AD845" s="113" t="n">
        <f aca="false">IF(AC845&lt;1,X$14*((1-ropt)-Y$14*(1-ropt^2)+Z$14*(1-ropt^3)),0)</f>
        <v>29598.382965885</v>
      </c>
    </row>
    <row r="846" customFormat="false" ht="12.75" hidden="false" customHeight="false" outlineLevel="0" collapsed="false">
      <c r="X846" s="102" t="n">
        <v>173</v>
      </c>
      <c r="Y846" s="124" t="n">
        <f aca="false">Y845+Y$16</f>
        <v>0.00329942971467969</v>
      </c>
      <c r="Z846" s="115" t="n">
        <f aca="false">(K-(L0-Y846*Ldif-alph*Y846^0.5))/R0</f>
        <v>0.959122278018782</v>
      </c>
      <c r="AA846" s="113" t="n">
        <f aca="false">IF(Z846&lt;1,X$14*((1-r_1)-Y$14*(1-r_1^2)+Z$14*(1-r_1^3)),0)</f>
        <v>29242.2927015421</v>
      </c>
      <c r="AB846" s="97" t="n">
        <f aca="false">AB845+AB$15</f>
        <v>0.00329942971467969</v>
      </c>
      <c r="AC846" s="115" t="n">
        <f aca="false">(Kopt-(L0-AB846*Ldif-alph*AB846^0.5))/R0</f>
        <v>0.959122278018782</v>
      </c>
      <c r="AD846" s="113" t="n">
        <f aca="false">IF(AC846&lt;1,X$14*((1-ropt)-Y$14*(1-ropt^2)+Z$14*(1-ropt^3)),0)</f>
        <v>29242.2927015421</v>
      </c>
    </row>
    <row r="847" customFormat="false" ht="12.75" hidden="false" customHeight="false" outlineLevel="0" collapsed="false">
      <c r="X847" s="102" t="n">
        <v>172</v>
      </c>
      <c r="Y847" s="124" t="n">
        <f aca="false">Y846+Y$16</f>
        <v>0.00330341935157773</v>
      </c>
      <c r="Z847" s="115" t="n">
        <f aca="false">(K-(L0-Y847*Ldif-alph*Y847^0.5))/R0</f>
        <v>0.959370263736664</v>
      </c>
      <c r="AA847" s="113" t="n">
        <f aca="false">IF(Z847&lt;1,X$14*((1-r_1)-Y$14*(1-r_1^2)+Z$14*(1-r_1^3)),0)</f>
        <v>28888.5707044953</v>
      </c>
      <c r="AB847" s="97" t="n">
        <f aca="false">AB846+AB$15</f>
        <v>0.00330341935157773</v>
      </c>
      <c r="AC847" s="115" t="n">
        <f aca="false">(Kopt-(L0-AB847*Ldif-alph*AB847^0.5))/R0</f>
        <v>0.959370263736664</v>
      </c>
      <c r="AD847" s="113" t="n">
        <f aca="false">IF(AC847&lt;1,X$14*((1-ropt)-Y$14*(1-ropt^2)+Z$14*(1-ropt^3)),0)</f>
        <v>28888.5707044953</v>
      </c>
    </row>
    <row r="848" customFormat="false" ht="12.75" hidden="false" customHeight="false" outlineLevel="0" collapsed="false">
      <c r="X848" s="102" t="n">
        <v>171</v>
      </c>
      <c r="Y848" s="124" t="n">
        <f aca="false">Y847+Y$16</f>
        <v>0.00330740898847577</v>
      </c>
      <c r="Z848" s="115" t="n">
        <f aca="false">(K-(L0-Y848*Ldif-alph*Y848^0.5))/R0</f>
        <v>0.959618099750562</v>
      </c>
      <c r="AA848" s="113" t="n">
        <f aca="false">IF(Z848&lt;1,X$14*((1-r_1)-Y$14*(1-r_1^2)+Z$14*(1-r_1^3)),0)</f>
        <v>28537.2126857231</v>
      </c>
      <c r="AB848" s="97" t="n">
        <f aca="false">AB847+AB$15</f>
        <v>0.00330740898847577</v>
      </c>
      <c r="AC848" s="115" t="n">
        <f aca="false">(Kopt-(L0-AB848*Ldif-alph*AB848^0.5))/R0</f>
        <v>0.959618099750562</v>
      </c>
      <c r="AD848" s="113" t="n">
        <f aca="false">IF(AC848&lt;1,X$14*((1-ropt)-Y$14*(1-ropt^2)+Z$14*(1-ropt^3)),0)</f>
        <v>28537.2126857231</v>
      </c>
    </row>
    <row r="849" customFormat="false" ht="12.75" hidden="false" customHeight="false" outlineLevel="0" collapsed="false">
      <c r="X849" s="102" t="n">
        <v>170</v>
      </c>
      <c r="Y849" s="124" t="n">
        <f aca="false">Y848+Y$16</f>
        <v>0.00331139862537381</v>
      </c>
      <c r="Z849" s="115" t="n">
        <f aca="false">(K-(L0-Y849*Ldif-alph*Y849^0.5))/R0</f>
        <v>0.959865786331275</v>
      </c>
      <c r="AA849" s="113" t="n">
        <f aca="false">IF(Z849&lt;1,X$14*((1-r_1)-Y$14*(1-r_1^2)+Z$14*(1-r_1^3)),0)</f>
        <v>28188.2143691201</v>
      </c>
      <c r="AB849" s="97" t="n">
        <f aca="false">AB848+AB$15</f>
        <v>0.00331139862537381</v>
      </c>
      <c r="AC849" s="115" t="n">
        <f aca="false">(Kopt-(L0-AB849*Ldif-alph*AB849^0.5))/R0</f>
        <v>0.959865786331275</v>
      </c>
      <c r="AD849" s="113" t="n">
        <f aca="false">IF(AC849&lt;1,X$14*((1-ropt)-Y$14*(1-ropt^2)+Z$14*(1-ropt^3)),0)</f>
        <v>28188.2143691201</v>
      </c>
    </row>
    <row r="850" customFormat="false" ht="12.75" hidden="false" customHeight="false" outlineLevel="0" collapsed="false">
      <c r="X850" s="102" t="n">
        <v>169</v>
      </c>
      <c r="Y850" s="124" t="n">
        <f aca="false">Y849+Y$16</f>
        <v>0.00331538826227185</v>
      </c>
      <c r="Z850" s="115" t="n">
        <f aca="false">(K-(L0-Y850*Ldif-alph*Y850^0.5))/R0</f>
        <v>0.960113323748777</v>
      </c>
      <c r="AA850" s="113" t="n">
        <f aca="false">IF(Z850&lt;1,X$14*((1-r_1)-Y$14*(1-r_1^2)+Z$14*(1-r_1^3)),0)</f>
        <v>27841.571491474</v>
      </c>
      <c r="AB850" s="97" t="n">
        <f aca="false">AB849+AB$15</f>
        <v>0.00331538826227185</v>
      </c>
      <c r="AC850" s="115" t="n">
        <f aca="false">(Kopt-(L0-AB850*Ldif-alph*AB850^0.5))/R0</f>
        <v>0.960113323748777</v>
      </c>
      <c r="AD850" s="113" t="n">
        <f aca="false">IF(AC850&lt;1,X$14*((1-ropt)-Y$14*(1-ropt^2)+Z$14*(1-ropt^3)),0)</f>
        <v>27841.571491474</v>
      </c>
    </row>
    <row r="851" customFormat="false" ht="12.75" hidden="false" customHeight="false" outlineLevel="0" collapsed="false">
      <c r="X851" s="102" t="n">
        <v>168</v>
      </c>
      <c r="Y851" s="124" t="n">
        <f aca="false">Y850+Y$16</f>
        <v>0.00331937789916989</v>
      </c>
      <c r="Z851" s="115" t="n">
        <f aca="false">(K-(L0-Y851*Ldif-alph*Y851^0.5))/R0</f>
        <v>0.96036071227224</v>
      </c>
      <c r="AA851" s="113" t="n">
        <f aca="false">IF(Z851&lt;1,X$14*((1-r_1)-Y$14*(1-r_1^2)+Z$14*(1-r_1^3)),0)</f>
        <v>27497.2798023723</v>
      </c>
      <c r="AB851" s="97" t="n">
        <f aca="false">AB850+AB$15</f>
        <v>0.00331937789916989</v>
      </c>
      <c r="AC851" s="115" t="n">
        <f aca="false">(Kopt-(L0-AB851*Ldif-alph*AB851^0.5))/R0</f>
        <v>0.96036071227224</v>
      </c>
      <c r="AD851" s="113" t="n">
        <f aca="false">IF(AC851&lt;1,X$14*((1-ropt)-Y$14*(1-ropt^2)+Z$14*(1-ropt^3)),0)</f>
        <v>27497.2798023723</v>
      </c>
    </row>
    <row r="852" customFormat="false" ht="12.75" hidden="false" customHeight="false" outlineLevel="0" collapsed="false">
      <c r="X852" s="102" t="n">
        <v>167</v>
      </c>
      <c r="Y852" s="124" t="n">
        <f aca="false">Y851+Y$16</f>
        <v>0.00332336753606793</v>
      </c>
      <c r="Z852" s="115" t="n">
        <f aca="false">(K-(L0-Y852*Ldif-alph*Y852^0.5))/R0</f>
        <v>0.960607952170016</v>
      </c>
      <c r="AA852" s="113" t="n">
        <f aca="false">IF(Z852&lt;1,X$14*((1-r_1)-Y$14*(1-r_1^2)+Z$14*(1-r_1^3)),0)</f>
        <v>27155.3350641965</v>
      </c>
      <c r="AB852" s="97" t="n">
        <f aca="false">AB851+AB$15</f>
        <v>0.00332336753606793</v>
      </c>
      <c r="AC852" s="115" t="n">
        <f aca="false">(Kopt-(L0-AB852*Ldif-alph*AB852^0.5))/R0</f>
        <v>0.960607952170016</v>
      </c>
      <c r="AD852" s="113" t="n">
        <f aca="false">IF(AC852&lt;1,X$14*((1-ropt)-Y$14*(1-ropt^2)+Z$14*(1-ropt^3)),0)</f>
        <v>27155.3350641965</v>
      </c>
    </row>
    <row r="853" customFormat="false" ht="12.75" hidden="false" customHeight="false" outlineLevel="0" collapsed="false">
      <c r="X853" s="102" t="n">
        <v>166</v>
      </c>
      <c r="Y853" s="124" t="n">
        <f aca="false">Y852+Y$16</f>
        <v>0.00332735717296597</v>
      </c>
      <c r="Z853" s="115" t="n">
        <f aca="false">(K-(L0-Y853*Ldif-alph*Y853^0.5))/R0</f>
        <v>0.960855043709665</v>
      </c>
      <c r="AA853" s="113" t="n">
        <f aca="false">IF(Z853&lt;1,X$14*((1-r_1)-Y$14*(1-r_1^2)+Z$14*(1-r_1^3)),0)</f>
        <v>26815.733052015</v>
      </c>
      <c r="AB853" s="97" t="n">
        <f aca="false">AB852+AB$15</f>
        <v>0.00332735717296597</v>
      </c>
      <c r="AC853" s="115" t="n">
        <f aca="false">(Kopt-(L0-AB853*Ldif-alph*AB853^0.5))/R0</f>
        <v>0.960855043709665</v>
      </c>
      <c r="AD853" s="113" t="n">
        <f aca="false">IF(AC853&lt;1,X$14*((1-ropt)-Y$14*(1-ropt^2)+Z$14*(1-ropt^3)),0)</f>
        <v>26815.733052015</v>
      </c>
    </row>
    <row r="854" customFormat="false" ht="12.75" hidden="false" customHeight="false" outlineLevel="0" collapsed="false">
      <c r="X854" s="102" t="n">
        <v>165</v>
      </c>
      <c r="Y854" s="124" t="n">
        <f aca="false">Y853+Y$16</f>
        <v>0.00333134680986401</v>
      </c>
      <c r="Z854" s="115" t="n">
        <f aca="false">(K-(L0-Y854*Ldif-alph*Y854^0.5))/R0</f>
        <v>0.961101987157932</v>
      </c>
      <c r="AA854" s="113" t="n">
        <f aca="false">IF(Z854&lt;1,X$14*((1-r_1)-Y$14*(1-r_1^2)+Z$14*(1-r_1^3)),0)</f>
        <v>26478.4695535794</v>
      </c>
      <c r="AB854" s="97" t="n">
        <f aca="false">AB853+AB$15</f>
        <v>0.00333134680986401</v>
      </c>
      <c r="AC854" s="115" t="n">
        <f aca="false">(Kopt-(L0-AB854*Ldif-alph*AB854^0.5))/R0</f>
        <v>0.961101987157932</v>
      </c>
      <c r="AD854" s="113" t="n">
        <f aca="false">IF(AC854&lt;1,X$14*((1-ropt)-Y$14*(1-ropt^2)+Z$14*(1-ropt^3)),0)</f>
        <v>26478.4695535794</v>
      </c>
    </row>
    <row r="855" customFormat="false" ht="12.75" hidden="false" customHeight="false" outlineLevel="0" collapsed="false">
      <c r="X855" s="102" t="n">
        <v>164</v>
      </c>
      <c r="Y855" s="124" t="n">
        <f aca="false">Y854+Y$16</f>
        <v>0.00333533644676205</v>
      </c>
      <c r="Z855" s="115" t="n">
        <f aca="false">(K-(L0-Y855*Ldif-alph*Y855^0.5))/R0</f>
        <v>0.961348782780773</v>
      </c>
      <c r="AA855" s="113" t="n">
        <f aca="false">IF(Z855&lt;1,X$14*((1-r_1)-Y$14*(1-r_1^2)+Z$14*(1-r_1^3)),0)</f>
        <v>26143.5403692373</v>
      </c>
      <c r="AB855" s="97" t="n">
        <f aca="false">AB854+AB$15</f>
        <v>0.00333533644676205</v>
      </c>
      <c r="AC855" s="115" t="n">
        <f aca="false">(Kopt-(L0-AB855*Ldif-alph*AB855^0.5))/R0</f>
        <v>0.961348782780773</v>
      </c>
      <c r="AD855" s="113" t="n">
        <f aca="false">IF(AC855&lt;1,X$14*((1-ropt)-Y$14*(1-ropt^2)+Z$14*(1-ropt^3)),0)</f>
        <v>26143.5403692373</v>
      </c>
    </row>
    <row r="856" customFormat="false" ht="12.75" hidden="false" customHeight="false" outlineLevel="0" collapsed="false">
      <c r="X856" s="102" t="n">
        <v>163</v>
      </c>
      <c r="Y856" s="124" t="n">
        <f aca="false">Y855+Y$16</f>
        <v>0.00333932608366009</v>
      </c>
      <c r="Z856" s="115" t="n">
        <f aca="false">(K-(L0-Y856*Ldif-alph*Y856^0.5))/R0</f>
        <v>0.961595430843345</v>
      </c>
      <c r="AA856" s="113" t="n">
        <f aca="false">IF(Z856&lt;1,X$14*((1-r_1)-Y$14*(1-r_1^2)+Z$14*(1-r_1^3)),0)</f>
        <v>25810.9413118948</v>
      </c>
      <c r="AB856" s="97" t="n">
        <f aca="false">AB855+AB$15</f>
        <v>0.00333932608366009</v>
      </c>
      <c r="AC856" s="115" t="n">
        <f aca="false">(Kopt-(L0-AB856*Ldif-alph*AB856^0.5))/R0</f>
        <v>0.961595430843345</v>
      </c>
      <c r="AD856" s="113" t="n">
        <f aca="false">IF(AC856&lt;1,X$14*((1-ropt)-Y$14*(1-ropt^2)+Z$14*(1-ropt^3)),0)</f>
        <v>25810.9413118948</v>
      </c>
    </row>
    <row r="857" customFormat="false" ht="12.75" hidden="false" customHeight="false" outlineLevel="0" collapsed="false">
      <c r="X857" s="102" t="n">
        <v>162</v>
      </c>
      <c r="Y857" s="124" t="n">
        <f aca="false">Y856+Y$16</f>
        <v>0.00334331572055813</v>
      </c>
      <c r="Z857" s="115" t="n">
        <f aca="false">(K-(L0-Y857*Ldif-alph*Y857^0.5))/R0</f>
        <v>0.961841931610017</v>
      </c>
      <c r="AA857" s="113" t="n">
        <f aca="false">IF(Z857&lt;1,X$14*((1-r_1)-Y$14*(1-r_1^2)+Z$14*(1-r_1^3)),0)</f>
        <v>25480.6682069569</v>
      </c>
      <c r="AB857" s="97" t="n">
        <f aca="false">AB856+AB$15</f>
        <v>0.00334331572055813</v>
      </c>
      <c r="AC857" s="115" t="n">
        <f aca="false">(Kopt-(L0-AB857*Ldif-alph*AB857^0.5))/R0</f>
        <v>0.961841931610017</v>
      </c>
      <c r="AD857" s="113" t="n">
        <f aca="false">IF(AC857&lt;1,X$14*((1-ropt)-Y$14*(1-ropt^2)+Z$14*(1-ropt^3)),0)</f>
        <v>25480.6682069569</v>
      </c>
    </row>
    <row r="858" customFormat="false" ht="12.75" hidden="false" customHeight="false" outlineLevel="0" collapsed="false">
      <c r="X858" s="102" t="n">
        <v>161</v>
      </c>
      <c r="Y858" s="124" t="n">
        <f aca="false">Y857+Y$16</f>
        <v>0.00334730535745618</v>
      </c>
      <c r="Z858" s="115" t="n">
        <f aca="false">(K-(L0-Y858*Ldif-alph*Y858^0.5))/R0</f>
        <v>0.962088285344362</v>
      </c>
      <c r="AA858" s="113" t="n">
        <f aca="false">IF(Z858&lt;1,X$14*((1-r_1)-Y$14*(1-r_1^2)+Z$14*(1-r_1^3)),0)</f>
        <v>25152.7168922844</v>
      </c>
      <c r="AB858" s="97" t="n">
        <f aca="false">AB857+AB$15</f>
        <v>0.00334730535745618</v>
      </c>
      <c r="AC858" s="115" t="n">
        <f aca="false">(Kopt-(L0-AB858*Ldif-alph*AB858^0.5))/R0</f>
        <v>0.962088285344362</v>
      </c>
      <c r="AD858" s="113" t="n">
        <f aca="false">IF(AC858&lt;1,X$14*((1-ropt)-Y$14*(1-ropt^2)+Z$14*(1-ropt^3)),0)</f>
        <v>25152.7168922844</v>
      </c>
    </row>
    <row r="859" customFormat="false" ht="12.75" hidden="false" customHeight="false" outlineLevel="0" collapsed="false">
      <c r="X859" s="102" t="n">
        <v>160</v>
      </c>
      <c r="Y859" s="124" t="n">
        <f aca="false">Y858+Y$16</f>
        <v>0.00335129499435422</v>
      </c>
      <c r="Z859" s="115" t="n">
        <f aca="false">(K-(L0-Y859*Ldif-alph*Y859^0.5))/R0</f>
        <v>0.962334492309175</v>
      </c>
      <c r="AA859" s="113" t="n">
        <f aca="false">IF(Z859&lt;1,X$14*((1-r_1)-Y$14*(1-r_1^2)+Z$14*(1-r_1^3)),0)</f>
        <v>24827.0832181335</v>
      </c>
      <c r="AB859" s="97" t="n">
        <f aca="false">AB858+AB$15</f>
        <v>0.00335129499435422</v>
      </c>
      <c r="AC859" s="115" t="n">
        <f aca="false">(Kopt-(L0-AB859*Ldif-alph*AB859^0.5))/R0</f>
        <v>0.962334492309175</v>
      </c>
      <c r="AD859" s="113" t="n">
        <f aca="false">IF(AC859&lt;1,X$14*((1-ropt)-Y$14*(1-ropt^2)+Z$14*(1-ropt^3)),0)</f>
        <v>24827.0832181335</v>
      </c>
    </row>
    <row r="860" customFormat="false" ht="12.75" hidden="false" customHeight="false" outlineLevel="0" collapsed="false">
      <c r="X860" s="102" t="n">
        <v>159</v>
      </c>
      <c r="Y860" s="124" t="n">
        <f aca="false">Y859+Y$16</f>
        <v>0.00335528463125226</v>
      </c>
      <c r="Z860" s="115" t="n">
        <f aca="false">(K-(L0-Y860*Ldif-alph*Y860^0.5))/R0</f>
        <v>0.962580552766465</v>
      </c>
      <c r="AA860" s="113" t="n">
        <f aca="false">IF(Z860&lt;1,X$14*((1-r_1)-Y$14*(1-r_1^2)+Z$14*(1-r_1^3)),0)</f>
        <v>24503.7630471079</v>
      </c>
      <c r="AB860" s="97" t="n">
        <f aca="false">AB859+AB$15</f>
        <v>0.00335528463125226</v>
      </c>
      <c r="AC860" s="115" t="n">
        <f aca="false">(Kopt-(L0-AB860*Ldif-alph*AB860^0.5))/R0</f>
        <v>0.962580552766465</v>
      </c>
      <c r="AD860" s="113" t="n">
        <f aca="false">IF(AC860&lt;1,X$14*((1-ropt)-Y$14*(1-ropt^2)+Z$14*(1-ropt^3)),0)</f>
        <v>24503.7630471079</v>
      </c>
    </row>
    <row r="861" customFormat="false" ht="12.75" hidden="false" customHeight="false" outlineLevel="0" collapsed="false">
      <c r="X861" s="102" t="n">
        <v>158</v>
      </c>
      <c r="Y861" s="124" t="n">
        <f aca="false">Y860+Y$16</f>
        <v>0.0033592742681503</v>
      </c>
      <c r="Z861" s="115" t="n">
        <f aca="false">(K-(L0-Y861*Ldif-alph*Y861^0.5))/R0</f>
        <v>0.962826466977467</v>
      </c>
      <c r="AA861" s="113" t="n">
        <f aca="false">IF(Z861&lt;1,X$14*((1-r_1)-Y$14*(1-r_1^2)+Z$14*(1-r_1^3)),0)</f>
        <v>24182.7522541036</v>
      </c>
      <c r="AB861" s="97" t="n">
        <f aca="false">AB860+AB$15</f>
        <v>0.0033592742681503</v>
      </c>
      <c r="AC861" s="115" t="n">
        <f aca="false">(Kopt-(L0-AB861*Ldif-alph*AB861^0.5))/R0</f>
        <v>0.962826466977467</v>
      </c>
      <c r="AD861" s="113" t="n">
        <f aca="false">IF(AC861&lt;1,X$14*((1-ropt)-Y$14*(1-ropt^2)+Z$14*(1-ropt^3)),0)</f>
        <v>24182.7522541036</v>
      </c>
    </row>
    <row r="862" customFormat="false" ht="12.75" hidden="false" customHeight="false" outlineLevel="0" collapsed="false">
      <c r="X862" s="102" t="n">
        <v>157</v>
      </c>
      <c r="Y862" s="124" t="n">
        <f aca="false">Y861+Y$16</f>
        <v>0.00336326390504834</v>
      </c>
      <c r="Z862" s="115" t="n">
        <f aca="false">(K-(L0-Y862*Ldif-alph*Y862^0.5))/R0</f>
        <v>0.963072235202635</v>
      </c>
      <c r="AA862" s="113" t="n">
        <f aca="false">IF(Z862&lt;1,X$14*((1-r_1)-Y$14*(1-r_1^2)+Z$14*(1-r_1^3)),0)</f>
        <v>23864.0467262666</v>
      </c>
      <c r="AB862" s="97" t="n">
        <f aca="false">AB861+AB$15</f>
        <v>0.00336326390504834</v>
      </c>
      <c r="AC862" s="115" t="n">
        <f aca="false">(Kopt-(L0-AB862*Ldif-alph*AB862^0.5))/R0</f>
        <v>0.963072235202635</v>
      </c>
      <c r="AD862" s="113" t="n">
        <f aca="false">IF(AC862&lt;1,X$14*((1-ropt)-Y$14*(1-ropt^2)+Z$14*(1-ropt^3)),0)</f>
        <v>23864.0467262666</v>
      </c>
    </row>
    <row r="863" customFormat="false" ht="12.75" hidden="false" customHeight="false" outlineLevel="0" collapsed="false">
      <c r="X863" s="102" t="n">
        <v>156</v>
      </c>
      <c r="Y863" s="124" t="n">
        <f aca="false">Y862+Y$16</f>
        <v>0.00336725354194638</v>
      </c>
      <c r="Z863" s="115" t="n">
        <f aca="false">(K-(L0-Y863*Ldif-alph*Y863^0.5))/R0</f>
        <v>0.963317857701656</v>
      </c>
      <c r="AA863" s="113" t="n">
        <f aca="false">IF(Z863&lt;1,X$14*((1-r_1)-Y$14*(1-r_1^2)+Z$14*(1-r_1^3)),0)</f>
        <v>23547.6423629308</v>
      </c>
      <c r="AB863" s="97" t="n">
        <f aca="false">AB862+AB$15</f>
        <v>0.00336725354194638</v>
      </c>
      <c r="AC863" s="115" t="n">
        <f aca="false">(Kopt-(L0-AB863*Ldif-alph*AB863^0.5))/R0</f>
        <v>0.963317857701656</v>
      </c>
      <c r="AD863" s="113" t="n">
        <f aca="false">IF(AC863&lt;1,X$14*((1-ropt)-Y$14*(1-ropt^2)+Z$14*(1-ropt^3)),0)</f>
        <v>23547.6423629308</v>
      </c>
    </row>
    <row r="864" customFormat="false" ht="12.75" hidden="false" customHeight="false" outlineLevel="0" collapsed="false">
      <c r="X864" s="102" t="n">
        <v>155</v>
      </c>
      <c r="Y864" s="124" t="n">
        <f aca="false">Y863+Y$16</f>
        <v>0.00337124317884442</v>
      </c>
      <c r="Z864" s="115" t="n">
        <f aca="false">(K-(L0-Y864*Ldif-alph*Y864^0.5))/R0</f>
        <v>0.963563334733441</v>
      </c>
      <c r="AA864" s="113" t="n">
        <f aca="false">IF(Z864&lt;1,X$14*((1-r_1)-Y$14*(1-r_1^2)+Z$14*(1-r_1^3)),0)</f>
        <v>23233.5350755769</v>
      </c>
      <c r="AB864" s="97" t="n">
        <f aca="false">AB863+AB$15</f>
        <v>0.00337124317884442</v>
      </c>
      <c r="AC864" s="115" t="n">
        <f aca="false">(Kopt-(L0-AB864*Ldif-alph*AB864^0.5))/R0</f>
        <v>0.963563334733441</v>
      </c>
      <c r="AD864" s="113" t="n">
        <f aca="false">IF(AC864&lt;1,X$14*((1-ropt)-Y$14*(1-ropt^2)+Z$14*(1-ropt^3)),0)</f>
        <v>23233.5350755769</v>
      </c>
    </row>
    <row r="865" customFormat="false" ht="12.75" hidden="false" customHeight="false" outlineLevel="0" collapsed="false">
      <c r="X865" s="102" t="n">
        <v>154</v>
      </c>
      <c r="Y865" s="124" t="n">
        <f aca="false">Y864+Y$16</f>
        <v>0.00337523281574246</v>
      </c>
      <c r="Z865" s="115" t="n">
        <f aca="false">(K-(L0-Y865*Ldif-alph*Y865^0.5))/R0</f>
        <v>0.963808666556144</v>
      </c>
      <c r="AA865" s="113" t="n">
        <f aca="false">IF(Z865&lt;1,X$14*((1-r_1)-Y$14*(1-r_1^2)+Z$14*(1-r_1^3)),0)</f>
        <v>22921.7207877763</v>
      </c>
      <c r="AB865" s="97" t="n">
        <f aca="false">AB864+AB$15</f>
        <v>0.00337523281574246</v>
      </c>
      <c r="AC865" s="115" t="n">
        <f aca="false">(Kopt-(L0-AB865*Ldif-alph*AB865^0.5))/R0</f>
        <v>0.963808666556144</v>
      </c>
      <c r="AD865" s="113" t="n">
        <f aca="false">IF(AC865&lt;1,X$14*((1-ropt)-Y$14*(1-ropt^2)+Z$14*(1-ropt^3)),0)</f>
        <v>22921.7207877763</v>
      </c>
    </row>
    <row r="866" customFormat="false" ht="12.75" hidden="false" customHeight="false" outlineLevel="0" collapsed="false">
      <c r="X866" s="102" t="n">
        <v>153</v>
      </c>
      <c r="Y866" s="124" t="n">
        <f aca="false">Y865+Y$16</f>
        <v>0.0033792224526405</v>
      </c>
      <c r="Z866" s="115" t="n">
        <f aca="false">(K-(L0-Y866*Ldif-alph*Y866^0.5))/R0</f>
        <v>0.964053853427147</v>
      </c>
      <c r="AA866" s="113" t="n">
        <f aca="false">IF(Z866&lt;1,X$14*((1-r_1)-Y$14*(1-r_1^2)+Z$14*(1-r_1^3)),0)</f>
        <v>22612.1954351483</v>
      </c>
      <c r="AB866" s="97" t="n">
        <f aca="false">AB865+AB$15</f>
        <v>0.0033792224526405</v>
      </c>
      <c r="AC866" s="115" t="n">
        <f aca="false">(Kopt-(L0-AB866*Ldif-alph*AB866^0.5))/R0</f>
        <v>0.964053853427147</v>
      </c>
      <c r="AD866" s="113" t="n">
        <f aca="false">IF(AC866&lt;1,X$14*((1-ropt)-Y$14*(1-ropt^2)+Z$14*(1-ropt^3)),0)</f>
        <v>22612.1954351483</v>
      </c>
    </row>
    <row r="867" customFormat="false" ht="12.75" hidden="false" customHeight="false" outlineLevel="0" collapsed="false">
      <c r="X867" s="102" t="n">
        <v>152</v>
      </c>
      <c r="Y867" s="124" t="n">
        <f aca="false">Y866+Y$16</f>
        <v>0.00338321208953854</v>
      </c>
      <c r="Z867" s="115" t="n">
        <f aca="false">(K-(L0-Y867*Ldif-alph*Y867^0.5))/R0</f>
        <v>0.964298895603083</v>
      </c>
      <c r="AA867" s="113" t="n">
        <f aca="false">IF(Z867&lt;1,X$14*((1-r_1)-Y$14*(1-r_1^2)+Z$14*(1-r_1^3)),0)</f>
        <v>22304.9549652918</v>
      </c>
      <c r="AB867" s="97" t="n">
        <f aca="false">AB866+AB$15</f>
        <v>0.00338321208953854</v>
      </c>
      <c r="AC867" s="115" t="n">
        <f aca="false">(Kopt-(L0-AB867*Ldif-alph*AB867^0.5))/R0</f>
        <v>0.964298895603083</v>
      </c>
      <c r="AD867" s="113" t="n">
        <f aca="false">IF(AC867&lt;1,X$14*((1-ropt)-Y$14*(1-ropt^2)+Z$14*(1-ropt^3)),0)</f>
        <v>22304.9549652918</v>
      </c>
    </row>
    <row r="868" customFormat="false" ht="12.75" hidden="false" customHeight="false" outlineLevel="0" collapsed="false">
      <c r="X868" s="102" t="n">
        <v>151</v>
      </c>
      <c r="Y868" s="124" t="n">
        <f aca="false">Y867+Y$16</f>
        <v>0.00338720172643658</v>
      </c>
      <c r="Z868" s="115" t="n">
        <f aca="false">(K-(L0-Y868*Ldif-alph*Y868^0.5))/R0</f>
        <v>0.964543793339821</v>
      </c>
      <c r="AA868" s="113" t="n">
        <f aca="false">IF(Z868&lt;1,X$14*((1-r_1)-Y$14*(1-r_1^2)+Z$14*(1-r_1^3)),0)</f>
        <v>21999.9953377645</v>
      </c>
      <c r="AB868" s="97" t="n">
        <f aca="false">AB867+AB$15</f>
        <v>0.00338720172643658</v>
      </c>
      <c r="AC868" s="115" t="n">
        <f aca="false">(Kopt-(L0-AB868*Ldif-alph*AB868^0.5))/R0</f>
        <v>0.964543793339821</v>
      </c>
      <c r="AD868" s="113" t="n">
        <f aca="false">IF(AC868&lt;1,X$14*((1-ropt)-Y$14*(1-ropt^2)+Z$14*(1-ropt^3)),0)</f>
        <v>21999.9953377645</v>
      </c>
    </row>
    <row r="869" customFormat="false" ht="12.75" hidden="false" customHeight="false" outlineLevel="0" collapsed="false">
      <c r="X869" s="102" t="n">
        <v>150</v>
      </c>
      <c r="Y869" s="124" t="n">
        <f aca="false">Y868+Y$16</f>
        <v>0.00339119136333462</v>
      </c>
      <c r="Z869" s="115" t="n">
        <f aca="false">(K-(L0-Y869*Ldif-alph*Y869^0.5))/R0</f>
        <v>0.964788546892477</v>
      </c>
      <c r="AA869" s="113" t="n">
        <f aca="false">IF(Z869&lt;1,X$14*((1-r_1)-Y$14*(1-r_1^2)+Z$14*(1-r_1^3)),0)</f>
        <v>21697.3125240066</v>
      </c>
      <c r="AB869" s="97" t="n">
        <f aca="false">AB868+AB$15</f>
        <v>0.00339119136333462</v>
      </c>
      <c r="AC869" s="115" t="n">
        <f aca="false">(Kopt-(L0-AB869*Ldif-alph*AB869^0.5))/R0</f>
        <v>0.964788546892477</v>
      </c>
      <c r="AD869" s="113" t="n">
        <f aca="false">IF(AC869&lt;1,X$14*((1-ropt)-Y$14*(1-ropt^2)+Z$14*(1-ropt^3)),0)</f>
        <v>21697.3125240066</v>
      </c>
    </row>
    <row r="870" customFormat="false" ht="12.75" hidden="false" customHeight="false" outlineLevel="0" collapsed="false">
      <c r="X870" s="102" t="n">
        <v>149</v>
      </c>
      <c r="Y870" s="124" t="n">
        <f aca="false">Y869+Y$16</f>
        <v>0.00339518100023266</v>
      </c>
      <c r="Z870" s="115" t="n">
        <f aca="false">(K-(L0-Y870*Ldif-alph*Y870^0.5))/R0</f>
        <v>0.965033156515423</v>
      </c>
      <c r="AA870" s="113" t="n">
        <f aca="false">IF(Z870&lt;1,X$14*((1-r_1)-Y$14*(1-r_1^2)+Z$14*(1-r_1^3)),0)</f>
        <v>21396.9025073102</v>
      </c>
      <c r="AB870" s="97" t="n">
        <f aca="false">AB869+AB$15</f>
        <v>0.00339518100023266</v>
      </c>
      <c r="AC870" s="115" t="n">
        <f aca="false">(Kopt-(L0-AB870*Ldif-alph*AB870^0.5))/R0</f>
        <v>0.965033156515423</v>
      </c>
      <c r="AD870" s="113" t="n">
        <f aca="false">IF(AC870&lt;1,X$14*((1-ropt)-Y$14*(1-ropt^2)+Z$14*(1-ropt^3)),0)</f>
        <v>21396.9025073102</v>
      </c>
    </row>
    <row r="871" customFormat="false" ht="12.75" hidden="false" customHeight="false" outlineLevel="0" collapsed="false">
      <c r="X871" s="102" t="n">
        <v>148</v>
      </c>
      <c r="Y871" s="124" t="n">
        <f aca="false">Y870+Y$16</f>
        <v>0.0033991706371307</v>
      </c>
      <c r="Z871" s="115" t="n">
        <f aca="false">(K-(L0-Y871*Ldif-alph*Y871^0.5))/R0</f>
        <v>0.965277622462275</v>
      </c>
      <c r="AA871" s="113" t="n">
        <f aca="false">IF(Z871&lt;1,X$14*((1-r_1)-Y$14*(1-r_1^2)+Z$14*(1-r_1^3)),0)</f>
        <v>21098.7612827662</v>
      </c>
      <c r="AB871" s="97" t="n">
        <f aca="false">AB870+AB$15</f>
        <v>0.0033991706371307</v>
      </c>
      <c r="AC871" s="115" t="n">
        <f aca="false">(Kopt-(L0-AB871*Ldif-alph*AB871^0.5))/R0</f>
        <v>0.965277622462275</v>
      </c>
      <c r="AD871" s="113" t="n">
        <f aca="false">IF(AC871&lt;1,X$14*((1-ropt)-Y$14*(1-ropt^2)+Z$14*(1-ropt^3)),0)</f>
        <v>21098.7612827662</v>
      </c>
    </row>
    <row r="872" customFormat="false" ht="12.75" hidden="false" customHeight="false" outlineLevel="0" collapsed="false">
      <c r="X872" s="102" t="n">
        <v>147</v>
      </c>
      <c r="Y872" s="124" t="n">
        <f aca="false">Y871+Y$16</f>
        <v>0.00340316027402874</v>
      </c>
      <c r="Z872" s="115" t="n">
        <f aca="false">(K-(L0-Y872*Ldif-alph*Y872^0.5))/R0</f>
        <v>0.965521944985914</v>
      </c>
      <c r="AA872" s="113" t="n">
        <f aca="false">IF(Z872&lt;1,X$14*((1-r_1)-Y$14*(1-r_1^2)+Z$14*(1-r_1^3)),0)</f>
        <v>20802.8848572009</v>
      </c>
      <c r="AB872" s="97" t="n">
        <f aca="false">AB871+AB$15</f>
        <v>0.00340316027402874</v>
      </c>
      <c r="AC872" s="115" t="n">
        <f aca="false">(Kopt-(L0-AB872*Ldif-alph*AB872^0.5))/R0</f>
        <v>0.965521944985914</v>
      </c>
      <c r="AD872" s="113" t="n">
        <f aca="false">IF(AC872&lt;1,X$14*((1-ropt)-Y$14*(1-ropt^2)+Z$14*(1-ropt^3)),0)</f>
        <v>20802.8848572009</v>
      </c>
    </row>
    <row r="873" customFormat="false" ht="12.75" hidden="false" customHeight="false" outlineLevel="0" collapsed="false">
      <c r="X873" s="102" t="n">
        <v>146</v>
      </c>
      <c r="Y873" s="124" t="n">
        <f aca="false">Y872+Y$16</f>
        <v>0.00340714991092679</v>
      </c>
      <c r="Z873" s="115" t="n">
        <f aca="false">(K-(L0-Y873*Ldif-alph*Y873^0.5))/R0</f>
        <v>0.965766124338471</v>
      </c>
      <c r="AA873" s="113" t="n">
        <f aca="false">IF(Z873&lt;1,X$14*((1-r_1)-Y$14*(1-r_1^2)+Z$14*(1-r_1^3)),0)</f>
        <v>20509.2692491579</v>
      </c>
      <c r="AB873" s="97" t="n">
        <f aca="false">AB872+AB$15</f>
        <v>0.00340714991092679</v>
      </c>
      <c r="AC873" s="115" t="n">
        <f aca="false">(Kopt-(L0-AB873*Ldif-alph*AB873^0.5))/R0</f>
        <v>0.965766124338471</v>
      </c>
      <c r="AD873" s="113" t="n">
        <f aca="false">IF(AC873&lt;1,X$14*((1-ropt)-Y$14*(1-ropt^2)+Z$14*(1-ropt^3)),0)</f>
        <v>20509.2692491579</v>
      </c>
    </row>
    <row r="874" customFormat="false" ht="12.75" hidden="false" customHeight="false" outlineLevel="0" collapsed="false">
      <c r="X874" s="102" t="n">
        <v>145</v>
      </c>
      <c r="Y874" s="124" t="n">
        <f aca="false">Y873+Y$16</f>
        <v>0.00341113954782483</v>
      </c>
      <c r="Z874" s="115" t="n">
        <f aca="false">(K-(L0-Y874*Ldif-alph*Y874^0.5))/R0</f>
        <v>0.966010160771348</v>
      </c>
      <c r="AA874" s="113" t="n">
        <f aca="false">IF(Z874&lt;1,X$14*((1-r_1)-Y$14*(1-r_1^2)+Z$14*(1-r_1^3)),0)</f>
        <v>20217.9104888189</v>
      </c>
      <c r="AB874" s="97" t="n">
        <f aca="false">AB873+AB$15</f>
        <v>0.00341113954782483</v>
      </c>
      <c r="AC874" s="115" t="n">
        <f aca="false">(Kopt-(L0-AB874*Ldif-alph*AB874^0.5))/R0</f>
        <v>0.966010160771348</v>
      </c>
      <c r="AD874" s="113" t="n">
        <f aca="false">IF(AC874&lt;1,X$14*((1-ropt)-Y$14*(1-ropt^2)+Z$14*(1-ropt^3)),0)</f>
        <v>20217.9104888189</v>
      </c>
    </row>
    <row r="875" customFormat="false" ht="12.75" hidden="false" customHeight="false" outlineLevel="0" collapsed="false">
      <c r="X875" s="102" t="n">
        <v>144</v>
      </c>
      <c r="Y875" s="124" t="n">
        <f aca="false">Y874+Y$16</f>
        <v>0.00341512918472287</v>
      </c>
      <c r="Z875" s="115" t="n">
        <f aca="false">(K-(L0-Y875*Ldif-alph*Y875^0.5))/R0</f>
        <v>0.966254054535207</v>
      </c>
      <c r="AA875" s="113" t="n">
        <f aca="false">IF(Z875&lt;1,X$14*((1-r_1)-Y$14*(1-r_1^2)+Z$14*(1-r_1^3)),0)</f>
        <v>19928.8046179744</v>
      </c>
      <c r="AB875" s="97" t="n">
        <f aca="false">AB874+AB$15</f>
        <v>0.00341512918472287</v>
      </c>
      <c r="AC875" s="115" t="n">
        <f aca="false">(Kopt-(L0-AB875*Ldif-alph*AB875^0.5))/R0</f>
        <v>0.966254054535207</v>
      </c>
      <c r="AD875" s="113" t="n">
        <f aca="false">IF(AC875&lt;1,X$14*((1-ropt)-Y$14*(1-ropt^2)+Z$14*(1-ropt^3)),0)</f>
        <v>19928.8046179744</v>
      </c>
    </row>
    <row r="876" customFormat="false" ht="12.75" hidden="false" customHeight="false" outlineLevel="0" collapsed="false">
      <c r="X876" s="102" t="n">
        <v>143</v>
      </c>
      <c r="Y876" s="124" t="n">
        <f aca="false">Y875+Y$16</f>
        <v>0.00341911882162091</v>
      </c>
      <c r="Z876" s="115" t="n">
        <f aca="false">(K-(L0-Y876*Ldif-alph*Y876^0.5))/R0</f>
        <v>0.966497805879979</v>
      </c>
      <c r="AA876" s="113" t="n">
        <f aca="false">IF(Z876&lt;1,X$14*((1-r_1)-Y$14*(1-r_1^2)+Z$14*(1-r_1^3)),0)</f>
        <v>19641.9476899729</v>
      </c>
      <c r="AB876" s="97" t="n">
        <f aca="false">AB875+AB$15</f>
        <v>0.00341911882162091</v>
      </c>
      <c r="AC876" s="115" t="n">
        <f aca="false">(Kopt-(L0-AB876*Ldif-alph*AB876^0.5))/R0</f>
        <v>0.966497805879979</v>
      </c>
      <c r="AD876" s="113" t="n">
        <f aca="false">IF(AC876&lt;1,X$14*((1-ropt)-Y$14*(1-ropt^2)+Z$14*(1-ropt^3)),0)</f>
        <v>19641.9476899729</v>
      </c>
    </row>
    <row r="877" customFormat="false" ht="12.75" hidden="false" customHeight="false" outlineLevel="0" collapsed="false">
      <c r="X877" s="102" t="n">
        <v>142</v>
      </c>
      <c r="Y877" s="124" t="n">
        <f aca="false">Y876+Y$16</f>
        <v>0.00342310845851895</v>
      </c>
      <c r="Z877" s="115" t="n">
        <f aca="false">(K-(L0-Y877*Ldif-alph*Y877^0.5))/R0</f>
        <v>0.966741415054866</v>
      </c>
      <c r="AA877" s="113" t="n">
        <f aca="false">IF(Z877&lt;1,X$14*((1-r_1)-Y$14*(1-r_1^2)+Z$14*(1-r_1^3)),0)</f>
        <v>19357.3357696728</v>
      </c>
      <c r="AB877" s="97" t="n">
        <f aca="false">AB876+AB$15</f>
        <v>0.00342310845851895</v>
      </c>
      <c r="AC877" s="115" t="n">
        <f aca="false">(Kopt-(L0-AB877*Ldif-alph*AB877^0.5))/R0</f>
        <v>0.966741415054866</v>
      </c>
      <c r="AD877" s="113" t="n">
        <f aca="false">IF(AC877&lt;1,X$14*((1-ropt)-Y$14*(1-ropt^2)+Z$14*(1-ropt^3)),0)</f>
        <v>19357.3357696728</v>
      </c>
    </row>
    <row r="878" customFormat="false" ht="12.75" hidden="false" customHeight="false" outlineLevel="0" collapsed="false">
      <c r="X878" s="102" t="n">
        <v>141</v>
      </c>
      <c r="Y878" s="124" t="n">
        <f aca="false">Y877+Y$16</f>
        <v>0.00342709809541699</v>
      </c>
      <c r="Z878" s="115" t="n">
        <f aca="false">(K-(L0-Y878*Ldif-alph*Y878^0.5))/R0</f>
        <v>0.966984882308347</v>
      </c>
      <c r="AA878" s="113" t="n">
        <f aca="false">IF(Z878&lt;1,X$14*((1-r_1)-Y$14*(1-r_1^2)+Z$14*(1-r_1^3)),0)</f>
        <v>19074.9649333896</v>
      </c>
      <c r="AB878" s="97" t="n">
        <f aca="false">AB877+AB$15</f>
        <v>0.00342709809541699</v>
      </c>
      <c r="AC878" s="115" t="n">
        <f aca="false">(Kopt-(L0-AB878*Ldif-alph*AB878^0.5))/R0</f>
        <v>0.966984882308347</v>
      </c>
      <c r="AD878" s="113" t="n">
        <f aca="false">IF(AC878&lt;1,X$14*((1-ropt)-Y$14*(1-ropt^2)+Z$14*(1-ropt^3)),0)</f>
        <v>19074.9649333896</v>
      </c>
    </row>
    <row r="879" customFormat="false" ht="12.75" hidden="false" customHeight="false" outlineLevel="0" collapsed="false">
      <c r="X879" s="102" t="n">
        <v>140</v>
      </c>
      <c r="Y879" s="124" t="n">
        <f aca="false">Y878+Y$16</f>
        <v>0.00343108773231503</v>
      </c>
      <c r="Z879" s="115" t="n">
        <f aca="false">(K-(L0-Y879*Ldif-alph*Y879^0.5))/R0</f>
        <v>0.967228207888169</v>
      </c>
      <c r="AA879" s="113" t="n">
        <f aca="false">IF(Z879&lt;1,X$14*((1-r_1)-Y$14*(1-r_1^2)+Z$14*(1-r_1^3)),0)</f>
        <v>18794.8312688691</v>
      </c>
      <c r="AB879" s="97" t="n">
        <f aca="false">AB878+AB$15</f>
        <v>0.00343108773231503</v>
      </c>
      <c r="AC879" s="115" t="n">
        <f aca="false">(Kopt-(L0-AB879*Ldif-alph*AB879^0.5))/R0</f>
        <v>0.967228207888169</v>
      </c>
      <c r="AD879" s="113" t="n">
        <f aca="false">IF(AC879&lt;1,X$14*((1-ropt)-Y$14*(1-ropt^2)+Z$14*(1-ropt^3)),0)</f>
        <v>18794.8312688691</v>
      </c>
    </row>
    <row r="880" customFormat="false" ht="12.75" hidden="false" customHeight="false" outlineLevel="0" collapsed="false">
      <c r="X880" s="102" t="n">
        <v>139</v>
      </c>
      <c r="Y880" s="124" t="n">
        <f aca="false">Y879+Y$16</f>
        <v>0.00343507736921307</v>
      </c>
      <c r="Z880" s="115" t="n">
        <f aca="false">(K-(L0-Y880*Ldif-alph*Y880^0.5))/R0</f>
        <v>0.967471392041374</v>
      </c>
      <c r="AA880" s="113" t="n">
        <f aca="false">IF(Z880&lt;1,X$14*((1-r_1)-Y$14*(1-r_1^2)+Z$14*(1-r_1^3)),0)</f>
        <v>18516.9308752051</v>
      </c>
      <c r="AB880" s="97" t="n">
        <f aca="false">AB879+AB$15</f>
        <v>0.00343507736921307</v>
      </c>
      <c r="AC880" s="115" t="n">
        <f aca="false">(Kopt-(L0-AB880*Ldif-alph*AB880^0.5))/R0</f>
        <v>0.967471392041374</v>
      </c>
      <c r="AD880" s="113" t="n">
        <f aca="false">IF(AC880&lt;1,X$14*((1-ropt)-Y$14*(1-ropt^2)+Z$14*(1-ropt^3)),0)</f>
        <v>18516.9308752051</v>
      </c>
    </row>
    <row r="881" customFormat="false" ht="12.75" hidden="false" customHeight="false" outlineLevel="0" collapsed="false">
      <c r="X881" s="102" t="n">
        <v>138</v>
      </c>
      <c r="Y881" s="124" t="n">
        <f aca="false">Y880+Y$16</f>
        <v>0.00343906700611111</v>
      </c>
      <c r="Z881" s="115" t="n">
        <f aca="false">(K-(L0-Y881*Ldif-alph*Y881^0.5))/R0</f>
        <v>0.967714435014273</v>
      </c>
      <c r="AA881" s="113" t="n">
        <f aca="false">IF(Z881&lt;1,X$14*((1-r_1)-Y$14*(1-r_1^2)+Z$14*(1-r_1^3)),0)</f>
        <v>18241.2598628323</v>
      </c>
      <c r="AB881" s="97" t="n">
        <f aca="false">AB880+AB$15</f>
        <v>0.00343906700611111</v>
      </c>
      <c r="AC881" s="115" t="n">
        <f aca="false">(Kopt-(L0-AB881*Ldif-alph*AB881^0.5))/R0</f>
        <v>0.967714435014273</v>
      </c>
      <c r="AD881" s="113" t="n">
        <f aca="false">IF(AC881&lt;1,X$14*((1-ropt)-Y$14*(1-ropt^2)+Z$14*(1-ropt^3)),0)</f>
        <v>18241.2598628323</v>
      </c>
    </row>
    <row r="882" customFormat="false" ht="12.75" hidden="false" customHeight="false" outlineLevel="0" collapsed="false">
      <c r="X882" s="102" t="n">
        <v>137</v>
      </c>
      <c r="Y882" s="124" t="n">
        <f aca="false">Y881+Y$16</f>
        <v>0.00344305664300915</v>
      </c>
      <c r="Z882" s="115" t="n">
        <f aca="false">(K-(L0-Y882*Ldif-alph*Y882^0.5))/R0</f>
        <v>0.96795733705247</v>
      </c>
      <c r="AA882" s="113" t="n">
        <f aca="false">IF(Z882&lt;1,X$14*((1-r_1)-Y$14*(1-r_1^2)+Z$14*(1-r_1^3)),0)</f>
        <v>17967.8143534581</v>
      </c>
      <c r="AB882" s="97" t="n">
        <f aca="false">AB881+AB$15</f>
        <v>0.00344305664300915</v>
      </c>
      <c r="AC882" s="115" t="n">
        <f aca="false">(Kopt-(L0-AB882*Ldif-alph*AB882^0.5))/R0</f>
        <v>0.96795733705247</v>
      </c>
      <c r="AD882" s="113" t="n">
        <f aca="false">IF(AC882&lt;1,X$14*((1-ropt)-Y$14*(1-ropt^2)+Z$14*(1-ropt^3)),0)</f>
        <v>17967.8143534581</v>
      </c>
    </row>
    <row r="883" customFormat="false" ht="12.75" hidden="false" customHeight="false" outlineLevel="0" collapsed="false">
      <c r="X883" s="102" t="n">
        <v>136</v>
      </c>
      <c r="Y883" s="124" t="n">
        <f aca="false">Y882+Y$16</f>
        <v>0.00344704627990719</v>
      </c>
      <c r="Z883" s="115" t="n">
        <f aca="false">(K-(L0-Y883*Ldif-alph*Y883^0.5))/R0</f>
        <v>0.968200098400854</v>
      </c>
      <c r="AA883" s="113" t="n">
        <f aca="false">IF(Z883&lt;1,X$14*((1-r_1)-Y$14*(1-r_1^2)+Z$14*(1-r_1^3)),0)</f>
        <v>17696.5904800178</v>
      </c>
      <c r="AB883" s="97" t="n">
        <f aca="false">AB882+AB$15</f>
        <v>0.00344704627990719</v>
      </c>
      <c r="AC883" s="115" t="n">
        <f aca="false">(Kopt-(L0-AB883*Ldif-alph*AB883^0.5))/R0</f>
        <v>0.968200098400854</v>
      </c>
      <c r="AD883" s="113" t="n">
        <f aca="false">IF(AC883&lt;1,X$14*((1-ropt)-Y$14*(1-ropt^2)+Z$14*(1-ropt^3)),0)</f>
        <v>17696.5904800178</v>
      </c>
    </row>
    <row r="884" customFormat="false" ht="12.75" hidden="false" customHeight="false" outlineLevel="0" collapsed="false">
      <c r="X884" s="102" t="n">
        <v>135</v>
      </c>
      <c r="Y884" s="124" t="n">
        <f aca="false">Y883+Y$16</f>
        <v>0.00345103591680523</v>
      </c>
      <c r="Z884" s="115" t="n">
        <f aca="false">(K-(L0-Y884*Ldif-alph*Y884^0.5))/R0</f>
        <v>0.968442719303612</v>
      </c>
      <c r="AA884" s="113" t="n">
        <f aca="false">IF(Z884&lt;1,X$14*((1-r_1)-Y$14*(1-r_1^2)+Z$14*(1-r_1^3)),0)</f>
        <v>17427.5843866356</v>
      </c>
      <c r="AB884" s="97" t="n">
        <f aca="false">AB883+AB$15</f>
        <v>0.00345103591680523</v>
      </c>
      <c r="AC884" s="115" t="n">
        <f aca="false">(Kopt-(L0-AB884*Ldif-alph*AB884^0.5))/R0</f>
        <v>0.968442719303612</v>
      </c>
      <c r="AD884" s="113" t="n">
        <f aca="false">IF(AC884&lt;1,X$14*((1-ropt)-Y$14*(1-ropt^2)+Z$14*(1-ropt^3)),0)</f>
        <v>17427.5843866356</v>
      </c>
    </row>
    <row r="885" customFormat="false" ht="12.75" hidden="false" customHeight="false" outlineLevel="0" collapsed="false">
      <c r="X885" s="102" t="n">
        <v>134</v>
      </c>
      <c r="Y885" s="124" t="n">
        <f aca="false">Y884+Y$16</f>
        <v>0.00345502555370327</v>
      </c>
      <c r="Z885" s="115" t="n">
        <f aca="false">(K-(L0-Y885*Ldif-alph*Y885^0.5))/R0</f>
        <v>0.968685200004215</v>
      </c>
      <c r="AA885" s="113" t="n">
        <f aca="false">IF(Z885&lt;1,X$14*((1-r_1)-Y$14*(1-r_1^2)+Z$14*(1-r_1^3)),0)</f>
        <v>17160.7922285805</v>
      </c>
      <c r="AB885" s="97" t="n">
        <f aca="false">AB884+AB$15</f>
        <v>0.00345502555370327</v>
      </c>
      <c r="AC885" s="115" t="n">
        <f aca="false">(Kopt-(L0-AB885*Ldif-alph*AB885^0.5))/R0</f>
        <v>0.968685200004215</v>
      </c>
      <c r="AD885" s="113" t="n">
        <f aca="false">IF(AC885&lt;1,X$14*((1-ropt)-Y$14*(1-ropt^2)+Z$14*(1-ropt^3)),0)</f>
        <v>17160.7922285805</v>
      </c>
    </row>
    <row r="886" customFormat="false" ht="12.75" hidden="false" customHeight="false" outlineLevel="0" collapsed="false">
      <c r="X886" s="102" t="n">
        <v>133</v>
      </c>
      <c r="Y886" s="124" t="n">
        <f aca="false">Y885+Y$16</f>
        <v>0.00345901519060131</v>
      </c>
      <c r="Z886" s="115" t="n">
        <f aca="false">(K-(L0-Y886*Ldif-alph*Y886^0.5))/R0</f>
        <v>0.968927540745443</v>
      </c>
      <c r="AA886" s="113" t="n">
        <f aca="false">IF(Z886&lt;1,X$14*((1-r_1)-Y$14*(1-r_1^2)+Z$14*(1-r_1^3)),0)</f>
        <v>16896.2101722073</v>
      </c>
      <c r="AB886" s="97" t="n">
        <f aca="false">AB885+AB$15</f>
        <v>0.00345901519060131</v>
      </c>
      <c r="AC886" s="115" t="n">
        <f aca="false">(Kopt-(L0-AB886*Ldif-alph*AB886^0.5))/R0</f>
        <v>0.968927540745443</v>
      </c>
      <c r="AD886" s="113" t="n">
        <f aca="false">IF(AC886&lt;1,X$14*((1-ropt)-Y$14*(1-ropt^2)+Z$14*(1-ropt^3)),0)</f>
        <v>16896.2101722073</v>
      </c>
    </row>
    <row r="887" customFormat="false" ht="12.75" hidden="false" customHeight="false" outlineLevel="0" collapsed="false">
      <c r="X887" s="102" t="n">
        <v>132</v>
      </c>
      <c r="Y887" s="124" t="n">
        <f aca="false">Y886+Y$16</f>
        <v>0.00346300482749935</v>
      </c>
      <c r="Z887" s="115" t="n">
        <f aca="false">(K-(L0-Y887*Ldif-alph*Y887^0.5))/R0</f>
        <v>0.969169741769365</v>
      </c>
      <c r="AA887" s="113" t="n">
        <f aca="false">IF(Z887&lt;1,X$14*((1-r_1)-Y$14*(1-r_1^2)+Z$14*(1-r_1^3)),0)</f>
        <v>16633.8343949338</v>
      </c>
      <c r="AB887" s="97" t="n">
        <f aca="false">AB886+AB$15</f>
        <v>0.00346300482749935</v>
      </c>
      <c r="AC887" s="115" t="n">
        <f aca="false">(Kopt-(L0-AB887*Ldif-alph*AB887^0.5))/R0</f>
        <v>0.969169741769365</v>
      </c>
      <c r="AD887" s="113" t="n">
        <f aca="false">IF(AC887&lt;1,X$14*((1-ropt)-Y$14*(1-ropt^2)+Z$14*(1-ropt^3)),0)</f>
        <v>16633.8343949338</v>
      </c>
    </row>
    <row r="888" customFormat="false" ht="12.75" hidden="false" customHeight="false" outlineLevel="0" collapsed="false">
      <c r="X888" s="102" t="n">
        <v>131</v>
      </c>
      <c r="Y888" s="124" t="n">
        <f aca="false">Y887+Y$16</f>
        <v>0.00346699446439739</v>
      </c>
      <c r="Z888" s="115" t="n">
        <f aca="false">(K-(L0-Y888*Ldif-alph*Y888^0.5))/R0</f>
        <v>0.969411803317366</v>
      </c>
      <c r="AA888" s="113" t="n">
        <f aca="false">IF(Z888&lt;1,X$14*((1-r_1)-Y$14*(1-r_1^2)+Z$14*(1-r_1^3)),0)</f>
        <v>16373.6610851706</v>
      </c>
      <c r="AB888" s="97" t="n">
        <f aca="false">AB887+AB$15</f>
        <v>0.00346699446439739</v>
      </c>
      <c r="AC888" s="115" t="n">
        <f aca="false">(Kopt-(L0-AB888*Ldif-alph*AB888^0.5))/R0</f>
        <v>0.969411803317366</v>
      </c>
      <c r="AD888" s="113" t="n">
        <f aca="false">IF(AC888&lt;1,X$14*((1-ropt)-Y$14*(1-ropt^2)+Z$14*(1-ropt^3)),0)</f>
        <v>16373.6610851706</v>
      </c>
    </row>
    <row r="889" customFormat="false" ht="12.75" hidden="false" customHeight="false" outlineLevel="0" collapsed="false">
      <c r="X889" s="102" t="n">
        <v>130</v>
      </c>
      <c r="Y889" s="124" t="n">
        <f aca="false">Y888+Y$16</f>
        <v>0.00347098410129544</v>
      </c>
      <c r="Z889" s="115" t="n">
        <f aca="false">(K-(L0-Y889*Ldif-alph*Y889^0.5))/R0</f>
        <v>0.969653725630121</v>
      </c>
      <c r="AA889" s="113" t="n">
        <f aca="false">IF(Z889&lt;1,X$14*((1-r_1)-Y$14*(1-r_1^2)+Z$14*(1-r_1^3)),0)</f>
        <v>16115.6864423095</v>
      </c>
      <c r="AB889" s="97" t="n">
        <f aca="false">AB888+AB$15</f>
        <v>0.00347098410129544</v>
      </c>
      <c r="AC889" s="115" t="n">
        <f aca="false">(Kopt-(L0-AB889*Ldif-alph*AB889^0.5))/R0</f>
        <v>0.969653725630121</v>
      </c>
      <c r="AD889" s="113" t="n">
        <f aca="false">IF(AC889&lt;1,X$14*((1-ropt)-Y$14*(1-ropt^2)+Z$14*(1-ropt^3)),0)</f>
        <v>16115.6864423095</v>
      </c>
    </row>
    <row r="890" customFormat="false" ht="12.75" hidden="false" customHeight="false" outlineLevel="0" collapsed="false">
      <c r="X890" s="102" t="n">
        <v>129</v>
      </c>
      <c r="Y890" s="124" t="n">
        <f aca="false">Y889+Y$16</f>
        <v>0.00347497373819348</v>
      </c>
      <c r="Z890" s="115" t="n">
        <f aca="false">(K-(L0-Y890*Ldif-alph*Y890^0.5))/R0</f>
        <v>0.969895508947628</v>
      </c>
      <c r="AA890" s="113" t="n">
        <f aca="false">IF(Z890&lt;1,X$14*((1-r_1)-Y$14*(1-r_1^2)+Z$14*(1-r_1^3)),0)</f>
        <v>15859.9066766402</v>
      </c>
      <c r="AB890" s="97" t="n">
        <f aca="false">AB889+AB$15</f>
        <v>0.00347497373819348</v>
      </c>
      <c r="AC890" s="115" t="n">
        <f aca="false">(Kopt-(L0-AB890*Ldif-alph*AB890^0.5))/R0</f>
        <v>0.969895508947628</v>
      </c>
      <c r="AD890" s="113" t="n">
        <f aca="false">IF(AC890&lt;1,X$14*((1-ropt)-Y$14*(1-ropt^2)+Z$14*(1-ropt^3)),0)</f>
        <v>15859.9066766402</v>
      </c>
    </row>
    <row r="891" customFormat="false" ht="12.75" hidden="false" customHeight="false" outlineLevel="0" collapsed="false">
      <c r="X891" s="102" t="n">
        <v>128</v>
      </c>
      <c r="Y891" s="124" t="n">
        <f aca="false">Y890+Y$16</f>
        <v>0.00347896337509152</v>
      </c>
      <c r="Z891" s="115" t="n">
        <f aca="false">(K-(L0-Y891*Ldif-alph*Y891^0.5))/R0</f>
        <v>0.970137153509187</v>
      </c>
      <c r="AA891" s="113" t="n">
        <f aca="false">IF(Z891&lt;1,X$14*((1-r_1)-Y$14*(1-r_1^2)+Z$14*(1-r_1^3)),0)</f>
        <v>15606.3180093419</v>
      </c>
      <c r="AB891" s="97" t="n">
        <f aca="false">AB890+AB$15</f>
        <v>0.00347896337509152</v>
      </c>
      <c r="AC891" s="115" t="n">
        <f aca="false">(Kopt-(L0-AB891*Ldif-alph*AB891^0.5))/R0</f>
        <v>0.970137153509187</v>
      </c>
      <c r="AD891" s="113" t="n">
        <f aca="false">IF(AC891&lt;1,X$14*((1-ropt)-Y$14*(1-ropt^2)+Z$14*(1-ropt^3)),0)</f>
        <v>15606.3180093419</v>
      </c>
    </row>
    <row r="892" customFormat="false" ht="12.75" hidden="false" customHeight="false" outlineLevel="0" collapsed="false">
      <c r="X892" s="102" t="n">
        <v>127</v>
      </c>
      <c r="Y892" s="124" t="n">
        <f aca="false">Y891+Y$16</f>
        <v>0.00348295301198956</v>
      </c>
      <c r="Z892" s="115" t="n">
        <f aca="false">(K-(L0-Y892*Ldif-alph*Y892^0.5))/R0</f>
        <v>0.97037865955342</v>
      </c>
      <c r="AA892" s="113" t="n">
        <f aca="false">IF(Z892&lt;1,X$14*((1-r_1)-Y$14*(1-r_1^2)+Z$14*(1-r_1^3)),0)</f>
        <v>15354.9166724121</v>
      </c>
      <c r="AB892" s="97" t="n">
        <f aca="false">AB891+AB$15</f>
        <v>0.00348295301198956</v>
      </c>
      <c r="AC892" s="115" t="n">
        <f aca="false">(Kopt-(L0-AB892*Ldif-alph*AB892^0.5))/R0</f>
        <v>0.97037865955342</v>
      </c>
      <c r="AD892" s="113" t="n">
        <f aca="false">IF(AC892&lt;1,X$14*((1-ropt)-Y$14*(1-ropt^2)+Z$14*(1-ropt^3)),0)</f>
        <v>15354.9166724121</v>
      </c>
    </row>
    <row r="893" customFormat="false" ht="12.75" hidden="false" customHeight="false" outlineLevel="0" collapsed="false">
      <c r="X893" s="102" t="n">
        <v>126</v>
      </c>
      <c r="Y893" s="124" t="n">
        <f aca="false">Y892+Y$16</f>
        <v>0.0034869426488876</v>
      </c>
      <c r="Z893" s="115" t="n">
        <f aca="false">(K-(L0-Y893*Ldif-alph*Y893^0.5))/R0</f>
        <v>0.970620027318254</v>
      </c>
      <c r="AA893" s="113" t="n">
        <f aca="false">IF(Z893&lt;1,X$14*((1-r_1)-Y$14*(1-r_1^2)+Z$14*(1-r_1^3)),0)</f>
        <v>15105.6989086526</v>
      </c>
      <c r="AB893" s="97" t="n">
        <f aca="false">AB892+AB$15</f>
        <v>0.0034869426488876</v>
      </c>
      <c r="AC893" s="115" t="n">
        <f aca="false">(Kopt-(L0-AB893*Ldif-alph*AB893^0.5))/R0</f>
        <v>0.970620027318254</v>
      </c>
      <c r="AD893" s="113" t="n">
        <f aca="false">IF(AC893&lt;1,X$14*((1-ropt)-Y$14*(1-ropt^2)+Z$14*(1-ropt^3)),0)</f>
        <v>15105.6989086526</v>
      </c>
    </row>
    <row r="894" customFormat="false" ht="12.75" hidden="false" customHeight="false" outlineLevel="0" collapsed="false">
      <c r="X894" s="102" t="n">
        <v>125</v>
      </c>
      <c r="Y894" s="124" t="n">
        <f aca="false">Y893+Y$16</f>
        <v>0.00349093228578564</v>
      </c>
      <c r="Z894" s="115" t="n">
        <f aca="false">(K-(L0-Y894*Ldif-alph*Y894^0.5))/R0</f>
        <v>0.970861257040948</v>
      </c>
      <c r="AA894" s="113" t="n">
        <f aca="false">IF(Z894&lt;1,X$14*((1-r_1)-Y$14*(1-r_1^2)+Z$14*(1-r_1^3)),0)</f>
        <v>14858.6609715901</v>
      </c>
      <c r="AB894" s="97" t="n">
        <f aca="false">AB893+AB$15</f>
        <v>0.00349093228578564</v>
      </c>
      <c r="AC894" s="115" t="n">
        <f aca="false">(Kopt-(L0-AB894*Ldif-alph*AB894^0.5))/R0</f>
        <v>0.970861257040948</v>
      </c>
      <c r="AD894" s="113" t="n">
        <f aca="false">IF(AC894&lt;1,X$14*((1-ropt)-Y$14*(1-ropt^2)+Z$14*(1-ropt^3)),0)</f>
        <v>14858.6609715901</v>
      </c>
    </row>
    <row r="895" customFormat="false" ht="12.75" hidden="false" customHeight="false" outlineLevel="0" collapsed="false">
      <c r="X895" s="102" t="n">
        <v>124</v>
      </c>
      <c r="Y895" s="124" t="n">
        <f aca="false">Y894+Y$16</f>
        <v>0.00349492192268368</v>
      </c>
      <c r="Z895" s="115" t="n">
        <f aca="false">(K-(L0-Y895*Ldif-alph*Y895^0.5))/R0</f>
        <v>0.97110234895808</v>
      </c>
      <c r="AA895" s="113" t="n">
        <f aca="false">IF(Z895&lt;1,X$14*((1-r_1)-Y$14*(1-r_1^2)+Z$14*(1-r_1^3)),0)</f>
        <v>14613.7991254602</v>
      </c>
      <c r="AB895" s="97" t="n">
        <f aca="false">AB894+AB$15</f>
        <v>0.00349492192268368</v>
      </c>
      <c r="AC895" s="115" t="n">
        <f aca="false">(Kopt-(L0-AB895*Ldif-alph*AB895^0.5))/R0</f>
        <v>0.97110234895808</v>
      </c>
      <c r="AD895" s="113" t="n">
        <f aca="false">IF(AC895&lt;1,X$14*((1-ropt)-Y$14*(1-ropt^2)+Z$14*(1-ropt^3)),0)</f>
        <v>14613.7991254602</v>
      </c>
    </row>
    <row r="896" customFormat="false" ht="12.75" hidden="false" customHeight="false" outlineLevel="0" collapsed="false">
      <c r="X896" s="102" t="n">
        <v>123</v>
      </c>
      <c r="Y896" s="124" t="n">
        <f aca="false">Y895+Y$16</f>
        <v>0.00349891155958172</v>
      </c>
      <c r="Z896" s="115" t="n">
        <f aca="false">(K-(L0-Y896*Ldif-alph*Y896^0.5))/R0</f>
        <v>0.971343303305542</v>
      </c>
      <c r="AA896" s="113" t="n">
        <f aca="false">IF(Z896&lt;1,X$14*((1-r_1)-Y$14*(1-r_1^2)+Z$14*(1-r_1^3)),0)</f>
        <v>14371.1096451674</v>
      </c>
      <c r="AB896" s="97" t="n">
        <f aca="false">AB895+AB$15</f>
        <v>0.00349891155958172</v>
      </c>
      <c r="AC896" s="115" t="n">
        <f aca="false">(Kopt-(L0-AB896*Ldif-alph*AB896^0.5))/R0</f>
        <v>0.971343303305542</v>
      </c>
      <c r="AD896" s="113" t="n">
        <f aca="false">IF(AC896&lt;1,X$14*((1-ropt)-Y$14*(1-ropt^2)+Z$14*(1-ropt^3)),0)</f>
        <v>14371.1096451674</v>
      </c>
    </row>
    <row r="897" customFormat="false" ht="12.75" hidden="false" customHeight="false" outlineLevel="0" collapsed="false">
      <c r="X897" s="102" t="n">
        <v>122</v>
      </c>
      <c r="Y897" s="124" t="n">
        <f aca="false">Y896+Y$16</f>
        <v>0.00350290119647976</v>
      </c>
      <c r="Z897" s="115" t="n">
        <f aca="false">(K-(L0-Y897*Ldif-alph*Y897^0.5))/R0</f>
        <v>0.971584120318574</v>
      </c>
      <c r="AA897" s="113" t="n">
        <f aca="false">IF(Z897&lt;1,X$14*((1-r_1)-Y$14*(1-r_1^2)+Z$14*(1-r_1^3)),0)</f>
        <v>14130.5888162122</v>
      </c>
      <c r="AB897" s="97" t="n">
        <f aca="false">AB896+AB$15</f>
        <v>0.00350290119647976</v>
      </c>
      <c r="AC897" s="115" t="n">
        <f aca="false">(Kopt-(L0-AB897*Ldif-alph*AB897^0.5))/R0</f>
        <v>0.971584120318574</v>
      </c>
      <c r="AD897" s="113" t="n">
        <f aca="false">IF(AC897&lt;1,X$14*((1-ropt)-Y$14*(1-ropt^2)+Z$14*(1-ropt^3)),0)</f>
        <v>14130.5888162122</v>
      </c>
    </row>
    <row r="898" customFormat="false" ht="12.75" hidden="false" customHeight="false" outlineLevel="0" collapsed="false">
      <c r="X898" s="102" t="n">
        <v>121</v>
      </c>
      <c r="Y898" s="124" t="n">
        <f aca="false">Y897+Y$16</f>
        <v>0.0035068908333778</v>
      </c>
      <c r="Z898" s="115" t="n">
        <f aca="false">(K-(L0-Y898*Ldif-alph*Y898^0.5))/R0</f>
        <v>0.971824800231727</v>
      </c>
      <c r="AA898" s="113" t="n">
        <f aca="false">IF(Z898&lt;1,X$14*((1-r_1)-Y$14*(1-r_1^2)+Z$14*(1-r_1^3)),0)</f>
        <v>13892.2329346861</v>
      </c>
      <c r="AB898" s="97" t="n">
        <f aca="false">AB897+AB$15</f>
        <v>0.0035068908333778</v>
      </c>
      <c r="AC898" s="115" t="n">
        <f aca="false">(Kopt-(L0-AB898*Ldif-alph*AB898^0.5))/R0</f>
        <v>0.971824800231727</v>
      </c>
      <c r="AD898" s="113" t="n">
        <f aca="false">IF(AC898&lt;1,X$14*((1-ropt)-Y$14*(1-ropt^2)+Z$14*(1-ropt^3)),0)</f>
        <v>13892.2329346861</v>
      </c>
    </row>
    <row r="899" customFormat="false" ht="12.75" hidden="false" customHeight="false" outlineLevel="0" collapsed="false">
      <c r="X899" s="102" t="n">
        <v>120</v>
      </c>
      <c r="Y899" s="124" t="n">
        <f aca="false">Y898+Y$16</f>
        <v>0.00351088047027584</v>
      </c>
      <c r="Z899" s="115" t="n">
        <f aca="false">(K-(L0-Y899*Ldif-alph*Y899^0.5))/R0</f>
        <v>0.972065343278899</v>
      </c>
      <c r="AA899" s="113" t="n">
        <f aca="false">IF(Z899&lt;1,X$14*((1-r_1)-Y$14*(1-r_1^2)+Z$14*(1-r_1^3)),0)</f>
        <v>13656.0383072012</v>
      </c>
      <c r="AB899" s="97" t="n">
        <f aca="false">AB898+AB$15</f>
        <v>0.00351088047027584</v>
      </c>
      <c r="AC899" s="115" t="n">
        <f aca="false">(Kopt-(L0-AB899*Ldif-alph*AB899^0.5))/R0</f>
        <v>0.972065343278899</v>
      </c>
      <c r="AD899" s="113" t="n">
        <f aca="false">IF(AC899&lt;1,X$14*((1-ropt)-Y$14*(1-ropt^2)+Z$14*(1-ropt^3)),0)</f>
        <v>13656.0383072012</v>
      </c>
    </row>
    <row r="900" customFormat="false" ht="12.75" hidden="false" customHeight="false" outlineLevel="0" collapsed="false">
      <c r="X900" s="102" t="n">
        <v>119</v>
      </c>
      <c r="Y900" s="124" t="n">
        <f aca="false">Y899+Y$16</f>
        <v>0.00351487010717388</v>
      </c>
      <c r="Z900" s="115" t="n">
        <f aca="false">(K-(L0-Y900*Ldif-alph*Y900^0.5))/R0</f>
        <v>0.972305749693312</v>
      </c>
      <c r="AA900" s="113" t="n">
        <f aca="false">IF(Z900&lt;1,X$14*((1-r_1)-Y$14*(1-r_1^2)+Z$14*(1-r_1^3)),0)</f>
        <v>13422.0012508673</v>
      </c>
      <c r="AB900" s="97" t="n">
        <f aca="false">AB899+AB$15</f>
        <v>0.00351487010717388</v>
      </c>
      <c r="AC900" s="115" t="n">
        <f aca="false">(Kopt-(L0-AB900*Ldif-alph*AB900^0.5))/R0</f>
        <v>0.972305749693312</v>
      </c>
      <c r="AD900" s="113" t="n">
        <f aca="false">IF(AC900&lt;1,X$14*((1-ropt)-Y$14*(1-ropt^2)+Z$14*(1-ropt^3)),0)</f>
        <v>13422.0012508673</v>
      </c>
    </row>
    <row r="901" customFormat="false" ht="12.75" hidden="false" customHeight="false" outlineLevel="0" collapsed="false">
      <c r="X901" s="102" t="n">
        <v>118</v>
      </c>
      <c r="Y901" s="124" t="n">
        <f aca="false">Y900+Y$16</f>
        <v>0.00351885974407192</v>
      </c>
      <c r="Z901" s="115" t="n">
        <f aca="false">(K-(L0-Y901*Ldif-alph*Y901^0.5))/R0</f>
        <v>0.97254601970754</v>
      </c>
      <c r="AA901" s="113" t="n">
        <f aca="false">IF(Z901&lt;1,X$14*((1-r_1)-Y$14*(1-r_1^2)+Z$14*(1-r_1^3)),0)</f>
        <v>13190.1180932292</v>
      </c>
      <c r="AB901" s="97" t="n">
        <f aca="false">AB900+AB$15</f>
        <v>0.00351885974407192</v>
      </c>
      <c r="AC901" s="115" t="n">
        <f aca="false">(Kopt-(L0-AB901*Ldif-alph*AB901^0.5))/R0</f>
        <v>0.97254601970754</v>
      </c>
      <c r="AD901" s="113" t="n">
        <f aca="false">IF(AC901&lt;1,X$14*((1-ropt)-Y$14*(1-ropt^2)+Z$14*(1-ropt^3)),0)</f>
        <v>13190.1180932292</v>
      </c>
    </row>
    <row r="902" customFormat="false" ht="12.75" hidden="false" customHeight="false" outlineLevel="0" collapsed="false">
      <c r="X902" s="102" t="n">
        <v>117</v>
      </c>
      <c r="Y902" s="124" t="n">
        <f aca="false">Y901+Y$16</f>
        <v>0.00352284938096996</v>
      </c>
      <c r="Z902" s="115" t="n">
        <f aca="false">(K-(L0-Y902*Ldif-alph*Y902^0.5))/R0</f>
        <v>0.972786153553486</v>
      </c>
      <c r="AA902" s="113" t="n">
        <f aca="false">IF(Z902&lt;1,X$14*((1-r_1)-Y$14*(1-r_1^2)+Z$14*(1-r_1^3)),0)</f>
        <v>12960.3851722535</v>
      </c>
      <c r="AB902" s="97" t="n">
        <f aca="false">AB901+AB$15</f>
        <v>0.00352284938096996</v>
      </c>
      <c r="AC902" s="115" t="n">
        <f aca="false">(Kopt-(L0-AB902*Ldif-alph*AB902^0.5))/R0</f>
        <v>0.972786153553486</v>
      </c>
      <c r="AD902" s="113" t="n">
        <f aca="false">IF(AC902&lt;1,X$14*((1-ropt)-Y$14*(1-ropt^2)+Z$14*(1-ropt^3)),0)</f>
        <v>12960.3851722535</v>
      </c>
    </row>
    <row r="903" customFormat="false" ht="12.75" hidden="false" customHeight="false" outlineLevel="0" collapsed="false">
      <c r="X903" s="102" t="n">
        <v>116</v>
      </c>
      <c r="Y903" s="124" t="n">
        <f aca="false">Y902+Y$16</f>
        <v>0.003526839017868</v>
      </c>
      <c r="Z903" s="115" t="n">
        <f aca="false">(K-(L0-Y903*Ldif-alph*Y903^0.5))/R0</f>
        <v>0.973026151462402</v>
      </c>
      <c r="AA903" s="113" t="n">
        <f aca="false">IF(Z903&lt;1,X$14*((1-r_1)-Y$14*(1-r_1^2)+Z$14*(1-r_1^3)),0)</f>
        <v>12732.7988362622</v>
      </c>
      <c r="AB903" s="97" t="n">
        <f aca="false">AB902+AB$15</f>
        <v>0.003526839017868</v>
      </c>
      <c r="AC903" s="115" t="n">
        <f aca="false">(Kopt-(L0-AB903*Ldif-alph*AB903^0.5))/R0</f>
        <v>0.973026151462402</v>
      </c>
      <c r="AD903" s="113" t="n">
        <f aca="false">IF(AC903&lt;1,X$14*((1-ropt)-Y$14*(1-ropt^2)+Z$14*(1-ropt^3)),0)</f>
        <v>12732.7988362622</v>
      </c>
    </row>
    <row r="904" customFormat="false" ht="12.75" hidden="false" customHeight="false" outlineLevel="0" collapsed="false">
      <c r="X904" s="102" t="n">
        <v>115</v>
      </c>
      <c r="Y904" s="124" t="n">
        <f aca="false">Y903+Y$16</f>
        <v>0.00353082865476604</v>
      </c>
      <c r="Z904" s="115" t="n">
        <f aca="false">(K-(L0-Y904*Ldif-alph*Y904^0.5))/R0</f>
        <v>0.973266013664884</v>
      </c>
      <c r="AA904" s="113" t="n">
        <f aca="false">IF(Z904&lt;1,X$14*((1-r_1)-Y$14*(1-r_1^2)+Z$14*(1-r_1^3)),0)</f>
        <v>12507.3554439079</v>
      </c>
      <c r="AB904" s="97" t="n">
        <f aca="false">AB903+AB$15</f>
        <v>0.00353082865476604</v>
      </c>
      <c r="AC904" s="115" t="n">
        <f aca="false">(Kopt-(L0-AB904*Ldif-alph*AB904^0.5))/R0</f>
        <v>0.973266013664884</v>
      </c>
      <c r="AD904" s="113" t="n">
        <f aca="false">IF(AC904&lt;1,X$14*((1-ropt)-Y$14*(1-ropt^2)+Z$14*(1-ropt^3)),0)</f>
        <v>12507.3554439079</v>
      </c>
    </row>
    <row r="905" customFormat="false" ht="12.75" hidden="false" customHeight="false" outlineLevel="0" collapsed="false">
      <c r="X905" s="102" t="n">
        <v>114</v>
      </c>
      <c r="Y905" s="124" t="n">
        <f aca="false">Y904+Y$16</f>
        <v>0.00353481829166409</v>
      </c>
      <c r="Z905" s="115" t="n">
        <f aca="false">(K-(L0-Y905*Ldif-alph*Y905^0.5))/R0</f>
        <v>0.97350574039088</v>
      </c>
      <c r="AA905" s="113" t="n">
        <f aca="false">IF(Z905&lt;1,X$14*((1-r_1)-Y$14*(1-r_1^2)+Z$14*(1-r_1^3)),0)</f>
        <v>12284.051364119</v>
      </c>
      <c r="AB905" s="97" t="n">
        <f aca="false">AB904+AB$15</f>
        <v>0.00353481829166409</v>
      </c>
      <c r="AC905" s="115" t="n">
        <f aca="false">(Kopt-(L0-AB905*Ldif-alph*AB905^0.5))/R0</f>
        <v>0.97350574039088</v>
      </c>
      <c r="AD905" s="113" t="n">
        <f aca="false">IF(AC905&lt;1,X$14*((1-ropt)-Y$14*(1-ropt^2)+Z$14*(1-ropt^3)),0)</f>
        <v>12284.051364119</v>
      </c>
    </row>
    <row r="906" customFormat="false" ht="12.75" hidden="false" customHeight="false" outlineLevel="0" collapsed="false">
      <c r="X906" s="102" t="n">
        <v>113</v>
      </c>
      <c r="Y906" s="124" t="n">
        <f aca="false">Y905+Y$16</f>
        <v>0.00353880792856213</v>
      </c>
      <c r="Z906" s="115" t="n">
        <f aca="false">(K-(L0-Y906*Ldif-alph*Y906^0.5))/R0</f>
        <v>0.973745331869685</v>
      </c>
      <c r="AA906" s="113" t="n">
        <f aca="false">IF(Z906&lt;1,X$14*((1-r_1)-Y$14*(1-r_1^2)+Z$14*(1-r_1^3)),0)</f>
        <v>12062.8829760766</v>
      </c>
      <c r="AB906" s="97" t="n">
        <f aca="false">AB905+AB$15</f>
        <v>0.00353880792856213</v>
      </c>
      <c r="AC906" s="115" t="n">
        <f aca="false">(Kopt-(L0-AB906*Ldif-alph*AB906^0.5))/R0</f>
        <v>0.973745331869685</v>
      </c>
      <c r="AD906" s="113" t="n">
        <f aca="false">IF(AC906&lt;1,X$14*((1-ropt)-Y$14*(1-ropt^2)+Z$14*(1-ropt^3)),0)</f>
        <v>12062.8829760766</v>
      </c>
    </row>
    <row r="907" customFormat="false" ht="12.75" hidden="false" customHeight="false" outlineLevel="0" collapsed="false">
      <c r="X907" s="102" t="n">
        <v>112</v>
      </c>
      <c r="Y907" s="124" t="n">
        <f aca="false">Y906+Y$16</f>
        <v>0.00354279756546017</v>
      </c>
      <c r="Z907" s="115" t="n">
        <f aca="false">(K-(L0-Y907*Ldif-alph*Y907^0.5))/R0</f>
        <v>0.973984788329954</v>
      </c>
      <c r="AA907" s="113" t="n">
        <f aca="false">IF(Z907&lt;1,X$14*((1-r_1)-Y$14*(1-r_1^2)+Z$14*(1-r_1^3)),0)</f>
        <v>11843.8466691523</v>
      </c>
      <c r="AB907" s="97" t="n">
        <f aca="false">AB906+AB$15</f>
        <v>0.00354279756546017</v>
      </c>
      <c r="AC907" s="115" t="n">
        <f aca="false">(Kopt-(L0-AB907*Ldif-alph*AB907^0.5))/R0</f>
        <v>0.973984788329954</v>
      </c>
      <c r="AD907" s="113" t="n">
        <f aca="false">IF(AC907&lt;1,X$14*((1-ropt)-Y$14*(1-ropt^2)+Z$14*(1-ropt^3)),0)</f>
        <v>11843.8466691523</v>
      </c>
    </row>
    <row r="908" customFormat="false" ht="12.75" hidden="false" customHeight="false" outlineLevel="0" collapsed="false">
      <c r="X908" s="102" t="n">
        <v>111</v>
      </c>
      <c r="Y908" s="124" t="n">
        <f aca="false">Y907+Y$16</f>
        <v>0.00354678720235821</v>
      </c>
      <c r="Z908" s="115" t="n">
        <f aca="false">(K-(L0-Y908*Ldif-alph*Y908^0.5))/R0</f>
        <v>0.97422410999969</v>
      </c>
      <c r="AA908" s="113" t="n">
        <f aca="false">IF(Z908&lt;1,X$14*((1-r_1)-Y$14*(1-r_1^2)+Z$14*(1-r_1^3)),0)</f>
        <v>11626.9388428925</v>
      </c>
      <c r="AB908" s="97" t="n">
        <f aca="false">AB907+AB$15</f>
        <v>0.00354678720235821</v>
      </c>
      <c r="AC908" s="115" t="n">
        <f aca="false">(Kopt-(L0-AB908*Ldif-alph*AB908^0.5))/R0</f>
        <v>0.97422410999969</v>
      </c>
      <c r="AD908" s="113" t="n">
        <f aca="false">IF(AC908&lt;1,X$14*((1-ropt)-Y$14*(1-ropt^2)+Z$14*(1-ropt^3)),0)</f>
        <v>11626.9388428925</v>
      </c>
    </row>
    <row r="909" customFormat="false" ht="12.75" hidden="false" customHeight="false" outlineLevel="0" collapsed="false">
      <c r="X909" s="102" t="n">
        <v>110</v>
      </c>
      <c r="Y909" s="124" t="n">
        <f aca="false">Y908+Y$16</f>
        <v>0.00355077683925625</v>
      </c>
      <c r="Z909" s="115" t="n">
        <f aca="false">(K-(L0-Y909*Ldif-alph*Y909^0.5))/R0</f>
        <v>0.974463297106265</v>
      </c>
      <c r="AA909" s="113" t="n">
        <f aca="false">IF(Z909&lt;1,X$14*((1-r_1)-Y$14*(1-r_1^2)+Z$14*(1-r_1^3)),0)</f>
        <v>11412.1559069505</v>
      </c>
      <c r="AB909" s="97" t="n">
        <f aca="false">AB908+AB$15</f>
        <v>0.00355077683925625</v>
      </c>
      <c r="AC909" s="115" t="n">
        <f aca="false">(Kopt-(L0-AB909*Ldif-alph*AB909^0.5))/R0</f>
        <v>0.974463297106265</v>
      </c>
      <c r="AD909" s="113" t="n">
        <f aca="false">IF(AC909&lt;1,X$14*((1-ropt)-Y$14*(1-ropt^2)+Z$14*(1-ropt^3)),0)</f>
        <v>11412.1559069505</v>
      </c>
    </row>
    <row r="910" customFormat="false" ht="12.75" hidden="false" customHeight="false" outlineLevel="0" collapsed="false">
      <c r="X910" s="102" t="n">
        <v>109</v>
      </c>
      <c r="Y910" s="124" t="n">
        <f aca="false">Y909+Y$16</f>
        <v>0.00355476647615429</v>
      </c>
      <c r="Z910" s="115" t="n">
        <f aca="false">(K-(L0-Y910*Ldif-alph*Y910^0.5))/R0</f>
        <v>0.974702349876403</v>
      </c>
      <c r="AA910" s="113" t="n">
        <f aca="false">IF(Z910&lt;1,X$14*((1-r_1)-Y$14*(1-r_1^2)+Z$14*(1-r_1^3)),0)</f>
        <v>11199.4942810789</v>
      </c>
      <c r="AB910" s="97" t="n">
        <f aca="false">AB909+AB$15</f>
        <v>0.00355476647615429</v>
      </c>
      <c r="AC910" s="115" t="n">
        <f aca="false">(Kopt-(L0-AB910*Ldif-alph*AB910^0.5))/R0</f>
        <v>0.974702349876403</v>
      </c>
      <c r="AD910" s="113" t="n">
        <f aca="false">IF(AC910&lt;1,X$14*((1-ropt)-Y$14*(1-ropt^2)+Z$14*(1-ropt^3)),0)</f>
        <v>11199.4942810789</v>
      </c>
    </row>
    <row r="911" customFormat="false" ht="12.75" hidden="false" customHeight="false" outlineLevel="0" collapsed="false">
      <c r="X911" s="102" t="n">
        <v>108</v>
      </c>
      <c r="Y911" s="124" t="n">
        <f aca="false">Y910+Y$16</f>
        <v>0.00355875611305233</v>
      </c>
      <c r="Z911" s="115" t="n">
        <f aca="false">(K-(L0-Y911*Ldif-alph*Y911^0.5))/R0</f>
        <v>0.9749412685362</v>
      </c>
      <c r="AA911" s="113" t="n">
        <f aca="false">IF(Z911&lt;1,X$14*((1-r_1)-Y$14*(1-r_1^2)+Z$14*(1-r_1^3)),0)</f>
        <v>10988.9503950594</v>
      </c>
      <c r="AB911" s="97" t="n">
        <f aca="false">AB910+AB$15</f>
        <v>0.00355875611305233</v>
      </c>
      <c r="AC911" s="115" t="n">
        <f aca="false">(Kopt-(L0-AB911*Ldif-alph*AB911^0.5))/R0</f>
        <v>0.9749412685362</v>
      </c>
      <c r="AD911" s="113" t="n">
        <f aca="false">IF(AC911&lt;1,X$14*((1-ropt)-Y$14*(1-ropt^2)+Z$14*(1-ropt^3)),0)</f>
        <v>10988.9503950594</v>
      </c>
    </row>
    <row r="912" customFormat="false" ht="12.75" hidden="false" customHeight="false" outlineLevel="0" collapsed="false">
      <c r="X912" s="102" t="n">
        <v>107</v>
      </c>
      <c r="Y912" s="124" t="n">
        <f aca="false">Y911+Y$16</f>
        <v>0.00356274574995037</v>
      </c>
      <c r="Z912" s="115" t="n">
        <f aca="false">(K-(L0-Y912*Ldif-alph*Y912^0.5))/R0</f>
        <v>0.975180053311109</v>
      </c>
      <c r="AA912" s="113" t="n">
        <f aca="false">IF(Z912&lt;1,X$14*((1-r_1)-Y$14*(1-r_1^2)+Z$14*(1-r_1^3)),0)</f>
        <v>10780.5206886893</v>
      </c>
      <c r="AB912" s="97" t="n">
        <f aca="false">AB911+AB$15</f>
        <v>0.00356274574995037</v>
      </c>
      <c r="AC912" s="115" t="n">
        <f aca="false">(Kopt-(L0-AB912*Ldif-alph*AB912^0.5))/R0</f>
        <v>0.975180053311109</v>
      </c>
      <c r="AD912" s="113" t="n">
        <f aca="false">IF(AC912&lt;1,X$14*((1-ropt)-Y$14*(1-ropt^2)+Z$14*(1-ropt^3)),0)</f>
        <v>10780.5206886893</v>
      </c>
    </row>
    <row r="913" customFormat="false" ht="12.75" hidden="false" customHeight="false" outlineLevel="0" collapsed="false">
      <c r="X913" s="102" t="n">
        <v>106</v>
      </c>
      <c r="Y913" s="124" t="n">
        <f aca="false">Y912+Y$16</f>
        <v>0.00356673538684841</v>
      </c>
      <c r="Z913" s="115" t="n">
        <f aca="false">(K-(L0-Y913*Ldif-alph*Y913^0.5))/R0</f>
        <v>0.975418704425966</v>
      </c>
      <c r="AA913" s="113" t="n">
        <f aca="false">IF(Z913&lt;1,X$14*((1-r_1)-Y$14*(1-r_1^2)+Z$14*(1-r_1^3)),0)</f>
        <v>10574.2016117155</v>
      </c>
      <c r="AB913" s="97" t="n">
        <f aca="false">AB912+AB$15</f>
        <v>0.00356673538684841</v>
      </c>
      <c r="AC913" s="115" t="n">
        <f aca="false">(Kopt-(L0-AB913*Ldif-alph*AB913^0.5))/R0</f>
        <v>0.975418704425966</v>
      </c>
      <c r="AD913" s="113" t="n">
        <f aca="false">IF(AC913&lt;1,X$14*((1-ropt)-Y$14*(1-ropt^2)+Z$14*(1-ropt^3)),0)</f>
        <v>10574.2016117155</v>
      </c>
    </row>
    <row r="914" customFormat="false" ht="12.75" hidden="false" customHeight="false" outlineLevel="0" collapsed="false">
      <c r="X914" s="102" t="n">
        <v>105</v>
      </c>
      <c r="Y914" s="124" t="n">
        <f aca="false">Y913+Y$16</f>
        <v>0.00357072502374645</v>
      </c>
      <c r="Z914" s="115" t="n">
        <f aca="false">(K-(L0-Y914*Ldif-alph*Y914^0.5))/R0</f>
        <v>0.975657222104961</v>
      </c>
      <c r="AA914" s="113" t="n">
        <f aca="false">IF(Z914&lt;1,X$14*((1-r_1)-Y$14*(1-r_1^2)+Z$14*(1-r_1^3)),0)</f>
        <v>10369.9896238266</v>
      </c>
      <c r="AB914" s="97" t="n">
        <f aca="false">AB913+AB$15</f>
        <v>0.00357072502374645</v>
      </c>
      <c r="AC914" s="115" t="n">
        <f aca="false">(Kopt-(L0-AB914*Ldif-alph*AB914^0.5))/R0</f>
        <v>0.975657222104961</v>
      </c>
      <c r="AD914" s="113" t="n">
        <f aca="false">IF(AC914&lt;1,X$14*((1-ropt)-Y$14*(1-ropt^2)+Z$14*(1-ropt^3)),0)</f>
        <v>10369.9896238266</v>
      </c>
    </row>
    <row r="915" customFormat="false" ht="12.75" hidden="false" customHeight="false" outlineLevel="0" collapsed="false">
      <c r="X915" s="102" t="n">
        <v>104</v>
      </c>
      <c r="Y915" s="124" t="n">
        <f aca="false">Y914+Y$16</f>
        <v>0.00357471466064449</v>
      </c>
      <c r="Z915" s="115" t="n">
        <f aca="false">(K-(L0-Y915*Ldif-alph*Y915^0.5))/R0</f>
        <v>0.975895606571675</v>
      </c>
      <c r="AA915" s="113" t="n">
        <f aca="false">IF(Z915&lt;1,X$14*((1-r_1)-Y$14*(1-r_1^2)+Z$14*(1-r_1^3)),0)</f>
        <v>10167.881194581</v>
      </c>
      <c r="AB915" s="97" t="n">
        <f aca="false">AB914+AB$15</f>
        <v>0.00357471466064449</v>
      </c>
      <c r="AC915" s="115" t="n">
        <f aca="false">(Kopt-(L0-AB915*Ldif-alph*AB915^0.5))/R0</f>
        <v>0.975895606571675</v>
      </c>
      <c r="AD915" s="113" t="n">
        <f aca="false">IF(AC915&lt;1,X$14*((1-ropt)-Y$14*(1-ropt^2)+Z$14*(1-ropt^3)),0)</f>
        <v>10167.881194581</v>
      </c>
    </row>
    <row r="916" customFormat="false" ht="12.75" hidden="false" customHeight="false" outlineLevel="0" collapsed="false">
      <c r="X916" s="102" t="n">
        <v>103</v>
      </c>
      <c r="Y916" s="124" t="n">
        <f aca="false">Y915+Y$16</f>
        <v>0.00357870429754253</v>
      </c>
      <c r="Z916" s="115" t="n">
        <f aca="false">(K-(L0-Y916*Ldif-alph*Y916^0.5))/R0</f>
        <v>0.976133858049051</v>
      </c>
      <c r="AA916" s="113" t="n">
        <f aca="false">IF(Z916&lt;1,X$14*((1-r_1)-Y$14*(1-r_1^2)+Z$14*(1-r_1^3)),0)</f>
        <v>9967.87280339945</v>
      </c>
      <c r="AB916" s="97" t="n">
        <f aca="false">AB915+AB$15</f>
        <v>0.00357870429754253</v>
      </c>
      <c r="AC916" s="115" t="n">
        <f aca="false">(Kopt-(L0-AB916*Ldif-alph*AB916^0.5))/R0</f>
        <v>0.976133858049051</v>
      </c>
      <c r="AD916" s="113" t="n">
        <f aca="false">IF(AC916&lt;1,X$14*((1-ropt)-Y$14*(1-ropt^2)+Z$14*(1-ropt^3)),0)</f>
        <v>9967.87280339945</v>
      </c>
    </row>
    <row r="917" customFormat="false" ht="12.75" hidden="false" customHeight="false" outlineLevel="0" collapsed="false">
      <c r="X917" s="102" t="n">
        <v>102</v>
      </c>
      <c r="Y917" s="124" t="n">
        <f aca="false">Y916+Y$16</f>
        <v>0.00358269393444057</v>
      </c>
      <c r="Z917" s="115" t="n">
        <f aca="false">(K-(L0-Y917*Ldif-alph*Y917^0.5))/R0</f>
        <v>0.976371976759424</v>
      </c>
      <c r="AA917" s="113" t="n">
        <f aca="false">IF(Z917&lt;1,X$14*((1-r_1)-Y$14*(1-r_1^2)+Z$14*(1-r_1^3)),0)</f>
        <v>9769.9609395005</v>
      </c>
      <c r="AB917" s="97" t="n">
        <f aca="false">AB916+AB$15</f>
        <v>0.00358269393444057</v>
      </c>
      <c r="AC917" s="115" t="n">
        <f aca="false">(Kopt-(L0-AB917*Ldif-alph*AB917^0.5))/R0</f>
        <v>0.976371976759424</v>
      </c>
      <c r="AD917" s="113" t="n">
        <f aca="false">IF(AC917&lt;1,X$14*((1-ropt)-Y$14*(1-ropt^2)+Z$14*(1-ropt^3)),0)</f>
        <v>9769.9609395005</v>
      </c>
    </row>
    <row r="918" customFormat="false" ht="12.75" hidden="false" customHeight="false" outlineLevel="0" collapsed="false">
      <c r="X918" s="102" t="n">
        <v>101</v>
      </c>
      <c r="Y918" s="124" t="n">
        <f aca="false">Y917+Y$16</f>
        <v>0.00358668357133861</v>
      </c>
      <c r="Z918" s="115" t="n">
        <f aca="false">(K-(L0-Y918*Ldif-alph*Y918^0.5))/R0</f>
        <v>0.976609962924498</v>
      </c>
      <c r="AA918" s="113" t="n">
        <f aca="false">IF(Z918&lt;1,X$14*((1-r_1)-Y$14*(1-r_1^2)+Z$14*(1-r_1^3)),0)</f>
        <v>9574.14210188329</v>
      </c>
      <c r="AB918" s="97" t="n">
        <f aca="false">AB917+AB$15</f>
        <v>0.00358668357133861</v>
      </c>
      <c r="AC918" s="115" t="n">
        <f aca="false">(Kopt-(L0-AB918*Ldif-alph*AB918^0.5))/R0</f>
        <v>0.976609962924498</v>
      </c>
      <c r="AD918" s="113" t="n">
        <f aca="false">IF(AC918&lt;1,X$14*((1-ropt)-Y$14*(1-ropt^2)+Z$14*(1-ropt^3)),0)</f>
        <v>9574.14210188329</v>
      </c>
    </row>
    <row r="919" customFormat="false" ht="12.75" hidden="false" customHeight="false" outlineLevel="0" collapsed="false">
      <c r="X919" s="102" t="n">
        <v>100</v>
      </c>
      <c r="Y919" s="124" t="n">
        <f aca="false">Y918+Y$16</f>
        <v>0.00359067320823665</v>
      </c>
      <c r="Z919" s="115" t="n">
        <f aca="false">(K-(L0-Y919*Ldif-alph*Y919^0.5))/R0</f>
        <v>0.976847816765371</v>
      </c>
      <c r="AA919" s="113" t="n">
        <f aca="false">IF(Z919&lt;1,X$14*((1-r_1)-Y$14*(1-r_1^2)+Z$14*(1-r_1^3)),0)</f>
        <v>9380.41279927304</v>
      </c>
      <c r="AB919" s="97" t="n">
        <f aca="false">AB918+AB$15</f>
        <v>0.00359067320823665</v>
      </c>
      <c r="AC919" s="115" t="n">
        <f aca="false">(Kopt-(L0-AB919*Ldif-alph*AB919^0.5))/R0</f>
        <v>0.976847816765371</v>
      </c>
      <c r="AD919" s="113" t="n">
        <f aca="false">IF(AC919&lt;1,X$14*((1-ropt)-Y$14*(1-ropt^2)+Z$14*(1-ropt^3)),0)</f>
        <v>9380.41279927304</v>
      </c>
    </row>
    <row r="920" customFormat="false" ht="12.75" hidden="false" customHeight="false" outlineLevel="0" collapsed="false">
      <c r="X920" s="102" t="n">
        <v>99</v>
      </c>
      <c r="Y920" s="124" t="n">
        <f aca="false">Y919+Y$16</f>
        <v>0.00359466284513469</v>
      </c>
      <c r="Z920" s="115" t="n">
        <f aca="false">(K-(L0-Y920*Ldif-alph*Y920^0.5))/R0</f>
        <v>0.977085538502518</v>
      </c>
      <c r="AA920" s="113" t="n">
        <f aca="false">IF(Z920&lt;1,X$14*((1-r_1)-Y$14*(1-r_1^2)+Z$14*(1-r_1^3)),0)</f>
        <v>9188.76955009196</v>
      </c>
      <c r="AB920" s="97" t="n">
        <f aca="false">AB919+AB$15</f>
        <v>0.00359466284513469</v>
      </c>
      <c r="AC920" s="115" t="n">
        <f aca="false">(Kopt-(L0-AB920*Ldif-alph*AB920^0.5))/R0</f>
        <v>0.977085538502518</v>
      </c>
      <c r="AD920" s="113" t="n">
        <f aca="false">IF(AC920&lt;1,X$14*((1-ropt)-Y$14*(1-ropt^2)+Z$14*(1-ropt^3)),0)</f>
        <v>9188.76955009196</v>
      </c>
    </row>
    <row r="921" customFormat="false" ht="12.75" hidden="false" customHeight="false" outlineLevel="0" collapsed="false">
      <c r="X921" s="102" t="n">
        <v>98</v>
      </c>
      <c r="Y921" s="124" t="n">
        <f aca="false">Y920+Y$16</f>
        <v>0.00359865248203274</v>
      </c>
      <c r="Z921" s="115" t="n">
        <f aca="false">(K-(L0-Y921*Ldif-alph*Y921^0.5))/R0</f>
        <v>0.977323128355806</v>
      </c>
      <c r="AA921" s="113" t="n">
        <f aca="false">IF(Z921&lt;1,X$14*((1-r_1)-Y$14*(1-r_1^2)+Z$14*(1-r_1^3)),0)</f>
        <v>8999.20888242617</v>
      </c>
      <c r="AB921" s="97" t="n">
        <f aca="false">AB920+AB$15</f>
        <v>0.00359865248203274</v>
      </c>
      <c r="AC921" s="115" t="n">
        <f aca="false">(Kopt-(L0-AB921*Ldif-alph*AB921^0.5))/R0</f>
        <v>0.977323128355806</v>
      </c>
      <c r="AD921" s="113" t="n">
        <f aca="false">IF(AC921&lt;1,X$14*((1-ropt)-Y$14*(1-ropt^2)+Z$14*(1-ropt^3)),0)</f>
        <v>8999.20888242617</v>
      </c>
    </row>
    <row r="922" customFormat="false" ht="12.75" hidden="false" customHeight="false" outlineLevel="0" collapsed="false">
      <c r="X922" s="102" t="n">
        <v>97</v>
      </c>
      <c r="Y922" s="124" t="n">
        <f aca="false">Y921+Y$16</f>
        <v>0.00360264211893078</v>
      </c>
      <c r="Z922" s="115" t="n">
        <f aca="false">(K-(L0-Y922*Ldif-alph*Y922^0.5))/R0</f>
        <v>0.977560586544498</v>
      </c>
      <c r="AA922" s="113" t="n">
        <f aca="false">IF(Z922&lt;1,X$14*((1-r_1)-Y$14*(1-r_1^2)+Z$14*(1-r_1^3)),0)</f>
        <v>8811.72733397135</v>
      </c>
      <c r="AB922" s="97" t="n">
        <f aca="false">AB921+AB$15</f>
        <v>0.00360264211893078</v>
      </c>
      <c r="AC922" s="115" t="n">
        <f aca="false">(Kopt-(L0-AB922*Ldif-alph*AB922^0.5))/R0</f>
        <v>0.977560586544498</v>
      </c>
      <c r="AD922" s="113" t="n">
        <f aca="false">IF(AC922&lt;1,X$14*((1-ropt)-Y$14*(1-ropt^2)+Z$14*(1-ropt^3)),0)</f>
        <v>8811.72733397135</v>
      </c>
    </row>
    <row r="923" customFormat="false" ht="12.75" hidden="false" customHeight="false" outlineLevel="0" collapsed="false">
      <c r="X923" s="102" t="n">
        <v>96</v>
      </c>
      <c r="Y923" s="124" t="n">
        <f aca="false">Y922+Y$16</f>
        <v>0.00360663175582882</v>
      </c>
      <c r="Z923" s="115" t="n">
        <f aca="false">(K-(L0-Y923*Ldif-alph*Y923^0.5))/R0</f>
        <v>0.97779791328724</v>
      </c>
      <c r="AA923" s="113" t="n">
        <f aca="false">IF(Z923&lt;1,X$14*((1-r_1)-Y$14*(1-r_1^2)+Z$14*(1-r_1^3)),0)</f>
        <v>8626.3214520152</v>
      </c>
      <c r="AB923" s="97" t="n">
        <f aca="false">AB922+AB$15</f>
        <v>0.00360663175582882</v>
      </c>
      <c r="AC923" s="115" t="n">
        <f aca="false">(Kopt-(L0-AB923*Ldif-alph*AB923^0.5))/R0</f>
        <v>0.97779791328724</v>
      </c>
      <c r="AD923" s="113" t="n">
        <f aca="false">IF(AC923&lt;1,X$14*((1-ropt)-Y$14*(1-ropt^2)+Z$14*(1-ropt^3)),0)</f>
        <v>8626.3214520152</v>
      </c>
    </row>
    <row r="924" customFormat="false" ht="12.75" hidden="false" customHeight="false" outlineLevel="0" collapsed="false">
      <c r="X924" s="102" t="n">
        <v>95</v>
      </c>
      <c r="Y924" s="124" t="n">
        <f aca="false">Y923+Y$16</f>
        <v>0.00361062139272686</v>
      </c>
      <c r="Z924" s="115" t="n">
        <f aca="false">(K-(L0-Y924*Ldif-alph*Y924^0.5))/R0</f>
        <v>0.978035108802085</v>
      </c>
      <c r="AA924" s="113" t="n">
        <f aca="false">IF(Z924&lt;1,X$14*((1-r_1)-Y$14*(1-r_1^2)+Z$14*(1-r_1^3)),0)</f>
        <v>8442.9877933831</v>
      </c>
      <c r="AB924" s="97" t="n">
        <f aca="false">AB923+AB$15</f>
        <v>0.00361062139272686</v>
      </c>
      <c r="AC924" s="115" t="n">
        <f aca="false">(Kopt-(L0-AB924*Ldif-alph*AB924^0.5))/R0</f>
        <v>0.978035108802085</v>
      </c>
      <c r="AD924" s="113" t="n">
        <f aca="false">IF(AC924&lt;1,X$14*((1-ropt)-Y$14*(1-ropt^2)+Z$14*(1-ropt^3)),0)</f>
        <v>8442.9877933831</v>
      </c>
    </row>
    <row r="925" customFormat="false" ht="12.75" hidden="false" customHeight="false" outlineLevel="0" collapsed="false">
      <c r="X925" s="102" t="n">
        <v>94</v>
      </c>
      <c r="Y925" s="124" t="n">
        <f aca="false">Y924+Y$16</f>
        <v>0.0036146110296249</v>
      </c>
      <c r="Z925" s="115" t="n">
        <f aca="false">(K-(L0-Y925*Ldif-alph*Y925^0.5))/R0</f>
        <v>0.978272173306474</v>
      </c>
      <c r="AA925" s="113" t="n">
        <f aca="false">IF(Z925&lt;1,X$14*((1-r_1)-Y$14*(1-r_1^2)+Z$14*(1-r_1^3)),0)</f>
        <v>8261.72292441863</v>
      </c>
      <c r="AB925" s="97" t="n">
        <f aca="false">AB924+AB$15</f>
        <v>0.0036146110296249</v>
      </c>
      <c r="AC925" s="115" t="n">
        <f aca="false">(Kopt-(L0-AB925*Ldif-alph*AB925^0.5))/R0</f>
        <v>0.978272173306474</v>
      </c>
      <c r="AD925" s="113" t="n">
        <f aca="false">IF(AC925&lt;1,X$14*((1-ropt)-Y$14*(1-ropt^2)+Z$14*(1-ropt^3)),0)</f>
        <v>8261.72292441863</v>
      </c>
    </row>
    <row r="926" customFormat="false" ht="12.75" hidden="false" customHeight="false" outlineLevel="0" collapsed="false">
      <c r="X926" s="102" t="n">
        <v>93</v>
      </c>
      <c r="Y926" s="124" t="n">
        <f aca="false">Y925+Y$16</f>
        <v>0.00361860066652294</v>
      </c>
      <c r="Z926" s="115" t="n">
        <f aca="false">(K-(L0-Y926*Ldif-alph*Y926^0.5))/R0</f>
        <v>0.978509107017253</v>
      </c>
      <c r="AA926" s="113" t="n">
        <f aca="false">IF(Z926&lt;1,X$14*((1-r_1)-Y$14*(1-r_1^2)+Z$14*(1-r_1^3)),0)</f>
        <v>8082.52342092725</v>
      </c>
      <c r="AB926" s="97" t="n">
        <f aca="false">AB925+AB$15</f>
        <v>0.00361860066652294</v>
      </c>
      <c r="AC926" s="115" t="n">
        <f aca="false">(Kopt-(L0-AB926*Ldif-alph*AB926^0.5))/R0</f>
        <v>0.978509107017253</v>
      </c>
      <c r="AD926" s="113" t="n">
        <f aca="false">IF(AC926&lt;1,X$14*((1-ropt)-Y$14*(1-ropt^2)+Z$14*(1-ropt^3)),0)</f>
        <v>8082.52342092725</v>
      </c>
    </row>
    <row r="927" customFormat="false" ht="12.75" hidden="false" customHeight="false" outlineLevel="0" collapsed="false">
      <c r="X927" s="102" t="n">
        <v>92</v>
      </c>
      <c r="Y927" s="124" t="n">
        <f aca="false">Y926+Y$16</f>
        <v>0.00362259030342098</v>
      </c>
      <c r="Z927" s="115" t="n">
        <f aca="false">(K-(L0-Y927*Ldif-alph*Y927^0.5))/R0</f>
        <v>0.978745910150668</v>
      </c>
      <c r="AA927" s="113" t="n">
        <f aca="false">IF(Z927&lt;1,X$14*((1-r_1)-Y$14*(1-r_1^2)+Z$14*(1-r_1^3)),0)</f>
        <v>7905.38586816075</v>
      </c>
      <c r="AB927" s="97" t="n">
        <f aca="false">AB926+AB$15</f>
        <v>0.00362259030342098</v>
      </c>
      <c r="AC927" s="115" t="n">
        <f aca="false">(Kopt-(L0-AB927*Ldif-alph*AB927^0.5))/R0</f>
        <v>0.978745910150668</v>
      </c>
      <c r="AD927" s="113" t="n">
        <f aca="false">IF(AC927&lt;1,X$14*((1-ropt)-Y$14*(1-ropt^2)+Z$14*(1-ropt^3)),0)</f>
        <v>7905.38586816075</v>
      </c>
    </row>
    <row r="928" customFormat="false" ht="12.75" hidden="false" customHeight="false" outlineLevel="0" collapsed="false">
      <c r="X928" s="102" t="n">
        <v>91</v>
      </c>
      <c r="Y928" s="124" t="n">
        <f aca="false">Y927+Y$16</f>
        <v>0.00362657994031902</v>
      </c>
      <c r="Z928" s="115" t="n">
        <f aca="false">(K-(L0-Y928*Ldif-alph*Y928^0.5))/R0</f>
        <v>0.978982582922374</v>
      </c>
      <c r="AA928" s="113" t="n">
        <f aca="false">IF(Z928&lt;1,X$14*((1-r_1)-Y$14*(1-r_1^2)+Z$14*(1-r_1^3)),0)</f>
        <v>7730.30686076093</v>
      </c>
      <c r="AB928" s="97" t="n">
        <f aca="false">AB927+AB$15</f>
        <v>0.00362657994031902</v>
      </c>
      <c r="AC928" s="115" t="n">
        <f aca="false">(Kopt-(L0-AB928*Ldif-alph*AB928^0.5))/R0</f>
        <v>0.978982582922374</v>
      </c>
      <c r="AD928" s="113" t="n">
        <f aca="false">IF(AC928&lt;1,X$14*((1-ropt)-Y$14*(1-ropt^2)+Z$14*(1-ropt^3)),0)</f>
        <v>7730.30686076093</v>
      </c>
    </row>
    <row r="929" customFormat="false" ht="12.75" hidden="false" customHeight="false" outlineLevel="0" collapsed="false">
      <c r="X929" s="102" t="n">
        <v>90</v>
      </c>
      <c r="Y929" s="124" t="n">
        <f aca="false">Y928+Y$16</f>
        <v>0.00363056957721706</v>
      </c>
      <c r="Z929" s="115" t="n">
        <f aca="false">(K-(L0-Y929*Ldif-alph*Y929^0.5))/R0</f>
        <v>0.979219125547425</v>
      </c>
      <c r="AA929" s="113" t="n">
        <f aca="false">IF(Z929&lt;1,X$14*((1-r_1)-Y$14*(1-r_1^2)+Z$14*(1-r_1^3)),0)</f>
        <v>7557.28300274011</v>
      </c>
      <c r="AB929" s="97" t="n">
        <f aca="false">AB928+AB$15</f>
        <v>0.00363056957721706</v>
      </c>
      <c r="AC929" s="115" t="n">
        <f aca="false">(Kopt-(L0-AB929*Ldif-alph*AB929^0.5))/R0</f>
        <v>0.979219125547425</v>
      </c>
      <c r="AD929" s="113" t="n">
        <f aca="false">IF(AC929&lt;1,X$14*((1-ropt)-Y$14*(1-ropt^2)+Z$14*(1-ropt^3)),0)</f>
        <v>7557.28300274011</v>
      </c>
    </row>
    <row r="930" customFormat="false" ht="12.75" hidden="false" customHeight="false" outlineLevel="0" collapsed="false">
      <c r="X930" s="102" t="n">
        <v>89</v>
      </c>
      <c r="Y930" s="124" t="n">
        <f aca="false">Y929+Y$16</f>
        <v>0.0036345592141151</v>
      </c>
      <c r="Z930" s="115" t="n">
        <f aca="false">(K-(L0-Y930*Ldif-alph*Y930^0.5))/R0</f>
        <v>0.979455538240297</v>
      </c>
      <c r="AA930" s="113" t="n">
        <f aca="false">IF(Z930&lt;1,X$14*((1-r_1)-Y$14*(1-r_1^2)+Z$14*(1-r_1^3)),0)</f>
        <v>7386.31090742875</v>
      </c>
      <c r="AB930" s="97" t="n">
        <f aca="false">AB929+AB$15</f>
        <v>0.0036345592141151</v>
      </c>
      <c r="AC930" s="115" t="n">
        <f aca="false">(Kopt-(L0-AB930*Ldif-alph*AB930^0.5))/R0</f>
        <v>0.979455538240297</v>
      </c>
      <c r="AD930" s="113" t="n">
        <f aca="false">IF(AC930&lt;1,X$14*((1-ropt)-Y$14*(1-ropt^2)+Z$14*(1-ropt^3)),0)</f>
        <v>7386.31090742875</v>
      </c>
    </row>
    <row r="931" customFormat="false" ht="12.75" hidden="false" customHeight="false" outlineLevel="0" collapsed="false">
      <c r="X931" s="102" t="n">
        <v>88</v>
      </c>
      <c r="Y931" s="124" t="n">
        <f aca="false">Y930+Y$16</f>
        <v>0.00363854885101314</v>
      </c>
      <c r="Z931" s="115" t="n">
        <f aca="false">(K-(L0-Y931*Ldif-alph*Y931^0.5))/R0</f>
        <v>0.979691821214866</v>
      </c>
      <c r="AA931" s="113" t="n">
        <f aca="false">IF(Z931&lt;1,X$14*((1-r_1)-Y$14*(1-r_1^2)+Z$14*(1-r_1^3)),0)</f>
        <v>7217.3871974579</v>
      </c>
      <c r="AB931" s="97" t="n">
        <f aca="false">AB930+AB$15</f>
        <v>0.00363854885101314</v>
      </c>
      <c r="AC931" s="115" t="n">
        <f aca="false">(Kopt-(L0-AB931*Ldif-alph*AB931^0.5))/R0</f>
        <v>0.979691821214866</v>
      </c>
      <c r="AD931" s="113" t="n">
        <f aca="false">IF(AC931&lt;1,X$14*((1-ropt)-Y$14*(1-ropt^2)+Z$14*(1-ropt^3)),0)</f>
        <v>7217.3871974579</v>
      </c>
    </row>
    <row r="932" customFormat="false" ht="12.75" hidden="false" customHeight="false" outlineLevel="0" collapsed="false">
      <c r="X932" s="102" t="n">
        <v>87</v>
      </c>
      <c r="Y932" s="124" t="n">
        <f aca="false">Y931+Y$16</f>
        <v>0.00364253848791118</v>
      </c>
      <c r="Z932" s="115" t="n">
        <f aca="false">(K-(L0-Y932*Ldif-alph*Y932^0.5))/R0</f>
        <v>0.979927974684426</v>
      </c>
      <c r="AA932" s="113" t="n">
        <f aca="false">IF(Z932&lt;1,X$14*((1-r_1)-Y$14*(1-r_1^2)+Z$14*(1-r_1^3)),0)</f>
        <v>7050.50850470873</v>
      </c>
      <c r="AB932" s="97" t="n">
        <f aca="false">AB931+AB$15</f>
        <v>0.00364253848791118</v>
      </c>
      <c r="AC932" s="115" t="n">
        <f aca="false">(Kopt-(L0-AB932*Ldif-alph*AB932^0.5))/R0</f>
        <v>0.979927974684426</v>
      </c>
      <c r="AD932" s="113" t="n">
        <f aca="false">IF(AC932&lt;1,X$14*((1-ropt)-Y$14*(1-ropt^2)+Z$14*(1-ropt^3)),0)</f>
        <v>7050.50850470873</v>
      </c>
    </row>
    <row r="933" customFormat="false" ht="12.75" hidden="false" customHeight="false" outlineLevel="0" collapsed="false">
      <c r="X933" s="102" t="n">
        <v>86</v>
      </c>
      <c r="Y933" s="124" t="n">
        <f aca="false">Y932+Y$16</f>
        <v>0.00364652812480922</v>
      </c>
      <c r="Z933" s="115" t="n">
        <f aca="false">(K-(L0-Y933*Ldif-alph*Y933^0.5))/R0</f>
        <v>0.980163998861687</v>
      </c>
      <c r="AA933" s="113" t="n">
        <f aca="false">IF(Z933&lt;1,X$14*((1-r_1)-Y$14*(1-r_1^2)+Z$14*(1-r_1^3)),0)</f>
        <v>6885.67147028529</v>
      </c>
      <c r="AB933" s="97" t="n">
        <f aca="false">AB932+AB$15</f>
        <v>0.00364652812480922</v>
      </c>
      <c r="AC933" s="115" t="n">
        <f aca="false">(Kopt-(L0-AB933*Ldif-alph*AB933^0.5))/R0</f>
        <v>0.980163998861687</v>
      </c>
      <c r="AD933" s="113" t="n">
        <f aca="false">IF(AC933&lt;1,X$14*((1-ropt)-Y$14*(1-ropt^2)+Z$14*(1-ropt^3)),0)</f>
        <v>6885.67147028529</v>
      </c>
    </row>
    <row r="934" customFormat="false" ht="12.75" hidden="false" customHeight="false" outlineLevel="0" collapsed="false">
      <c r="X934" s="102" t="n">
        <v>85</v>
      </c>
      <c r="Y934" s="124" t="n">
        <f aca="false">Y933+Y$16</f>
        <v>0.00365051776170726</v>
      </c>
      <c r="Z934" s="115" t="n">
        <f aca="false">(K-(L0-Y934*Ldif-alph*Y934^0.5))/R0</f>
        <v>0.980399893958778</v>
      </c>
      <c r="AA934" s="113" t="n">
        <f aca="false">IF(Z934&lt;1,X$14*((1-r_1)-Y$14*(1-r_1^2)+Z$14*(1-r_1^3)),0)</f>
        <v>6722.8727444757</v>
      </c>
      <c r="AB934" s="97" t="n">
        <f aca="false">AB933+AB$15</f>
        <v>0.00365051776170726</v>
      </c>
      <c r="AC934" s="115" t="n">
        <f aca="false">(Kopt-(L0-AB934*Ldif-alph*AB934^0.5))/R0</f>
        <v>0.980399893958778</v>
      </c>
      <c r="AD934" s="113" t="n">
        <f aca="false">IF(AC934&lt;1,X$14*((1-ropt)-Y$14*(1-ropt^2)+Z$14*(1-ropt^3)),0)</f>
        <v>6722.8727444757</v>
      </c>
    </row>
    <row r="935" customFormat="false" ht="12.75" hidden="false" customHeight="false" outlineLevel="0" collapsed="false">
      <c r="X935" s="102" t="n">
        <v>84</v>
      </c>
      <c r="Y935" s="124" t="n">
        <f aca="false">Y934+Y$16</f>
        <v>0.0036545073986053</v>
      </c>
      <c r="Z935" s="115" t="n">
        <f aca="false">(K-(L0-Y935*Ldif-alph*Y935^0.5))/R0</f>
        <v>0.98063566018725</v>
      </c>
      <c r="AA935" s="113" t="n">
        <f aca="false">IF(Z935&lt;1,X$14*((1-r_1)-Y$14*(1-r_1^2)+Z$14*(1-r_1^3)),0)</f>
        <v>6562.10898671322</v>
      </c>
      <c r="AB935" s="97" t="n">
        <f aca="false">AB934+AB$15</f>
        <v>0.0036545073986053</v>
      </c>
      <c r="AC935" s="115" t="n">
        <f aca="false">(Kopt-(L0-AB935*Ldif-alph*AB935^0.5))/R0</f>
        <v>0.98063566018725</v>
      </c>
      <c r="AD935" s="113" t="n">
        <f aca="false">IF(AC935&lt;1,X$14*((1-ropt)-Y$14*(1-ropt^2)+Z$14*(1-ropt^3)),0)</f>
        <v>6562.10898671322</v>
      </c>
    </row>
    <row r="936" customFormat="false" ht="12.75" hidden="false" customHeight="false" outlineLevel="0" collapsed="false">
      <c r="X936" s="102" t="n">
        <v>83</v>
      </c>
      <c r="Y936" s="124" t="n">
        <f aca="false">Y935+Y$16</f>
        <v>0.00365849703550334</v>
      </c>
      <c r="Z936" s="115" t="n">
        <f aca="false">(K-(L0-Y936*Ldif-alph*Y936^0.5))/R0</f>
        <v>0.980871297758073</v>
      </c>
      <c r="AA936" s="113" t="n">
        <f aca="false">IF(Z936&lt;1,X$14*((1-r_1)-Y$14*(1-r_1^2)+Z$14*(1-r_1^3)),0)</f>
        <v>6403.37686555498</v>
      </c>
      <c r="AB936" s="97" t="n">
        <f aca="false">AB935+AB$15</f>
        <v>0.00365849703550334</v>
      </c>
      <c r="AC936" s="115" t="n">
        <f aca="false">(Kopt-(L0-AB936*Ldif-alph*AB936^0.5))/R0</f>
        <v>0.980871297758073</v>
      </c>
      <c r="AD936" s="113" t="n">
        <f aca="false">IF(AC936&lt;1,X$14*((1-ropt)-Y$14*(1-ropt^2)+Z$14*(1-ropt^3)),0)</f>
        <v>6403.37686555498</v>
      </c>
    </row>
    <row r="937" customFormat="false" ht="12.75" hidden="false" customHeight="false" outlineLevel="0" collapsed="false">
      <c r="X937" s="102" t="n">
        <v>82</v>
      </c>
      <c r="Y937" s="124" t="n">
        <f aca="false">Y936+Y$16</f>
        <v>0.00366248667240139</v>
      </c>
      <c r="Z937" s="115" t="n">
        <f aca="false">(K-(L0-Y937*Ldif-alph*Y937^0.5))/R0</f>
        <v>0.981106806881643</v>
      </c>
      <c r="AA937" s="113" t="n">
        <f aca="false">IF(Z937&lt;1,X$14*((1-r_1)-Y$14*(1-r_1^2)+Z$14*(1-r_1^3)),0)</f>
        <v>6246.67305863136</v>
      </c>
      <c r="AB937" s="97" t="n">
        <f aca="false">AB936+AB$15</f>
        <v>0.00366248667240139</v>
      </c>
      <c r="AC937" s="115" t="n">
        <f aca="false">(Kopt-(L0-AB937*Ldif-alph*AB937^0.5))/R0</f>
        <v>0.981106806881643</v>
      </c>
      <c r="AD937" s="113" t="n">
        <f aca="false">IF(AC937&lt;1,X$14*((1-ropt)-Y$14*(1-ropt^2)+Z$14*(1-ropt^3)),0)</f>
        <v>6246.67305863136</v>
      </c>
    </row>
    <row r="938" customFormat="false" ht="12.75" hidden="false" customHeight="false" outlineLevel="0" collapsed="false">
      <c r="X938" s="102" t="n">
        <v>81</v>
      </c>
      <c r="Y938" s="124" t="n">
        <f aca="false">Y937+Y$16</f>
        <v>0.00366647630929943</v>
      </c>
      <c r="Z938" s="115" t="n">
        <f aca="false">(K-(L0-Y938*Ldif-alph*Y938^0.5))/R0</f>
        <v>0.981342187767786</v>
      </c>
      <c r="AA938" s="113" t="n">
        <f aca="false">IF(Z938&lt;1,X$14*((1-r_1)-Y$14*(1-r_1^2)+Z$14*(1-r_1^3)),0)</f>
        <v>6091.99425261886</v>
      </c>
      <c r="AB938" s="97" t="n">
        <f aca="false">AB937+AB$15</f>
        <v>0.00366647630929943</v>
      </c>
      <c r="AC938" s="115" t="n">
        <f aca="false">(Kopt-(L0-AB938*Ldif-alph*AB938^0.5))/R0</f>
        <v>0.981342187767786</v>
      </c>
      <c r="AD938" s="113" t="n">
        <f aca="false">IF(AC938&lt;1,X$14*((1-ropt)-Y$14*(1-ropt^2)+Z$14*(1-ropt^3)),0)</f>
        <v>6091.99425261886</v>
      </c>
    </row>
    <row r="939" customFormat="false" ht="12.75" hidden="false" customHeight="false" outlineLevel="0" collapsed="false">
      <c r="X939" s="102" t="n">
        <v>80</v>
      </c>
      <c r="Y939" s="124" t="n">
        <f aca="false">Y938+Y$16</f>
        <v>0.00367046594619747</v>
      </c>
      <c r="Z939" s="115" t="n">
        <f aca="false">(K-(L0-Y939*Ldif-alph*Y939^0.5))/R0</f>
        <v>0.981577440625753</v>
      </c>
      <c r="AA939" s="113" t="n">
        <f aca="false">IF(Z939&lt;1,X$14*((1-r_1)-Y$14*(1-r_1^2)+Z$14*(1-r_1^3)),0)</f>
        <v>5939.33714320899</v>
      </c>
      <c r="AB939" s="97" t="n">
        <f aca="false">AB938+AB$15</f>
        <v>0.00367046594619747</v>
      </c>
      <c r="AC939" s="115" t="n">
        <f aca="false">(Kopt-(L0-AB939*Ldif-alph*AB939^0.5))/R0</f>
        <v>0.981577440625753</v>
      </c>
      <c r="AD939" s="113" t="n">
        <f aca="false">IF(AC939&lt;1,X$14*((1-ropt)-Y$14*(1-ropt^2)+Z$14*(1-ropt^3)),0)</f>
        <v>5939.33714320899</v>
      </c>
    </row>
    <row r="940" customFormat="false" ht="12.75" hidden="false" customHeight="false" outlineLevel="0" collapsed="false">
      <c r="X940" s="102" t="n">
        <v>79</v>
      </c>
      <c r="Y940" s="124" t="n">
        <f aca="false">Y939+Y$16</f>
        <v>0.00367445558309551</v>
      </c>
      <c r="Z940" s="115" t="n">
        <f aca="false">(K-(L0-Y940*Ldif-alph*Y940^0.5))/R0</f>
        <v>0.981812565664235</v>
      </c>
      <c r="AA940" s="113" t="n">
        <f aca="false">IF(Z940&lt;1,X$14*((1-r_1)-Y$14*(1-r_1^2)+Z$14*(1-r_1^3)),0)</f>
        <v>5788.69843506164</v>
      </c>
      <c r="AB940" s="97" t="n">
        <f aca="false">AB939+AB$15</f>
        <v>0.00367445558309551</v>
      </c>
      <c r="AC940" s="115" t="n">
        <f aca="false">(Kopt-(L0-AB940*Ldif-alph*AB940^0.5))/R0</f>
        <v>0.981812565664235</v>
      </c>
      <c r="AD940" s="113" t="n">
        <f aca="false">IF(AC940&lt;1,X$14*((1-ropt)-Y$14*(1-ropt^2)+Z$14*(1-ropt^3)),0)</f>
        <v>5788.69843506164</v>
      </c>
    </row>
    <row r="941" customFormat="false" ht="12.75" hidden="false" customHeight="false" outlineLevel="0" collapsed="false">
      <c r="X941" s="102" t="n">
        <v>78</v>
      </c>
      <c r="Y941" s="124" t="n">
        <f aca="false">Y940+Y$16</f>
        <v>0.00367844521999355</v>
      </c>
      <c r="Z941" s="115" t="n">
        <f aca="false">(K-(L0-Y941*Ldif-alph*Y941^0.5))/R0</f>
        <v>0.98204756309134</v>
      </c>
      <c r="AA941" s="113" t="n">
        <f aca="false">IF(Z941&lt;1,X$14*((1-r_1)-Y$14*(1-r_1^2)+Z$14*(1-r_1^3)),0)</f>
        <v>5640.07484178952</v>
      </c>
      <c r="AB941" s="97" t="n">
        <f aca="false">AB940+AB$15</f>
        <v>0.00367844521999355</v>
      </c>
      <c r="AC941" s="115" t="n">
        <f aca="false">(Kopt-(L0-AB941*Ldif-alph*AB941^0.5))/R0</f>
        <v>0.98204756309134</v>
      </c>
      <c r="AD941" s="113" t="n">
        <f aca="false">IF(AC941&lt;1,X$14*((1-ropt)-Y$14*(1-ropt^2)+Z$14*(1-ropt^3)),0)</f>
        <v>5640.07484178952</v>
      </c>
    </row>
    <row r="942" customFormat="false" ht="12.75" hidden="false" customHeight="false" outlineLevel="0" collapsed="false">
      <c r="X942" s="102" t="n">
        <v>77</v>
      </c>
      <c r="Y942" s="124" t="n">
        <f aca="false">Y941+Y$16</f>
        <v>0.00368243485689159</v>
      </c>
      <c r="Z942" s="115" t="n">
        <f aca="false">(K-(L0-Y942*Ldif-alph*Y942^0.5))/R0</f>
        <v>0.982282433114634</v>
      </c>
      <c r="AA942" s="113" t="n">
        <f aca="false">IF(Z942&lt;1,X$14*((1-r_1)-Y$14*(1-r_1^2)+Z$14*(1-r_1^3)),0)</f>
        <v>5493.46308590576</v>
      </c>
      <c r="AB942" s="97" t="n">
        <f aca="false">AB941+AB$15</f>
        <v>0.00368243485689159</v>
      </c>
      <c r="AC942" s="115" t="n">
        <f aca="false">(Kopt-(L0-AB942*Ldif-alph*AB942^0.5))/R0</f>
        <v>0.982282433114634</v>
      </c>
      <c r="AD942" s="113" t="n">
        <f aca="false">IF(AC942&lt;1,X$14*((1-ropt)-Y$14*(1-ropt^2)+Z$14*(1-ropt^3)),0)</f>
        <v>5493.46308590576</v>
      </c>
    </row>
    <row r="943" customFormat="false" ht="12.75" hidden="false" customHeight="false" outlineLevel="0" collapsed="false">
      <c r="X943" s="102" t="n">
        <v>76</v>
      </c>
      <c r="Y943" s="124" t="n">
        <f aca="false">Y942+Y$16</f>
        <v>0.00368642449378963</v>
      </c>
      <c r="Z943" s="115" t="n">
        <f aca="false">(K-(L0-Y943*Ldif-alph*Y943^0.5))/R0</f>
        <v>0.982517175941102</v>
      </c>
      <c r="AA943" s="113" t="n">
        <f aca="false">IF(Z943&lt;1,X$14*((1-r_1)-Y$14*(1-r_1^2)+Z$14*(1-r_1^3)),0)</f>
        <v>5348.85989880246</v>
      </c>
      <c r="AB943" s="97" t="n">
        <f aca="false">AB942+AB$15</f>
        <v>0.00368642449378963</v>
      </c>
      <c r="AC943" s="115" t="n">
        <f aca="false">(Kopt-(L0-AB943*Ldif-alph*AB943^0.5))/R0</f>
        <v>0.982517175941102</v>
      </c>
      <c r="AD943" s="113" t="n">
        <f aca="false">IF(AC943&lt;1,X$14*((1-ropt)-Y$14*(1-ropt^2)+Z$14*(1-ropt^3)),0)</f>
        <v>5348.85989880246</v>
      </c>
    </row>
    <row r="944" customFormat="false" ht="12.75" hidden="false" customHeight="false" outlineLevel="0" collapsed="false">
      <c r="X944" s="102" t="n">
        <v>75</v>
      </c>
      <c r="Y944" s="124" t="n">
        <f aca="false">Y943+Y$16</f>
        <v>0.00369041413068767</v>
      </c>
      <c r="Z944" s="115" t="n">
        <f aca="false">(K-(L0-Y944*Ldif-alph*Y944^0.5))/R0</f>
        <v>0.982751791777181</v>
      </c>
      <c r="AA944" s="113" t="n">
        <f aca="false">IF(Z944&lt;1,X$14*((1-r_1)-Y$14*(1-r_1^2)+Z$14*(1-r_1^3)),0)</f>
        <v>5206.26202070995</v>
      </c>
      <c r="AB944" s="97" t="n">
        <f aca="false">AB943+AB$15</f>
        <v>0.00369041413068767</v>
      </c>
      <c r="AC944" s="115" t="n">
        <f aca="false">(Kopt-(L0-AB944*Ldif-alph*AB944^0.5))/R0</f>
        <v>0.982751791777181</v>
      </c>
      <c r="AD944" s="113" t="n">
        <f aca="false">IF(AC944&lt;1,X$14*((1-ropt)-Y$14*(1-ropt^2)+Z$14*(1-ropt^3)),0)</f>
        <v>5206.26202070995</v>
      </c>
    </row>
    <row r="945" customFormat="false" ht="12.75" hidden="false" customHeight="false" outlineLevel="0" collapsed="false">
      <c r="X945" s="102" t="n">
        <v>74</v>
      </c>
      <c r="Y945" s="124" t="n">
        <f aca="false">Y944+Y$16</f>
        <v>0.00369440376758571</v>
      </c>
      <c r="Z945" s="115" t="n">
        <f aca="false">(K-(L0-Y945*Ldif-alph*Y945^0.5))/R0</f>
        <v>0.982986280828743</v>
      </c>
      <c r="AA945" s="113" t="n">
        <f aca="false">IF(Z945&lt;1,X$14*((1-r_1)-Y$14*(1-r_1^2)+Z$14*(1-r_1^3)),0)</f>
        <v>5065.66620067151</v>
      </c>
      <c r="AB945" s="97" t="n">
        <f aca="false">AB944+AB$15</f>
        <v>0.00369440376758571</v>
      </c>
      <c r="AC945" s="115" t="n">
        <f aca="false">(Kopt-(L0-AB945*Ldif-alph*AB945^0.5))/R0</f>
        <v>0.982986280828743</v>
      </c>
      <c r="AD945" s="113" t="n">
        <f aca="false">IF(AC945&lt;1,X$14*((1-ropt)-Y$14*(1-ropt^2)+Z$14*(1-ropt^3)),0)</f>
        <v>5065.66620067151</v>
      </c>
    </row>
    <row r="946" customFormat="false" ht="12.75" hidden="false" customHeight="false" outlineLevel="0" collapsed="false">
      <c r="X946" s="102" t="n">
        <v>73</v>
      </c>
      <c r="Y946" s="124" t="n">
        <f aca="false">Y945+Y$16</f>
        <v>0.00369839340448375</v>
      </c>
      <c r="Z946" s="115" t="n">
        <f aca="false">(K-(L0-Y946*Ldif-alph*Y946^0.5))/R0</f>
        <v>0.983220643301106</v>
      </c>
      <c r="AA946" s="113" t="n">
        <f aca="false">IF(Z946&lt;1,X$14*((1-r_1)-Y$14*(1-r_1^2)+Z$14*(1-r_1^3)),0)</f>
        <v>4927.06919650254</v>
      </c>
      <c r="AB946" s="97" t="n">
        <f aca="false">AB945+AB$15</f>
        <v>0.00369839340448375</v>
      </c>
      <c r="AC946" s="115" t="n">
        <f aca="false">(Kopt-(L0-AB946*Ldif-alph*AB946^0.5))/R0</f>
        <v>0.983220643301106</v>
      </c>
      <c r="AD946" s="113" t="n">
        <f aca="false">IF(AC946&lt;1,X$14*((1-ropt)-Y$14*(1-ropt^2)+Z$14*(1-ropt^3)),0)</f>
        <v>4927.06919650254</v>
      </c>
    </row>
    <row r="947" customFormat="false" ht="12.75" hidden="false" customHeight="false" outlineLevel="0" collapsed="false">
      <c r="X947" s="102" t="n">
        <v>72</v>
      </c>
      <c r="Y947" s="124" t="n">
        <f aca="false">Y946+Y$16</f>
        <v>0.00370238304138179</v>
      </c>
      <c r="Z947" s="115" t="n">
        <f aca="false">(K-(L0-Y947*Ldif-alph*Y947^0.5))/R0</f>
        <v>0.983454879399038</v>
      </c>
      <c r="AA947" s="113" t="n">
        <f aca="false">IF(Z947&lt;1,X$14*((1-r_1)-Y$14*(1-r_1^2)+Z$14*(1-r_1^3)),0)</f>
        <v>4790.46777475761</v>
      </c>
      <c r="AB947" s="97" t="n">
        <f aca="false">AB946+AB$15</f>
        <v>0.00370238304138179</v>
      </c>
      <c r="AC947" s="115" t="n">
        <f aca="false">(Kopt-(L0-AB947*Ldif-alph*AB947^0.5))/R0</f>
        <v>0.983454879399038</v>
      </c>
      <c r="AD947" s="113" t="n">
        <f aca="false">IF(AC947&lt;1,X$14*((1-ropt)-Y$14*(1-ropt^2)+Z$14*(1-ropt^3)),0)</f>
        <v>4790.46777475761</v>
      </c>
    </row>
    <row r="948" customFormat="false" ht="12.75" hidden="false" customHeight="false" outlineLevel="0" collapsed="false">
      <c r="X948" s="102" t="n">
        <v>71</v>
      </c>
      <c r="Y948" s="124" t="n">
        <f aca="false">Y947+Y$16</f>
        <v>0.00370637267827983</v>
      </c>
      <c r="Z948" s="115" t="n">
        <f aca="false">(K-(L0-Y948*Ldif-alph*Y948^0.5))/R0</f>
        <v>0.983688989326751</v>
      </c>
      <c r="AA948" s="113" t="n">
        <f aca="false">IF(Z948&lt;1,X$14*((1-r_1)-Y$14*(1-r_1^2)+Z$14*(1-r_1^3)),0)</f>
        <v>4655.85871069929</v>
      </c>
      <c r="AB948" s="97" t="n">
        <f aca="false">AB947+AB$15</f>
        <v>0.00370637267827983</v>
      </c>
      <c r="AC948" s="115" t="n">
        <f aca="false">(Kopt-(L0-AB948*Ldif-alph*AB948^0.5))/R0</f>
        <v>0.983688989326751</v>
      </c>
      <c r="AD948" s="113" t="n">
        <f aca="false">IF(AC948&lt;1,X$14*((1-ropt)-Y$14*(1-ropt^2)+Z$14*(1-ropt^3)),0)</f>
        <v>4655.85871069929</v>
      </c>
    </row>
    <row r="949" customFormat="false" ht="12.75" hidden="false" customHeight="false" outlineLevel="0" collapsed="false">
      <c r="X949" s="102" t="n">
        <v>70</v>
      </c>
      <c r="Y949" s="124" t="n">
        <f aca="false">Y948+Y$16</f>
        <v>0.00371036231517787</v>
      </c>
      <c r="Z949" s="115" t="n">
        <f aca="false">(K-(L0-Y949*Ldif-alph*Y949^0.5))/R0</f>
        <v>0.983922973287913</v>
      </c>
      <c r="AA949" s="113" t="n">
        <f aca="false">IF(Z949&lt;1,X$14*((1-r_1)-Y$14*(1-r_1^2)+Z$14*(1-r_1^3)),0)</f>
        <v>4523.23878827099</v>
      </c>
      <c r="AB949" s="97" t="n">
        <f aca="false">AB948+AB$15</f>
        <v>0.00371036231517787</v>
      </c>
      <c r="AC949" s="115" t="n">
        <f aca="false">(Kopt-(L0-AB949*Ldif-alph*AB949^0.5))/R0</f>
        <v>0.983922973287913</v>
      </c>
      <c r="AD949" s="113" t="n">
        <f aca="false">IF(AC949&lt;1,X$14*((1-ropt)-Y$14*(1-ropt^2)+Z$14*(1-ropt^3)),0)</f>
        <v>4523.23878827099</v>
      </c>
    </row>
    <row r="950" customFormat="false" ht="12.75" hidden="false" customHeight="false" outlineLevel="0" collapsed="false">
      <c r="X950" s="102" t="n">
        <v>69</v>
      </c>
      <c r="Y950" s="124" t="n">
        <f aca="false">Y949+Y$16</f>
        <v>0.00371435195207591</v>
      </c>
      <c r="Z950" s="115" t="n">
        <f aca="false">(K-(L0-Y950*Ldif-alph*Y950^0.5))/R0</f>
        <v>0.984156831485639</v>
      </c>
      <c r="AA950" s="113" t="n">
        <f aca="false">IF(Z950&lt;1,X$14*((1-r_1)-Y$14*(1-r_1^2)+Z$14*(1-r_1^3)),0)</f>
        <v>4392.60480005227</v>
      </c>
      <c r="AB950" s="97" t="n">
        <f aca="false">AB949+AB$15</f>
        <v>0.00371435195207591</v>
      </c>
      <c r="AC950" s="115" t="n">
        <f aca="false">(Kopt-(L0-AB950*Ldif-alph*AB950^0.5))/R0</f>
        <v>0.984156831485639</v>
      </c>
      <c r="AD950" s="113" t="n">
        <f aca="false">IF(AC950&lt;1,X$14*((1-ropt)-Y$14*(1-ropt^2)+Z$14*(1-ropt^3)),0)</f>
        <v>4392.60480005227</v>
      </c>
    </row>
    <row r="951" customFormat="false" ht="12.75" hidden="false" customHeight="false" outlineLevel="0" collapsed="false">
      <c r="X951" s="102" t="n">
        <v>68</v>
      </c>
      <c r="Y951" s="124" t="n">
        <f aca="false">Y950+Y$16</f>
        <v>0.00371834158897395</v>
      </c>
      <c r="Z951" s="115" t="n">
        <f aca="false">(K-(L0-Y951*Ldif-alph*Y951^0.5))/R0</f>
        <v>0.984390564122501</v>
      </c>
      <c r="AA951" s="113" t="n">
        <f aca="false">IF(Z951&lt;1,X$14*((1-r_1)-Y$14*(1-r_1^2)+Z$14*(1-r_1^3)),0)</f>
        <v>4263.95354724135</v>
      </c>
      <c r="AB951" s="97" t="n">
        <f aca="false">AB950+AB$15</f>
        <v>0.00371834158897395</v>
      </c>
      <c r="AC951" s="115" t="n">
        <f aca="false">(Kopt-(L0-AB951*Ldif-alph*AB951^0.5))/R0</f>
        <v>0.984390564122501</v>
      </c>
      <c r="AD951" s="113" t="n">
        <f aca="false">IF(AC951&lt;1,X$14*((1-ropt)-Y$14*(1-ropt^2)+Z$14*(1-ropt^3)),0)</f>
        <v>4263.95354724135</v>
      </c>
    </row>
    <row r="952" customFormat="false" ht="12.75" hidden="false" customHeight="false" outlineLevel="0" collapsed="false">
      <c r="X952" s="102" t="n">
        <v>67</v>
      </c>
      <c r="Y952" s="124" t="n">
        <f aca="false">Y951+Y$16</f>
        <v>0.003722331225872</v>
      </c>
      <c r="Z952" s="115" t="n">
        <f aca="false">(K-(L0-Y952*Ldif-alph*Y952^0.5))/R0</f>
        <v>0.984624171400528</v>
      </c>
      <c r="AA952" s="113" t="n">
        <f aca="false">IF(Z952&lt;1,X$14*((1-r_1)-Y$14*(1-r_1^2)+Z$14*(1-r_1^3)),0)</f>
        <v>4137.28183960654</v>
      </c>
      <c r="AB952" s="97" t="n">
        <f aca="false">AB951+AB$15</f>
        <v>0.003722331225872</v>
      </c>
      <c r="AC952" s="115" t="n">
        <f aca="false">(Kopt-(L0-AB952*Ldif-alph*AB952^0.5))/R0</f>
        <v>0.984624171400528</v>
      </c>
      <c r="AD952" s="113" t="n">
        <f aca="false">IF(AC952&lt;1,X$14*((1-ropt)-Y$14*(1-ropt^2)+Z$14*(1-ropt^3)),0)</f>
        <v>4137.28183960654</v>
      </c>
    </row>
    <row r="953" customFormat="false" ht="12.75" hidden="false" customHeight="false" outlineLevel="0" collapsed="false">
      <c r="X953" s="102" t="n">
        <v>66</v>
      </c>
      <c r="Y953" s="124" t="n">
        <f aca="false">Y952+Y$16</f>
        <v>0.00372632086277004</v>
      </c>
      <c r="Z953" s="115" t="n">
        <f aca="false">(K-(L0-Y953*Ldif-alph*Y953^0.5))/R0</f>
        <v>0.984857653521209</v>
      </c>
      <c r="AA953" s="113" t="n">
        <f aca="false">IF(Z953&lt;1,X$14*((1-r_1)-Y$14*(1-r_1^2)+Z$14*(1-r_1^3)),0)</f>
        <v>4012.58649546488</v>
      </c>
      <c r="AB953" s="97" t="n">
        <f aca="false">AB952+AB$15</f>
        <v>0.00372632086277004</v>
      </c>
      <c r="AC953" s="115" t="n">
        <f aca="false">(Kopt-(L0-AB953*Ldif-alph*AB953^0.5))/R0</f>
        <v>0.984857653521209</v>
      </c>
      <c r="AD953" s="113" t="n">
        <f aca="false">IF(AC953&lt;1,X$14*((1-ropt)-Y$14*(1-ropt^2)+Z$14*(1-ropt^3)),0)</f>
        <v>4012.58649546488</v>
      </c>
    </row>
    <row r="954" customFormat="false" ht="12.75" hidden="false" customHeight="false" outlineLevel="0" collapsed="false">
      <c r="X954" s="102" t="n">
        <v>65</v>
      </c>
      <c r="Y954" s="124" t="n">
        <f aca="false">Y953+Y$16</f>
        <v>0.00373031049966808</v>
      </c>
      <c r="Z954" s="115" t="n">
        <f aca="false">(K-(L0-Y954*Ldif-alph*Y954^0.5))/R0</f>
        <v>0.98509101068549</v>
      </c>
      <c r="AA954" s="113" t="n">
        <f aca="false">IF(Z954&lt;1,X$14*((1-r_1)-Y$14*(1-r_1^2)+Z$14*(1-r_1^3)),0)</f>
        <v>3889.86434165295</v>
      </c>
      <c r="AB954" s="97" t="n">
        <f aca="false">AB953+AB$15</f>
        <v>0.00373031049966808</v>
      </c>
      <c r="AC954" s="115" t="n">
        <f aca="false">(Kopt-(L0-AB954*Ldif-alph*AB954^0.5))/R0</f>
        <v>0.98509101068549</v>
      </c>
      <c r="AD954" s="113" t="n">
        <f aca="false">IF(AC954&lt;1,X$14*((1-ropt)-Y$14*(1-ropt^2)+Z$14*(1-ropt^3)),0)</f>
        <v>3889.86434165295</v>
      </c>
    </row>
    <row r="955" customFormat="false" ht="12.75" hidden="false" customHeight="false" outlineLevel="0" collapsed="false">
      <c r="X955" s="102" t="n">
        <v>64</v>
      </c>
      <c r="Y955" s="124" t="n">
        <f aca="false">Y954+Y$16</f>
        <v>0.00373430013656612</v>
      </c>
      <c r="Z955" s="115" t="n">
        <f aca="false">(K-(L0-Y955*Ldif-alph*Y955^0.5))/R0</f>
        <v>0.985324243093785</v>
      </c>
      <c r="AA955" s="113" t="n">
        <f aca="false">IF(Z955&lt;1,X$14*((1-r_1)-Y$14*(1-r_1^2)+Z$14*(1-r_1^3)),0)</f>
        <v>3769.11221348031</v>
      </c>
      <c r="AB955" s="97" t="n">
        <f aca="false">AB954+AB$15</f>
        <v>0.00373430013656612</v>
      </c>
      <c r="AC955" s="115" t="n">
        <f aca="false">(Kopt-(L0-AB955*Ldif-alph*AB955^0.5))/R0</f>
        <v>0.985324243093785</v>
      </c>
      <c r="AD955" s="113" t="n">
        <f aca="false">IF(AC955&lt;1,X$14*((1-ropt)-Y$14*(1-ropt^2)+Z$14*(1-ropt^3)),0)</f>
        <v>3769.11221348031</v>
      </c>
    </row>
    <row r="956" customFormat="false" ht="12.75" hidden="false" customHeight="false" outlineLevel="0" collapsed="false">
      <c r="X956" s="102" t="n">
        <v>63</v>
      </c>
      <c r="Y956" s="124" t="n">
        <f aca="false">Y955+Y$16</f>
        <v>0.00373828977346416</v>
      </c>
      <c r="Z956" s="115" t="n">
        <f aca="false">(K-(L0-Y956*Ldif-alph*Y956^0.5))/R0</f>
        <v>0.985557350945967</v>
      </c>
      <c r="AA956" s="113" t="n">
        <f aca="false">IF(Z956&lt;1,X$14*((1-r_1)-Y$14*(1-r_1^2)+Z$14*(1-r_1^3)),0)</f>
        <v>3650.3269547139</v>
      </c>
      <c r="AB956" s="97" t="n">
        <f aca="false">AB955+AB$15</f>
        <v>0.00373828977346416</v>
      </c>
      <c r="AC956" s="115" t="n">
        <f aca="false">(Kopt-(L0-AB956*Ldif-alph*AB956^0.5))/R0</f>
        <v>0.985557350945967</v>
      </c>
      <c r="AD956" s="113" t="n">
        <f aca="false">IF(AC956&lt;1,X$14*((1-ropt)-Y$14*(1-ropt^2)+Z$14*(1-ropt^3)),0)</f>
        <v>3650.3269547139</v>
      </c>
    </row>
    <row r="957" customFormat="false" ht="12.75" hidden="false" customHeight="false" outlineLevel="0" collapsed="false">
      <c r="X957" s="102" t="n">
        <v>62</v>
      </c>
      <c r="Y957" s="124" t="n">
        <f aca="false">Y956+Y$16</f>
        <v>0.0037422794103622</v>
      </c>
      <c r="Z957" s="115" t="n">
        <f aca="false">(K-(L0-Y957*Ldif-alph*Y957^0.5))/R0</f>
        <v>0.985790334441383</v>
      </c>
      <c r="AA957" s="113" t="n">
        <f aca="false">IF(Z957&lt;1,X$14*((1-r_1)-Y$14*(1-r_1^2)+Z$14*(1-r_1^3)),0)</f>
        <v>3533.50541753533</v>
      </c>
      <c r="AB957" s="97" t="n">
        <f aca="false">AB956+AB$15</f>
        <v>0.0037422794103622</v>
      </c>
      <c r="AC957" s="115" t="n">
        <f aca="false">(Kopt-(L0-AB957*Ldif-alph*AB957^0.5))/R0</f>
        <v>0.985790334441383</v>
      </c>
      <c r="AD957" s="113" t="n">
        <f aca="false">IF(AC957&lt;1,X$14*((1-ropt)-Y$14*(1-ropt^2)+Z$14*(1-ropt^3)),0)</f>
        <v>3533.50541753533</v>
      </c>
    </row>
    <row r="958" customFormat="false" ht="12.75" hidden="false" customHeight="false" outlineLevel="0" collapsed="false">
      <c r="X958" s="102" t="n">
        <v>61</v>
      </c>
      <c r="Y958" s="124" t="n">
        <f aca="false">Y957+Y$16</f>
        <v>0.00374626904726024</v>
      </c>
      <c r="Z958" s="115" t="n">
        <f aca="false">(K-(L0-Y958*Ldif-alph*Y958^0.5))/R0</f>
        <v>0.98602319377884</v>
      </c>
      <c r="AA958" s="113" t="n">
        <f aca="false">IF(Z958&lt;1,X$14*((1-r_1)-Y$14*(1-r_1^2)+Z$14*(1-r_1^3)),0)</f>
        <v>3418.64446251755</v>
      </c>
      <c r="AB958" s="97" t="n">
        <f aca="false">AB957+AB$15</f>
        <v>0.00374626904726024</v>
      </c>
      <c r="AC958" s="115" t="n">
        <f aca="false">(Kopt-(L0-AB958*Ldif-alph*AB958^0.5))/R0</f>
        <v>0.98602319377884</v>
      </c>
      <c r="AD958" s="113" t="n">
        <f aca="false">IF(AC958&lt;1,X$14*((1-ropt)-Y$14*(1-ropt^2)+Z$14*(1-ropt^3)),0)</f>
        <v>3418.64446251755</v>
      </c>
    </row>
    <row r="959" customFormat="false" ht="12.75" hidden="false" customHeight="false" outlineLevel="0" collapsed="false">
      <c r="X959" s="102" t="n">
        <v>60</v>
      </c>
      <c r="Y959" s="124" t="n">
        <f aca="false">Y958+Y$16</f>
        <v>0.00375025868415828</v>
      </c>
      <c r="Z959" s="115" t="n">
        <f aca="false">(K-(L0-Y959*Ldif-alph*Y959^0.5))/R0</f>
        <v>0.986255929156626</v>
      </c>
      <c r="AA959" s="113" t="n">
        <f aca="false">IF(Z959&lt;1,X$14*((1-r_1)-Y$14*(1-r_1^2)+Z$14*(1-r_1^3)),0)</f>
        <v>3305.74095858405</v>
      </c>
      <c r="AB959" s="97" t="n">
        <f aca="false">AB958+AB$15</f>
        <v>0.00375025868415828</v>
      </c>
      <c r="AC959" s="115" t="n">
        <f aca="false">(Kopt-(L0-AB959*Ldif-alph*AB959^0.5))/R0</f>
        <v>0.986255929156626</v>
      </c>
      <c r="AD959" s="113" t="n">
        <f aca="false">IF(AC959&lt;1,X$14*((1-ropt)-Y$14*(1-ropt^2)+Z$14*(1-ropt^3)),0)</f>
        <v>3305.74095858405</v>
      </c>
    </row>
    <row r="960" customFormat="false" ht="12.75" hidden="false" customHeight="false" outlineLevel="0" collapsed="false">
      <c r="X960" s="102" t="n">
        <v>59</v>
      </c>
      <c r="Y960" s="124" t="n">
        <f aca="false">Y959+Y$16</f>
        <v>0.00375424832105632</v>
      </c>
      <c r="Z960" s="115" t="n">
        <f aca="false">(K-(L0-Y960*Ldif-alph*Y960^0.5))/R0</f>
        <v>0.986488540772492</v>
      </c>
      <c r="AA960" s="113" t="n">
        <f aca="false">IF(Z960&lt;1,X$14*((1-r_1)-Y$14*(1-r_1^2)+Z$14*(1-r_1^3)),0)</f>
        <v>3194.79178299137</v>
      </c>
      <c r="AB960" s="97" t="n">
        <f aca="false">AB959+AB$15</f>
        <v>0.00375424832105632</v>
      </c>
      <c r="AC960" s="115" t="n">
        <f aca="false">(Kopt-(L0-AB960*Ldif-alph*AB960^0.5))/R0</f>
        <v>0.986488540772492</v>
      </c>
      <c r="AD960" s="113" t="n">
        <f aca="false">IF(AC960&lt;1,X$14*((1-ropt)-Y$14*(1-ropt^2)+Z$14*(1-ropt^3)),0)</f>
        <v>3194.79178299137</v>
      </c>
    </row>
    <row r="961" customFormat="false" ht="12.75" hidden="false" customHeight="false" outlineLevel="0" collapsed="false">
      <c r="X961" s="102" t="n">
        <v>58</v>
      </c>
      <c r="Y961" s="124" t="n">
        <f aca="false">Y960+Y$16</f>
        <v>0.00375823795795436</v>
      </c>
      <c r="Z961" s="115" t="n">
        <f aca="false">(K-(L0-Y961*Ldif-alph*Y961^0.5))/R0</f>
        <v>0.986721028823672</v>
      </c>
      <c r="AA961" s="113" t="n">
        <f aca="false">IF(Z961&lt;1,X$14*((1-r_1)-Y$14*(1-r_1^2)+Z$14*(1-r_1^3)),0)</f>
        <v>3085.79382128055</v>
      </c>
      <c r="AB961" s="97" t="n">
        <f aca="false">AB960+AB$15</f>
        <v>0.00375823795795436</v>
      </c>
      <c r="AC961" s="115" t="n">
        <f aca="false">(Kopt-(L0-AB961*Ldif-alph*AB961^0.5))/R0</f>
        <v>0.986721028823672</v>
      </c>
      <c r="AD961" s="113" t="n">
        <f aca="false">IF(AC961&lt;1,X$14*((1-ropt)-Y$14*(1-ropt^2)+Z$14*(1-ropt^3)),0)</f>
        <v>3085.79382128055</v>
      </c>
    </row>
    <row r="962" customFormat="false" ht="12.75" hidden="false" customHeight="false" outlineLevel="0" collapsed="false">
      <c r="X962" s="102" t="n">
        <v>57</v>
      </c>
      <c r="Y962" s="124" t="n">
        <f aca="false">Y961+Y$16</f>
        <v>0.0037622275948524</v>
      </c>
      <c r="Z962" s="115" t="n">
        <f aca="false">(K-(L0-Y962*Ldif-alph*Y962^0.5))/R0</f>
        <v>0.986953393506867</v>
      </c>
      <c r="AA962" s="113" t="n">
        <f aca="false">IF(Z962&lt;1,X$14*((1-r_1)-Y$14*(1-r_1^2)+Z$14*(1-r_1^3)),0)</f>
        <v>2978.74396726738</v>
      </c>
      <c r="AB962" s="97" t="n">
        <f aca="false">AB961+AB$15</f>
        <v>0.0037622275948524</v>
      </c>
      <c r="AC962" s="115" t="n">
        <f aca="false">(Kopt-(L0-AB962*Ldif-alph*AB962^0.5))/R0</f>
        <v>0.986953393506867</v>
      </c>
      <c r="AD962" s="113" t="n">
        <f aca="false">IF(AC962&lt;1,X$14*((1-ropt)-Y$14*(1-ropt^2)+Z$14*(1-ropt^3)),0)</f>
        <v>2978.74396726738</v>
      </c>
    </row>
    <row r="963" customFormat="false" ht="12.75" hidden="false" customHeight="false" outlineLevel="0" collapsed="false">
      <c r="X963" s="102" t="n">
        <v>56</v>
      </c>
      <c r="Y963" s="124" t="n">
        <f aca="false">Y962+Y$16</f>
        <v>0.00376621723175044</v>
      </c>
      <c r="Z963" s="115" t="n">
        <f aca="false">(K-(L0-Y963*Ldif-alph*Y963^0.5))/R0</f>
        <v>0.98718563501827</v>
      </c>
      <c r="AA963" s="113" t="n">
        <f aca="false">IF(Z963&lt;1,X$14*((1-r_1)-Y$14*(1-r_1^2)+Z$14*(1-r_1^3)),0)</f>
        <v>2873.63912298805</v>
      </c>
      <c r="AB963" s="97" t="n">
        <f aca="false">AB962+AB$15</f>
        <v>0.00376621723175044</v>
      </c>
      <c r="AC963" s="115" t="n">
        <f aca="false">(Kopt-(L0-AB963*Ldif-alph*AB963^0.5))/R0</f>
        <v>0.98718563501827</v>
      </c>
      <c r="AD963" s="113" t="n">
        <f aca="false">IF(AC963&lt;1,X$14*((1-ropt)-Y$14*(1-ropt^2)+Z$14*(1-ropt^3)),0)</f>
        <v>2873.63912298805</v>
      </c>
    </row>
    <row r="964" customFormat="false" ht="12.75" hidden="false" customHeight="false" outlineLevel="0" collapsed="false">
      <c r="X964" s="102" t="n">
        <v>55</v>
      </c>
      <c r="Y964" s="124" t="n">
        <f aca="false">Y963+Y$16</f>
        <v>0.00377020686864848</v>
      </c>
      <c r="Z964" s="115" t="n">
        <f aca="false">(K-(L0-Y964*Ldif-alph*Y964^0.5))/R0</f>
        <v>0.987417753553542</v>
      </c>
      <c r="AA964" s="113" t="n">
        <f aca="false">IF(Z964&lt;1,X$14*((1-r_1)-Y$14*(1-r_1^2)+Z$14*(1-r_1^3)),0)</f>
        <v>2770.47619868937</v>
      </c>
      <c r="AB964" s="97" t="n">
        <f aca="false">AB963+AB$15</f>
        <v>0.00377020686864848</v>
      </c>
      <c r="AC964" s="115" t="n">
        <f aca="false">(Kopt-(L0-AB964*Ldif-alph*AB964^0.5))/R0</f>
        <v>0.987417753553542</v>
      </c>
      <c r="AD964" s="113" t="n">
        <f aca="false">IF(AC964&lt;1,X$14*((1-ropt)-Y$14*(1-ropt^2)+Z$14*(1-ropt^3)),0)</f>
        <v>2770.47619868937</v>
      </c>
    </row>
    <row r="965" customFormat="false" ht="12.75" hidden="false" customHeight="false" outlineLevel="0" collapsed="false">
      <c r="X965" s="102" t="n">
        <v>54</v>
      </c>
      <c r="Y965" s="124" t="n">
        <f aca="false">Y964+Y$16</f>
        <v>0.00377419650554652</v>
      </c>
      <c r="Z965" s="115" t="n">
        <f aca="false">(K-(L0-Y965*Ldif-alph*Y965^0.5))/R0</f>
        <v>0.987649749307835</v>
      </c>
      <c r="AA965" s="113" t="n">
        <f aca="false">IF(Z965&lt;1,X$14*((1-r_1)-Y$14*(1-r_1^2)+Z$14*(1-r_1^3)),0)</f>
        <v>2669.25211278801</v>
      </c>
      <c r="AB965" s="97" t="n">
        <f aca="false">AB964+AB$15</f>
        <v>0.00377419650554652</v>
      </c>
      <c r="AC965" s="115" t="n">
        <f aca="false">(Kopt-(L0-AB965*Ldif-alph*AB965^0.5))/R0</f>
        <v>0.987649749307835</v>
      </c>
      <c r="AD965" s="113" t="n">
        <f aca="false">IF(AC965&lt;1,X$14*((1-ropt)-Y$14*(1-ropt^2)+Z$14*(1-ropt^3)),0)</f>
        <v>2669.25211278801</v>
      </c>
    </row>
    <row r="966" customFormat="false" ht="12.75" hidden="false" customHeight="false" outlineLevel="0" collapsed="false">
      <c r="X966" s="102" t="n">
        <v>53</v>
      </c>
      <c r="Y966" s="124" t="n">
        <f aca="false">Y965+Y$16</f>
        <v>0.00377818614244456</v>
      </c>
      <c r="Z966" s="115" t="n">
        <f aca="false">(K-(L0-Y966*Ldif-alph*Y966^0.5))/R0</f>
        <v>0.987881622475778</v>
      </c>
      <c r="AA966" s="113" t="n">
        <f aca="false">IF(Z966&lt;1,X$14*((1-r_1)-Y$14*(1-r_1^2)+Z$14*(1-r_1^3)),0)</f>
        <v>2569.96379184332</v>
      </c>
      <c r="AB966" s="97" t="n">
        <f aca="false">AB965+AB$15</f>
        <v>0.00377818614244456</v>
      </c>
      <c r="AC966" s="115" t="n">
        <f aca="false">(Kopt-(L0-AB966*Ldif-alph*AB966^0.5))/R0</f>
        <v>0.987881622475778</v>
      </c>
      <c r="AD966" s="113" t="n">
        <f aca="false">IF(AC966&lt;1,X$14*((1-ropt)-Y$14*(1-ropt^2)+Z$14*(1-ropt^3)),0)</f>
        <v>2569.96379184332</v>
      </c>
    </row>
    <row r="967" customFormat="false" ht="12.75" hidden="false" customHeight="false" outlineLevel="0" collapsed="false">
      <c r="X967" s="102" t="n">
        <v>52</v>
      </c>
      <c r="Y967" s="124" t="n">
        <f aca="false">Y966+Y$16</f>
        <v>0.0037821757793426</v>
      </c>
      <c r="Z967" s="115" t="n">
        <f aca="false">(K-(L0-Y967*Ldif-alph*Y967^0.5))/R0</f>
        <v>0.988113373251495</v>
      </c>
      <c r="AA967" s="113" t="n">
        <f aca="false">IF(Z967&lt;1,X$14*((1-r_1)-Y$14*(1-r_1^2)+Z$14*(1-r_1^3)),0)</f>
        <v>2472.60817052036</v>
      </c>
      <c r="AB967" s="97" t="n">
        <f aca="false">AB966+AB$15</f>
        <v>0.0037821757793426</v>
      </c>
      <c r="AC967" s="115" t="n">
        <f aca="false">(Kopt-(L0-AB967*Ldif-alph*AB967^0.5))/R0</f>
        <v>0.988113373251495</v>
      </c>
      <c r="AD967" s="113" t="n">
        <f aca="false">IF(AC967&lt;1,X$14*((1-ropt)-Y$14*(1-ropt^2)+Z$14*(1-ropt^3)),0)</f>
        <v>2472.60817052036</v>
      </c>
    </row>
    <row r="968" customFormat="false" ht="12.75" hidden="false" customHeight="false" outlineLevel="0" collapsed="false">
      <c r="X968" s="102" t="n">
        <v>51</v>
      </c>
      <c r="Y968" s="124" t="n">
        <f aca="false">Y967+Y$16</f>
        <v>0.00378616541624065</v>
      </c>
      <c r="Z968" s="115" t="n">
        <f aca="false">(K-(L0-Y968*Ldif-alph*Y968^0.5))/R0</f>
        <v>0.988345001828588</v>
      </c>
      <c r="AA968" s="113" t="n">
        <f aca="false">IF(Z968&lt;1,X$14*((1-r_1)-Y$14*(1-r_1^2)+Z$14*(1-r_1^3)),0)</f>
        <v>2377.18219157246</v>
      </c>
      <c r="AB968" s="97" t="n">
        <f aca="false">AB967+AB$15</f>
        <v>0.00378616541624065</v>
      </c>
      <c r="AC968" s="115" t="n">
        <f aca="false">(Kopt-(L0-AB968*Ldif-alph*AB968^0.5))/R0</f>
        <v>0.988345001828588</v>
      </c>
      <c r="AD968" s="113" t="n">
        <f aca="false">IF(AC968&lt;1,X$14*((1-ropt)-Y$14*(1-ropt^2)+Z$14*(1-ropt^3)),0)</f>
        <v>2377.18219157246</v>
      </c>
    </row>
    <row r="969" customFormat="false" ht="12.75" hidden="false" customHeight="false" outlineLevel="0" collapsed="false">
      <c r="X969" s="102" t="n">
        <v>50</v>
      </c>
      <c r="Y969" s="124" t="n">
        <f aca="false">Y968+Y$16</f>
        <v>0.00379015505313869</v>
      </c>
      <c r="Z969" s="115" t="n">
        <f aca="false">(K-(L0-Y969*Ldif-alph*Y969^0.5))/R0</f>
        <v>0.988576508400161</v>
      </c>
      <c r="AA969" s="113" t="n">
        <f aca="false">IF(Z969&lt;1,X$14*((1-r_1)-Y$14*(1-r_1^2)+Z$14*(1-r_1^3)),0)</f>
        <v>2283.68280580232</v>
      </c>
      <c r="AB969" s="97" t="n">
        <f aca="false">AB968+AB$15</f>
        <v>0.00379015505313869</v>
      </c>
      <c r="AC969" s="115" t="n">
        <f aca="false">(Kopt-(L0-AB969*Ldif-alph*AB969^0.5))/R0</f>
        <v>0.988576508400161</v>
      </c>
      <c r="AD969" s="113" t="n">
        <f aca="false">IF(AC969&lt;1,X$14*((1-ropt)-Y$14*(1-ropt^2)+Z$14*(1-ropt^3)),0)</f>
        <v>2283.68280580232</v>
      </c>
    </row>
    <row r="970" customFormat="false" ht="12.75" hidden="false" customHeight="false" outlineLevel="0" collapsed="false">
      <c r="X970" s="102" t="n">
        <v>49</v>
      </c>
      <c r="Y970" s="124" t="n">
        <f aca="false">Y969+Y$16</f>
        <v>0.00379414469003673</v>
      </c>
      <c r="Z970" s="115" t="n">
        <f aca="false">(K-(L0-Y970*Ldif-alph*Y970^0.5))/R0</f>
        <v>0.988807893158799</v>
      </c>
      <c r="AA970" s="113" t="n">
        <f aca="false">IF(Z970&lt;1,X$14*((1-r_1)-Y$14*(1-r_1^2)+Z$14*(1-r_1^3)),0)</f>
        <v>2192.10697203487</v>
      </c>
      <c r="AB970" s="97" t="n">
        <f aca="false">AB969+AB$15</f>
        <v>0.00379414469003673</v>
      </c>
      <c r="AC970" s="115" t="n">
        <f aca="false">(Kopt-(L0-AB970*Ldif-alph*AB970^0.5))/R0</f>
        <v>0.988807893158799</v>
      </c>
      <c r="AD970" s="113" t="n">
        <f aca="false">IF(AC970&lt;1,X$14*((1-ropt)-Y$14*(1-ropt^2)+Z$14*(1-ropt^3)),0)</f>
        <v>2192.10697203487</v>
      </c>
    </row>
    <row r="971" customFormat="false" ht="12.75" hidden="false" customHeight="false" outlineLevel="0" collapsed="false">
      <c r="X971" s="102" t="n">
        <v>48</v>
      </c>
      <c r="Y971" s="124" t="n">
        <f aca="false">Y970+Y$16</f>
        <v>0.00379813432693477</v>
      </c>
      <c r="Z971" s="115" t="n">
        <f aca="false">(K-(L0-Y971*Ldif-alph*Y971^0.5))/R0</f>
        <v>0.989039156296588</v>
      </c>
      <c r="AA971" s="113" t="n">
        <f aca="false">IF(Z971&lt;1,X$14*((1-r_1)-Y$14*(1-r_1^2)+Z$14*(1-r_1^3)),0)</f>
        <v>2102.45165708611</v>
      </c>
      <c r="AB971" s="97" t="n">
        <f aca="false">AB970+AB$15</f>
        <v>0.00379813432693477</v>
      </c>
      <c r="AC971" s="115" t="n">
        <f aca="false">(Kopt-(L0-AB971*Ldif-alph*AB971^0.5))/R0</f>
        <v>0.989039156296588</v>
      </c>
      <c r="AD971" s="113" t="n">
        <f aca="false">IF(AC971&lt;1,X$14*((1-ropt)-Y$14*(1-ropt^2)+Z$14*(1-ropt^3)),0)</f>
        <v>2102.45165708611</v>
      </c>
    </row>
    <row r="972" customFormat="false" ht="12.75" hidden="false" customHeight="false" outlineLevel="0" collapsed="false">
      <c r="X972" s="102" t="n">
        <v>47</v>
      </c>
      <c r="Y972" s="124" t="n">
        <f aca="false">Y971+Y$16</f>
        <v>0.00380212396383281</v>
      </c>
      <c r="Z972" s="115" t="n">
        <f aca="false">(K-(L0-Y972*Ldif-alph*Y972^0.5))/R0</f>
        <v>0.989270298005107</v>
      </c>
      <c r="AA972" s="113" t="n">
        <f aca="false">IF(Z972&lt;1,X$14*((1-r_1)-Y$14*(1-r_1^2)+Z$14*(1-r_1^3)),0)</f>
        <v>2014.71383573598</v>
      </c>
      <c r="AB972" s="97" t="n">
        <f aca="false">AB971+AB$15</f>
        <v>0.00380212396383281</v>
      </c>
      <c r="AC972" s="115" t="n">
        <f aca="false">(Kopt-(L0-AB972*Ldif-alph*AB972^0.5))/R0</f>
        <v>0.989270298005107</v>
      </c>
      <c r="AD972" s="113" t="n">
        <f aca="false">IF(AC972&lt;1,X$14*((1-ropt)-Y$14*(1-ropt^2)+Z$14*(1-ropt^3)),0)</f>
        <v>2014.71383573598</v>
      </c>
    </row>
    <row r="973" customFormat="false" ht="12.75" hidden="false" customHeight="false" outlineLevel="0" collapsed="false">
      <c r="X973" s="102" t="n">
        <v>46</v>
      </c>
      <c r="Y973" s="124" t="n">
        <f aca="false">Y972+Y$16</f>
        <v>0.00380611360073085</v>
      </c>
      <c r="Z973" s="115" t="n">
        <f aca="false">(K-(L0-Y973*Ldif-alph*Y973^0.5))/R0</f>
        <v>0.989501318475431</v>
      </c>
      <c r="AA973" s="113" t="n">
        <f aca="false">IF(Z973&lt;1,X$14*((1-r_1)-Y$14*(1-r_1^2)+Z$14*(1-r_1^3)),0)</f>
        <v>1928.89049070111</v>
      </c>
      <c r="AB973" s="97" t="n">
        <f aca="false">AB972+AB$15</f>
        <v>0.00380611360073085</v>
      </c>
      <c r="AC973" s="115" t="n">
        <f aca="false">(Kopt-(L0-AB973*Ldif-alph*AB973^0.5))/R0</f>
        <v>0.989501318475431</v>
      </c>
      <c r="AD973" s="113" t="n">
        <f aca="false">IF(AC973&lt;1,X$14*((1-ropt)-Y$14*(1-ropt^2)+Z$14*(1-ropt^3)),0)</f>
        <v>1928.89049070111</v>
      </c>
    </row>
    <row r="974" customFormat="false" ht="12.75" hidden="false" customHeight="false" outlineLevel="0" collapsed="false">
      <c r="X974" s="102" t="n">
        <v>45</v>
      </c>
      <c r="Y974" s="124" t="n">
        <f aca="false">Y973+Y$16</f>
        <v>0.00381010323762889</v>
      </c>
      <c r="Z974" s="115" t="n">
        <f aca="false">(K-(L0-Y974*Ldif-alph*Y974^0.5))/R0</f>
        <v>0.989732217898139</v>
      </c>
      <c r="AA974" s="113" t="n">
        <f aca="false">IF(Z974&lt;1,X$14*((1-r_1)-Y$14*(1-r_1^2)+Z$14*(1-r_1^3)),0)</f>
        <v>1844.97861259791</v>
      </c>
      <c r="AB974" s="97" t="n">
        <f aca="false">AB973+AB$15</f>
        <v>0.00381010323762889</v>
      </c>
      <c r="AC974" s="115" t="n">
        <f aca="false">(Kopt-(L0-AB974*Ldif-alph*AB974^0.5))/R0</f>
        <v>0.989732217898139</v>
      </c>
      <c r="AD974" s="113" t="n">
        <f aca="false">IF(AC974&lt;1,X$14*((1-ropt)-Y$14*(1-ropt^2)+Z$14*(1-ropt^3)),0)</f>
        <v>1844.97861259791</v>
      </c>
    </row>
    <row r="975" customFormat="false" ht="12.75" hidden="false" customHeight="false" outlineLevel="0" collapsed="false">
      <c r="X975" s="102" t="n">
        <v>44</v>
      </c>
      <c r="Y975" s="124" t="n">
        <f aca="false">Y974+Y$16</f>
        <v>0.00381409287452693</v>
      </c>
      <c r="Z975" s="115" t="n">
        <f aca="false">(K-(L0-Y975*Ldif-alph*Y975^0.5))/R0</f>
        <v>0.989962996463306</v>
      </c>
      <c r="AA975" s="113" t="n">
        <f aca="false">IF(Z975&lt;1,X$14*((1-r_1)-Y$14*(1-r_1^2)+Z$14*(1-r_1^3)),0)</f>
        <v>1762.97519992319</v>
      </c>
      <c r="AB975" s="97" t="n">
        <f aca="false">AB974+AB$15</f>
        <v>0.00381409287452693</v>
      </c>
      <c r="AC975" s="115" t="n">
        <f aca="false">(Kopt-(L0-AB975*Ldif-alph*AB975^0.5))/R0</f>
        <v>0.989962996463306</v>
      </c>
      <c r="AD975" s="113" t="n">
        <f aca="false">IF(AC975&lt;1,X$14*((1-ropt)-Y$14*(1-ropt^2)+Z$14*(1-ropt^3)),0)</f>
        <v>1762.97519992319</v>
      </c>
    </row>
    <row r="976" customFormat="false" ht="12.75" hidden="false" customHeight="false" outlineLevel="0" collapsed="false">
      <c r="X976" s="102" t="n">
        <v>43</v>
      </c>
      <c r="Y976" s="124" t="n">
        <f aca="false">Y975+Y$16</f>
        <v>0.00381808251142497</v>
      </c>
      <c r="Z976" s="115" t="n">
        <f aca="false">(K-(L0-Y976*Ldif-alph*Y976^0.5))/R0</f>
        <v>0.990193654360514</v>
      </c>
      <c r="AA976" s="113" t="n">
        <f aca="false">IF(Z976&lt;1,X$14*((1-r_1)-Y$14*(1-r_1^2)+Z$14*(1-r_1^3)),0)</f>
        <v>1682.87725901911</v>
      </c>
      <c r="AB976" s="97" t="n">
        <f aca="false">AB975+AB$15</f>
        <v>0.00381808251142497</v>
      </c>
      <c r="AC976" s="115" t="n">
        <f aca="false">(Kopt-(L0-AB976*Ldif-alph*AB976^0.5))/R0</f>
        <v>0.990193654360514</v>
      </c>
      <c r="AD976" s="113" t="n">
        <f aca="false">IF(AC976&lt;1,X$14*((1-ropt)-Y$14*(1-ropt^2)+Z$14*(1-ropt^3)),0)</f>
        <v>1682.87725901911</v>
      </c>
    </row>
    <row r="977" customFormat="false" ht="12.75" hidden="false" customHeight="false" outlineLevel="0" collapsed="false">
      <c r="X977" s="102" t="n">
        <v>42</v>
      </c>
      <c r="Y977" s="124" t="n">
        <f aca="false">Y976+Y$16</f>
        <v>0.00382207214832301</v>
      </c>
      <c r="Z977" s="115" t="n">
        <f aca="false">(K-(L0-Y977*Ldif-alph*Y977^0.5))/R0</f>
        <v>0.990424191778846</v>
      </c>
      <c r="AA977" s="113" t="n">
        <f aca="false">IF(Z977&lt;1,X$14*((1-r_1)-Y$14*(1-r_1^2)+Z$14*(1-r_1^3)),0)</f>
        <v>1604.68180404605</v>
      </c>
      <c r="AB977" s="97" t="n">
        <f aca="false">AB976+AB$15</f>
        <v>0.00382207214832301</v>
      </c>
      <c r="AC977" s="115" t="n">
        <f aca="false">(Kopt-(L0-AB977*Ldif-alph*AB977^0.5))/R0</f>
        <v>0.990424191778846</v>
      </c>
      <c r="AD977" s="113" t="n">
        <f aca="false">IF(AC977&lt;1,X$14*((1-ropt)-Y$14*(1-ropt^2)+Z$14*(1-ropt^3)),0)</f>
        <v>1604.68180404605</v>
      </c>
    </row>
    <row r="978" customFormat="false" ht="12.75" hidden="false" customHeight="false" outlineLevel="0" collapsed="false">
      <c r="X978" s="102" t="n">
        <v>41</v>
      </c>
      <c r="Y978" s="124" t="n">
        <f aca="false">Y977+Y$16</f>
        <v>0.00382606178522105</v>
      </c>
      <c r="Z978" s="115" t="n">
        <f aca="false">(K-(L0-Y978*Ldif-alph*Y978^0.5))/R0</f>
        <v>0.990654608906897</v>
      </c>
      <c r="AA978" s="113" t="n">
        <f aca="false">IF(Z978&lt;1,X$14*((1-r_1)-Y$14*(1-r_1^2)+Z$14*(1-r_1^3)),0)</f>
        <v>1528.38585695342</v>
      </c>
      <c r="AB978" s="97" t="n">
        <f aca="false">AB977+AB$15</f>
        <v>0.00382606178522105</v>
      </c>
      <c r="AC978" s="115" t="n">
        <f aca="false">(Kopt-(L0-AB978*Ldif-alph*AB978^0.5))/R0</f>
        <v>0.990654608906897</v>
      </c>
      <c r="AD978" s="113" t="n">
        <f aca="false">IF(AC978&lt;1,X$14*((1-ropt)-Y$14*(1-ropt^2)+Z$14*(1-ropt^3)),0)</f>
        <v>1528.38585695342</v>
      </c>
    </row>
    <row r="979" customFormat="false" ht="12.75" hidden="false" customHeight="false" outlineLevel="0" collapsed="false">
      <c r="X979" s="102" t="n">
        <v>40</v>
      </c>
      <c r="Y979" s="124" t="n">
        <f aca="false">Y978+Y$16</f>
        <v>0.00383005142211909</v>
      </c>
      <c r="Z979" s="115" t="n">
        <f aca="false">(K-(L0-Y979*Ldif-alph*Y979^0.5))/R0</f>
        <v>0.990884905932766</v>
      </c>
      <c r="AA979" s="113" t="n">
        <f aca="false">IF(Z979&lt;1,X$14*((1-r_1)-Y$14*(1-r_1^2)+Z$14*(1-r_1^3)),0)</f>
        <v>1453.98644745443</v>
      </c>
      <c r="AB979" s="97" t="n">
        <f aca="false">AB978+AB$15</f>
        <v>0.00383005142211909</v>
      </c>
      <c r="AC979" s="115" t="n">
        <f aca="false">(Kopt-(L0-AB979*Ldif-alph*AB979^0.5))/R0</f>
        <v>0.990884905932766</v>
      </c>
      <c r="AD979" s="113" t="n">
        <f aca="false">IF(AC979&lt;1,X$14*((1-ropt)-Y$14*(1-ropt^2)+Z$14*(1-ropt^3)),0)</f>
        <v>1453.98644745443</v>
      </c>
    </row>
    <row r="980" customFormat="false" ht="12.75" hidden="false" customHeight="false" outlineLevel="0" collapsed="false">
      <c r="X980" s="102" t="n">
        <v>39</v>
      </c>
      <c r="Y980" s="124" t="n">
        <f aca="false">Y979+Y$16</f>
        <v>0.00383404105901713</v>
      </c>
      <c r="Z980" s="115" t="n">
        <f aca="false">(K-(L0-Y980*Ldif-alph*Y980^0.5))/R0</f>
        <v>0.991115083044066</v>
      </c>
      <c r="AA980" s="113" t="n">
        <f aca="false">IF(Z980&lt;1,X$14*((1-r_1)-Y$14*(1-r_1^2)+Z$14*(1-r_1^3)),0)</f>
        <v>1381.48061299304</v>
      </c>
      <c r="AB980" s="97" t="n">
        <f aca="false">AB979+AB$15</f>
        <v>0.00383404105901713</v>
      </c>
      <c r="AC980" s="115" t="n">
        <f aca="false">(Kopt-(L0-AB980*Ldif-alph*AB980^0.5))/R0</f>
        <v>0.991115083044066</v>
      </c>
      <c r="AD980" s="113" t="n">
        <f aca="false">IF(AC980&lt;1,X$14*((1-ropt)-Y$14*(1-ropt^2)+Z$14*(1-ropt^3)),0)</f>
        <v>1381.48061299304</v>
      </c>
    </row>
    <row r="981" customFormat="false" ht="12.75" hidden="false" customHeight="false" outlineLevel="0" collapsed="false">
      <c r="X981" s="102" t="n">
        <v>38</v>
      </c>
      <c r="Y981" s="124" t="n">
        <f aca="false">Y980+Y$16</f>
        <v>0.00383803069591517</v>
      </c>
      <c r="Z981" s="115" t="n">
        <f aca="false">(K-(L0-Y981*Ldif-alph*Y981^0.5))/R0</f>
        <v>0.991345140427918</v>
      </c>
      <c r="AA981" s="113" t="n">
        <f aca="false">IF(Z981&lt;1,X$14*((1-r_1)-Y$14*(1-r_1^2)+Z$14*(1-r_1^3)),0)</f>
        <v>1310.86539871872</v>
      </c>
      <c r="AB981" s="97" t="n">
        <f aca="false">AB980+AB$15</f>
        <v>0.00383803069591517</v>
      </c>
      <c r="AC981" s="115" t="n">
        <f aca="false">(Kopt-(L0-AB981*Ldif-alph*AB981^0.5))/R0</f>
        <v>0.991345140427918</v>
      </c>
      <c r="AD981" s="113" t="n">
        <f aca="false">IF(AC981&lt;1,X$14*((1-ropt)-Y$14*(1-ropt^2)+Z$14*(1-ropt^3)),0)</f>
        <v>1310.86539871872</v>
      </c>
    </row>
    <row r="982" customFormat="false" ht="12.75" hidden="false" customHeight="false" outlineLevel="0" collapsed="false">
      <c r="X982" s="102" t="n">
        <v>37</v>
      </c>
      <c r="Y982" s="124" t="n">
        <f aca="false">Y981+Y$16</f>
        <v>0.00384202033281321</v>
      </c>
      <c r="Z982" s="115" t="n">
        <f aca="false">(K-(L0-Y982*Ldif-alph*Y982^0.5))/R0</f>
        <v>0.991575078270959</v>
      </c>
      <c r="AA982" s="113" t="n">
        <f aca="false">IF(Z982&lt;1,X$14*((1-r_1)-Y$14*(1-r_1^2)+Z$14*(1-r_1^3)),0)</f>
        <v>1242.1378574573</v>
      </c>
      <c r="AB982" s="97" t="n">
        <f aca="false">AB981+AB$15</f>
        <v>0.00384202033281321</v>
      </c>
      <c r="AC982" s="115" t="n">
        <f aca="false">(Kopt-(L0-AB982*Ldif-alph*AB982^0.5))/R0</f>
        <v>0.991575078270959</v>
      </c>
      <c r="AD982" s="113" t="n">
        <f aca="false">IF(AC982&lt;1,X$14*((1-ropt)-Y$14*(1-ropt^2)+Z$14*(1-ropt^3)),0)</f>
        <v>1242.1378574573</v>
      </c>
    </row>
    <row r="983" customFormat="false" ht="12.75" hidden="false" customHeight="false" outlineLevel="0" collapsed="false">
      <c r="X983" s="102" t="n">
        <v>36</v>
      </c>
      <c r="Y983" s="124" t="n">
        <f aca="false">Y982+Y$16</f>
        <v>0.00384600996971125</v>
      </c>
      <c r="Z983" s="115" t="n">
        <f aca="false">(K-(L0-Y983*Ldif-alph*Y983^0.5))/R0</f>
        <v>0.991804896759341</v>
      </c>
      <c r="AA983" s="113" t="n">
        <f aca="false">IF(Z983&lt;1,X$14*((1-r_1)-Y$14*(1-r_1^2)+Z$14*(1-r_1^3)),0)</f>
        <v>1175.29504968766</v>
      </c>
      <c r="AB983" s="97" t="n">
        <f aca="false">AB982+AB$15</f>
        <v>0.00384600996971125</v>
      </c>
      <c r="AC983" s="115" t="n">
        <f aca="false">(Kopt-(L0-AB983*Ldif-alph*AB983^0.5))/R0</f>
        <v>0.991804896759341</v>
      </c>
      <c r="AD983" s="113" t="n">
        <f aca="false">IF(AC983&lt;1,X$14*((1-ropt)-Y$14*(1-ropt^2)+Z$14*(1-ropt^3)),0)</f>
        <v>1175.29504968766</v>
      </c>
    </row>
    <row r="984" customFormat="false" ht="12.75" hidden="false" customHeight="false" outlineLevel="0" collapsed="false">
      <c r="X984" s="102" t="n">
        <v>35</v>
      </c>
      <c r="Y984" s="124" t="n">
        <f aca="false">Y983+Y$16</f>
        <v>0.0038499996066093</v>
      </c>
      <c r="Z984" s="115" t="n">
        <f aca="false">(K-(L0-Y984*Ldif-alph*Y984^0.5))/R0</f>
        <v>0.992034596078736</v>
      </c>
      <c r="AA984" s="113" t="n">
        <f aca="false">IF(Z984&lt;1,X$14*((1-r_1)-Y$14*(1-r_1^2)+Z$14*(1-r_1^3)),0)</f>
        <v>1110.3340435048</v>
      </c>
      <c r="AB984" s="97" t="n">
        <f aca="false">AB983+AB$15</f>
        <v>0.0038499996066093</v>
      </c>
      <c r="AC984" s="115" t="n">
        <f aca="false">(Kopt-(L0-AB984*Ldif-alph*AB984^0.5))/R0</f>
        <v>0.992034596078736</v>
      </c>
      <c r="AD984" s="113" t="n">
        <f aca="false">IF(AC984&lt;1,X$14*((1-ropt)-Y$14*(1-ropt^2)+Z$14*(1-ropt^3)),0)</f>
        <v>1110.3340435048</v>
      </c>
    </row>
    <row r="985" customFormat="false" ht="12.75" hidden="false" customHeight="false" outlineLevel="0" collapsed="false">
      <c r="X985" s="102" t="n">
        <v>34</v>
      </c>
      <c r="Y985" s="124" t="n">
        <f aca="false">Y984+Y$16</f>
        <v>0.00385398924350734</v>
      </c>
      <c r="Z985" s="115" t="n">
        <f aca="false">(K-(L0-Y985*Ldif-alph*Y985^0.5))/R0</f>
        <v>0.992264176414327</v>
      </c>
      <c r="AA985" s="113" t="n">
        <f aca="false">IF(Z985&lt;1,X$14*((1-r_1)-Y$14*(1-r_1^2)+Z$14*(1-r_1^3)),0)</f>
        <v>1047.25191460042</v>
      </c>
      <c r="AB985" s="97" t="n">
        <f aca="false">AB984+AB$15</f>
        <v>0.00385398924350734</v>
      </c>
      <c r="AC985" s="115" t="n">
        <f aca="false">(Kopt-(L0-AB985*Ldif-alph*AB985^0.5))/R0</f>
        <v>0.992264176414327</v>
      </c>
      <c r="AD985" s="113" t="n">
        <f aca="false">IF(AC985&lt;1,X$14*((1-ropt)-Y$14*(1-ropt^2)+Z$14*(1-ropt^3)),0)</f>
        <v>1047.25191460042</v>
      </c>
    </row>
    <row r="986" customFormat="false" ht="12.75" hidden="false" customHeight="false" outlineLevel="0" collapsed="false">
      <c r="X986" s="102" t="n">
        <v>33</v>
      </c>
      <c r="Y986" s="124" t="n">
        <f aca="false">Y985+Y$16</f>
        <v>0.00385797888040538</v>
      </c>
      <c r="Z986" s="115" t="n">
        <f aca="false">(K-(L0-Y986*Ldif-alph*Y986^0.5))/R0</f>
        <v>0.992493637950833</v>
      </c>
      <c r="AA986" s="113" t="n">
        <f aca="false">IF(Z986&lt;1,X$14*((1-r_1)-Y$14*(1-r_1^2)+Z$14*(1-r_1^3)),0)</f>
        <v>986.045746229902</v>
      </c>
      <c r="AB986" s="97" t="n">
        <f aca="false">AB985+AB$15</f>
        <v>0.00385797888040538</v>
      </c>
      <c r="AC986" s="115" t="n">
        <f aca="false">(Kopt-(L0-AB986*Ldif-alph*AB986^0.5))/R0</f>
        <v>0.992493637950833</v>
      </c>
      <c r="AD986" s="113" t="n">
        <f aca="false">IF(AC986&lt;1,X$14*((1-ropt)-Y$14*(1-ropt^2)+Z$14*(1-ropt^3)),0)</f>
        <v>986.045746229902</v>
      </c>
    </row>
    <row r="987" customFormat="false" ht="12.75" hidden="false" customHeight="false" outlineLevel="0" collapsed="false">
      <c r="X987" s="102" t="n">
        <v>32</v>
      </c>
      <c r="Y987" s="124" t="n">
        <f aca="false">Y986+Y$16</f>
        <v>0.00386196851730342</v>
      </c>
      <c r="Z987" s="115" t="n">
        <f aca="false">(K-(L0-Y987*Ldif-alph*Y987^0.5))/R0</f>
        <v>0.992722980872476</v>
      </c>
      <c r="AA987" s="113" t="n">
        <f aca="false">IF(Z987&lt;1,X$14*((1-r_1)-Y$14*(1-r_1^2)+Z$14*(1-r_1^3)),0)</f>
        <v>926.712629190918</v>
      </c>
      <c r="AB987" s="97" t="n">
        <f aca="false">AB986+AB$15</f>
        <v>0.00386196851730342</v>
      </c>
      <c r="AC987" s="115" t="n">
        <f aca="false">(Kopt-(L0-AB987*Ldif-alph*AB987^0.5))/R0</f>
        <v>0.992722980872476</v>
      </c>
      <c r="AD987" s="113" t="n">
        <f aca="false">IF(AC987&lt;1,X$14*((1-ropt)-Y$14*(1-ropt^2)+Z$14*(1-ropt^3)),0)</f>
        <v>926.712629190918</v>
      </c>
    </row>
    <row r="988" customFormat="false" ht="12.75" hidden="false" customHeight="false" outlineLevel="0" collapsed="false">
      <c r="X988" s="102" t="n">
        <v>31</v>
      </c>
      <c r="Y988" s="124" t="n">
        <f aca="false">Y987+Y$16</f>
        <v>0.00386595815420146</v>
      </c>
      <c r="Z988" s="115" t="n">
        <f aca="false">(K-(L0-Y988*Ldif-alph*Y988^0.5))/R0</f>
        <v>0.992952205363023</v>
      </c>
      <c r="AA988" s="113" t="n">
        <f aca="false">IF(Z988&lt;1,X$14*((1-r_1)-Y$14*(1-r_1^2)+Z$14*(1-r_1^3)),0)</f>
        <v>869.249661788474</v>
      </c>
      <c r="AB988" s="97" t="n">
        <f aca="false">AB987+AB$15</f>
        <v>0.00386595815420146</v>
      </c>
      <c r="AC988" s="115" t="n">
        <f aca="false">(Kopt-(L0-AB988*Ldif-alph*AB988^0.5))/R0</f>
        <v>0.992952205363023</v>
      </c>
      <c r="AD988" s="113" t="n">
        <f aca="false">IF(AC988&lt;1,X$14*((1-ropt)-Y$14*(1-ropt^2)+Z$14*(1-ropt^3)),0)</f>
        <v>869.249661788474</v>
      </c>
    </row>
    <row r="989" customFormat="false" ht="12.75" hidden="false" customHeight="false" outlineLevel="0" collapsed="false">
      <c r="X989" s="102" t="n">
        <v>30</v>
      </c>
      <c r="Y989" s="124" t="n">
        <f aca="false">Y988+Y$16</f>
        <v>0.0038699477910995</v>
      </c>
      <c r="Z989" s="115" t="n">
        <f aca="false">(K-(L0-Y989*Ldif-alph*Y989^0.5))/R0</f>
        <v>0.993181311605745</v>
      </c>
      <c r="AA989" s="113" t="n">
        <f aca="false">IF(Z989&lt;1,X$14*((1-r_1)-Y$14*(1-r_1^2)+Z$14*(1-r_1^3)),0)</f>
        <v>813.653949813531</v>
      </c>
      <c r="AB989" s="97" t="n">
        <f aca="false">AB988+AB$15</f>
        <v>0.0038699477910995</v>
      </c>
      <c r="AC989" s="115" t="n">
        <f aca="false">(Kopt-(L0-AB989*Ldif-alph*AB989^0.5))/R0</f>
        <v>0.993181311605745</v>
      </c>
      <c r="AD989" s="113" t="n">
        <f aca="false">IF(AC989&lt;1,X$14*((1-ropt)-Y$14*(1-ropt^2)+Z$14*(1-ropt^3)),0)</f>
        <v>813.653949813531</v>
      </c>
    </row>
    <row r="990" customFormat="false" ht="12.75" hidden="false" customHeight="false" outlineLevel="0" collapsed="false">
      <c r="X990" s="102" t="n">
        <v>29</v>
      </c>
      <c r="Y990" s="124" t="n">
        <f aca="false">Y989+Y$16</f>
        <v>0.00387393742799754</v>
      </c>
      <c r="Z990" s="115" t="n">
        <f aca="false">(K-(L0-Y990*Ldif-alph*Y990^0.5))/R0</f>
        <v>0.993410299783464</v>
      </c>
      <c r="AA990" s="113" t="n">
        <f aca="false">IF(Z990&lt;1,X$14*((1-r_1)-Y$14*(1-r_1^2)+Z$14*(1-r_1^3)),0)</f>
        <v>759.922606515806</v>
      </c>
      <c r="AB990" s="97" t="n">
        <f aca="false">AB989+AB$15</f>
        <v>0.00387393742799754</v>
      </c>
      <c r="AC990" s="115" t="n">
        <f aca="false">(Kopt-(L0-AB990*Ldif-alph*AB990^0.5))/R0</f>
        <v>0.993410299783464</v>
      </c>
      <c r="AD990" s="113" t="n">
        <f aca="false">IF(AC990&lt;1,X$14*((1-ropt)-Y$14*(1-ropt^2)+Z$14*(1-ropt^3)),0)</f>
        <v>759.922606515806</v>
      </c>
    </row>
    <row r="991" customFormat="false" ht="12.75" hidden="false" customHeight="false" outlineLevel="0" collapsed="false">
      <c r="X991" s="102" t="n">
        <v>28</v>
      </c>
      <c r="Y991" s="124" t="n">
        <f aca="false">Y990+Y$16</f>
        <v>0.00387792706489558</v>
      </c>
      <c r="Z991" s="115" t="n">
        <f aca="false">(K-(L0-Y991*Ldif-alph*Y991^0.5))/R0</f>
        <v>0.993639170078513</v>
      </c>
      <c r="AA991" s="113" t="n">
        <f aca="false">IF(Z991&lt;1,X$14*((1-r_1)-Y$14*(1-r_1^2)+Z$14*(1-r_1^3)),0)</f>
        <v>708.052752576571</v>
      </c>
      <c r="AB991" s="97" t="n">
        <f aca="false">AB990+AB$15</f>
        <v>0.00387792706489558</v>
      </c>
      <c r="AC991" s="115" t="n">
        <f aca="false">(Kopt-(L0-AB991*Ldif-alph*AB991^0.5))/R0</f>
        <v>0.993639170078513</v>
      </c>
      <c r="AD991" s="113" t="n">
        <f aca="false">IF(AC991&lt;1,X$14*((1-ropt)-Y$14*(1-ropt^2)+Z$14*(1-ropt^3)),0)</f>
        <v>708.052752576571</v>
      </c>
    </row>
    <row r="992" customFormat="false" ht="12.75" hidden="false" customHeight="false" outlineLevel="0" collapsed="false">
      <c r="X992" s="102" t="n">
        <v>27</v>
      </c>
      <c r="Y992" s="124" t="n">
        <f aca="false">Y991+Y$16</f>
        <v>0.00388191670179362</v>
      </c>
      <c r="Z992" s="115" t="n">
        <f aca="false">(K-(L0-Y992*Ldif-alph*Y992^0.5))/R0</f>
        <v>0.993867922672765</v>
      </c>
      <c r="AA992" s="113" t="n">
        <f aca="false">IF(Z992&lt;1,X$14*((1-r_1)-Y$14*(1-r_1^2)+Z$14*(1-r_1^3)),0)</f>
        <v>658.041516075625</v>
      </c>
      <c r="AB992" s="97" t="n">
        <f aca="false">AB991+AB$15</f>
        <v>0.00388191670179362</v>
      </c>
      <c r="AC992" s="115" t="n">
        <f aca="false">(Kopt-(L0-AB992*Ldif-alph*AB992^0.5))/R0</f>
        <v>0.993867922672765</v>
      </c>
      <c r="AD992" s="113" t="n">
        <f aca="false">IF(AC992&lt;1,X$14*((1-ropt)-Y$14*(1-ropt^2)+Z$14*(1-ropt^3)),0)</f>
        <v>658.041516075625</v>
      </c>
    </row>
    <row r="993" customFormat="false" ht="12.75" hidden="false" customHeight="false" outlineLevel="0" collapsed="false">
      <c r="X993" s="102" t="n">
        <v>26</v>
      </c>
      <c r="Y993" s="124" t="n">
        <f aca="false">Y992+Y$16</f>
        <v>0.00388590633869166</v>
      </c>
      <c r="Z993" s="115" t="n">
        <f aca="false">(K-(L0-Y993*Ldif-alph*Y993^0.5))/R0</f>
        <v>0.994096557747622</v>
      </c>
      <c r="AA993" s="113" t="n">
        <f aca="false">IF(Z993&lt;1,X$14*((1-r_1)-Y$14*(1-r_1^2)+Z$14*(1-r_1^3)),0)</f>
        <v>609.886032475748</v>
      </c>
      <c r="AB993" s="97" t="n">
        <f aca="false">AB992+AB$15</f>
        <v>0.00388590633869166</v>
      </c>
      <c r="AC993" s="115" t="n">
        <f aca="false">(Kopt-(L0-AB993*Ldif-alph*AB993^0.5))/R0</f>
        <v>0.994096557747622</v>
      </c>
      <c r="AD993" s="113" t="n">
        <f aca="false">IF(AC993&lt;1,X$14*((1-ropt)-Y$14*(1-ropt^2)+Z$14*(1-ropt^3)),0)</f>
        <v>609.886032475748</v>
      </c>
    </row>
    <row r="994" customFormat="false" ht="12.75" hidden="false" customHeight="false" outlineLevel="0" collapsed="false">
      <c r="X994" s="102" t="n">
        <v>25</v>
      </c>
      <c r="Y994" s="124" t="n">
        <f aca="false">Y993+Y$16</f>
        <v>0.0038898959755897</v>
      </c>
      <c r="Z994" s="115" t="n">
        <f aca="false">(K-(L0-Y994*Ldif-alph*Y994^0.5))/R0</f>
        <v>0.994325075484026</v>
      </c>
      <c r="AA994" s="113" t="n">
        <f aca="false">IF(Z994&lt;1,X$14*((1-r_1)-Y$14*(1-r_1^2)+Z$14*(1-r_1^3)),0)</f>
        <v>563.583444585791</v>
      </c>
      <c r="AB994" s="97" t="n">
        <f aca="false">AB993+AB$15</f>
        <v>0.0038898959755897</v>
      </c>
      <c r="AC994" s="115" t="n">
        <f aca="false">(Kopt-(L0-AB994*Ldif-alph*AB994^0.5))/R0</f>
        <v>0.994325075484026</v>
      </c>
      <c r="AD994" s="113" t="n">
        <f aca="false">IF(AC994&lt;1,X$14*((1-ropt)-Y$14*(1-ropt^2)+Z$14*(1-ropt^3)),0)</f>
        <v>563.583444585791</v>
      </c>
    </row>
    <row r="995" customFormat="false" ht="12.75" hidden="false" customHeight="false" outlineLevel="0" collapsed="false">
      <c r="X995" s="102" t="n">
        <v>24</v>
      </c>
      <c r="Y995" s="124" t="n">
        <f aca="false">Y994+Y$16</f>
        <v>0.00389388561248774</v>
      </c>
      <c r="Z995" s="115" t="n">
        <f aca="false">(K-(L0-Y995*Ldif-alph*Y995^0.5))/R0</f>
        <v>0.994553476062449</v>
      </c>
      <c r="AA995" s="113" t="n">
        <f aca="false">IF(Z995&lt;1,X$14*((1-r_1)-Y$14*(1-r_1^2)+Z$14*(1-r_1^3)),0)</f>
        <v>519.130902541243</v>
      </c>
      <c r="AB995" s="97" t="n">
        <f aca="false">AB994+AB$15</f>
        <v>0.00389388561248774</v>
      </c>
      <c r="AC995" s="115" t="n">
        <f aca="false">(Kopt-(L0-AB995*Ldif-alph*AB995^0.5))/R0</f>
        <v>0.994553476062449</v>
      </c>
      <c r="AD995" s="113" t="n">
        <f aca="false">IF(AC995&lt;1,X$14*((1-ropt)-Y$14*(1-ropt^2)+Z$14*(1-ropt^3)),0)</f>
        <v>519.130902541243</v>
      </c>
    </row>
    <row r="996" customFormat="false" ht="12.75" hidden="false" customHeight="false" outlineLevel="0" collapsed="false">
      <c r="X996" s="102" t="n">
        <v>23</v>
      </c>
      <c r="Y996" s="124" t="n">
        <f aca="false">Y995+Y$16</f>
        <v>0.00389787524938578</v>
      </c>
      <c r="Z996" s="115" t="n">
        <f aca="false">(K-(L0-Y996*Ldif-alph*Y996^0.5))/R0</f>
        <v>0.994781759662901</v>
      </c>
      <c r="AA996" s="113" t="n">
        <f aca="false">IF(Z996&lt;1,X$14*((1-r_1)-Y$14*(1-r_1^2)+Z$14*(1-r_1^3)),0)</f>
        <v>476.525563775088</v>
      </c>
      <c r="AB996" s="97" t="n">
        <f aca="false">AB995+AB$15</f>
        <v>0.00389787524938578</v>
      </c>
      <c r="AC996" s="115" t="n">
        <f aca="false">(Kopt-(L0-AB996*Ldif-alph*AB996^0.5))/R0</f>
        <v>0.994781759662901</v>
      </c>
      <c r="AD996" s="113" t="n">
        <f aca="false">IF(AC996&lt;1,X$14*((1-ropt)-Y$14*(1-ropt^2)+Z$14*(1-ropt^3)),0)</f>
        <v>476.525563775088</v>
      </c>
    </row>
    <row r="997" customFormat="false" ht="12.75" hidden="false" customHeight="false" outlineLevel="0" collapsed="false">
      <c r="X997" s="102" t="n">
        <v>22</v>
      </c>
      <c r="Y997" s="124" t="n">
        <f aca="false">Y996+Y$16</f>
        <v>0.00390186488628382</v>
      </c>
      <c r="Z997" s="115" t="n">
        <f aca="false">(K-(L0-Y997*Ldif-alph*Y997^0.5))/R0</f>
        <v>0.995009926464939</v>
      </c>
      <c r="AA997" s="113" t="n">
        <f aca="false">IF(Z997&lt;1,X$14*((1-r_1)-Y$14*(1-r_1^2)+Z$14*(1-r_1^3)),0)</f>
        <v>435.764592992549</v>
      </c>
      <c r="AB997" s="97" t="n">
        <f aca="false">AB996+AB$15</f>
        <v>0.00390186488628382</v>
      </c>
      <c r="AC997" s="115" t="n">
        <f aca="false">(Kopt-(L0-AB997*Ldif-alph*AB997^0.5))/R0</f>
        <v>0.995009926464939</v>
      </c>
      <c r="AD997" s="113" t="n">
        <f aca="false">IF(AC997&lt;1,X$14*((1-ropt)-Y$14*(1-ropt^2)+Z$14*(1-ropt^3)),0)</f>
        <v>435.764592992549</v>
      </c>
    </row>
    <row r="998" customFormat="false" ht="12.75" hidden="false" customHeight="false" outlineLevel="0" collapsed="false">
      <c r="X998" s="102" t="n">
        <v>21</v>
      </c>
      <c r="Y998" s="124" t="n">
        <f aca="false">Y997+Y$16</f>
        <v>0.00390585452318186</v>
      </c>
      <c r="Z998" s="115" t="n">
        <f aca="false">(K-(L0-Y998*Ldif-alph*Y998^0.5))/R0</f>
        <v>0.995237976647651</v>
      </c>
      <c r="AA998" s="113" t="n">
        <f aca="false">IF(Z998&lt;1,X$14*((1-r_1)-Y$14*(1-r_1^2)+Z$14*(1-r_1^3)),0)</f>
        <v>396.845162145831</v>
      </c>
      <c r="AB998" s="97" t="n">
        <f aca="false">AB997+AB$15</f>
        <v>0.00390585452318186</v>
      </c>
      <c r="AC998" s="115" t="n">
        <f aca="false">(Kopt-(L0-AB998*Ldif-alph*AB998^0.5))/R0</f>
        <v>0.995237976647651</v>
      </c>
      <c r="AD998" s="113" t="n">
        <f aca="false">IF(AC998&lt;1,X$14*((1-ropt)-Y$14*(1-ropt^2)+Z$14*(1-ropt^3)),0)</f>
        <v>396.845162145831</v>
      </c>
    </row>
    <row r="999" customFormat="false" ht="12.75" hidden="false" customHeight="false" outlineLevel="0" collapsed="false">
      <c r="X999" s="102" t="n">
        <v>20</v>
      </c>
      <c r="Y999" s="124" t="n">
        <f aca="false">Y998+Y$16</f>
        <v>0.00390984416007991</v>
      </c>
      <c r="Z999" s="115" t="n">
        <f aca="false">(K-(L0-Y999*Ldif-alph*Y999^0.5))/R0</f>
        <v>0.995465910389676</v>
      </c>
      <c r="AA999" s="113" t="n">
        <f aca="false">IF(Z999&lt;1,X$14*((1-r_1)-Y$14*(1-r_1^2)+Z$14*(1-r_1^3)),0)</f>
        <v>359.764450403033</v>
      </c>
      <c r="AB999" s="97" t="n">
        <f aca="false">AB998+AB$15</f>
        <v>0.00390984416007991</v>
      </c>
      <c r="AC999" s="115" t="n">
        <f aca="false">(Kopt-(L0-AB999*Ldif-alph*AB999^0.5))/R0</f>
        <v>0.995465910389676</v>
      </c>
      <c r="AD999" s="113" t="n">
        <f aca="false">IF(AC999&lt;1,X$14*((1-ropt)-Y$14*(1-ropt^2)+Z$14*(1-ropt^3)),0)</f>
        <v>359.764450403033</v>
      </c>
    </row>
    <row r="1000" customFormat="false" ht="12.75" hidden="false" customHeight="false" outlineLevel="0" collapsed="false">
      <c r="X1000" s="102" t="n">
        <v>19</v>
      </c>
      <c r="Y1000" s="124" t="n">
        <f aca="false">Y999+Y$16</f>
        <v>0.00391383379697795</v>
      </c>
      <c r="Z1000" s="115" t="n">
        <f aca="false">(K-(L0-Y1000*Ldif-alph*Y1000^0.5))/R0</f>
        <v>0.995693727869193</v>
      </c>
      <c r="AA1000" s="113" t="n">
        <f aca="false">IF(Z1000&lt;1,X$14*((1-r_1)-Y$14*(1-r_1^2)+Z$14*(1-r_1^3)),0)</f>
        <v>324.519644130661</v>
      </c>
      <c r="AB1000" s="97" t="n">
        <f aca="false">AB999+AB$15</f>
        <v>0.00391383379697795</v>
      </c>
      <c r="AC1000" s="115" t="n">
        <f aca="false">(Kopt-(L0-AB1000*Ldif-alph*AB1000^0.5))/R0</f>
        <v>0.995693727869193</v>
      </c>
      <c r="AD1000" s="113" t="n">
        <f aca="false">IF(AC1000&lt;1,X$14*((1-ropt)-Y$14*(1-ropt^2)+Z$14*(1-ropt^3)),0)</f>
        <v>324.519644130661</v>
      </c>
    </row>
    <row r="1001" customFormat="false" ht="12.75" hidden="false" customHeight="false" outlineLevel="0" collapsed="false">
      <c r="X1001" s="102" t="n">
        <v>18</v>
      </c>
      <c r="Y1001" s="124" t="n">
        <f aca="false">Y1000+Y$16</f>
        <v>0.00391782343387599</v>
      </c>
      <c r="Z1001" s="115" t="n">
        <f aca="false">(K-(L0-Y1001*Ldif-alph*Y1001^0.5))/R0</f>
        <v>0.995921429263929</v>
      </c>
      <c r="AA1001" s="113" t="n">
        <f aca="false">IF(Z1001&lt;1,X$14*((1-r_1)-Y$14*(1-r_1^2)+Z$14*(1-r_1^3)),0)</f>
        <v>291.107936860602</v>
      </c>
      <c r="AB1001" s="97" t="n">
        <f aca="false">AB1000+AB$15</f>
        <v>0.00391782343387599</v>
      </c>
      <c r="AC1001" s="115" t="n">
        <f aca="false">(Kopt-(L0-AB1001*Ldif-alph*AB1001^0.5))/R0</f>
        <v>0.995921429263929</v>
      </c>
      <c r="AD1001" s="113" t="n">
        <f aca="false">IF(AC1001&lt;1,X$14*((1-ropt)-Y$14*(1-ropt^2)+Z$14*(1-ropt^3)),0)</f>
        <v>291.107936860602</v>
      </c>
    </row>
    <row r="1002" customFormat="false" ht="12.75" hidden="false" customHeight="false" outlineLevel="0" collapsed="false">
      <c r="X1002" s="102" t="n">
        <v>17</v>
      </c>
      <c r="Y1002" s="124" t="n">
        <f aca="false">Y1001+Y$16</f>
        <v>0.00392181307077403</v>
      </c>
      <c r="Z1002" s="115" t="n">
        <f aca="false">(K-(L0-Y1002*Ldif-alph*Y1002^0.5))/R0</f>
        <v>0.996149014751157</v>
      </c>
      <c r="AA1002" s="113" t="n">
        <f aca="false">IF(Z1002&lt;1,X$14*((1-r_1)-Y$14*(1-r_1^2)+Z$14*(1-r_1^3)),0)</f>
        <v>259.52652926875</v>
      </c>
      <c r="AB1002" s="97" t="n">
        <f aca="false">AB1001+AB$15</f>
        <v>0.00392181307077403</v>
      </c>
      <c r="AC1002" s="115" t="n">
        <f aca="false">(Kopt-(L0-AB1002*Ldif-alph*AB1002^0.5))/R0</f>
        <v>0.996149014751157</v>
      </c>
      <c r="AD1002" s="113" t="n">
        <f aca="false">IF(AC1002&lt;1,X$14*((1-ropt)-Y$14*(1-ropt^2)+Z$14*(1-ropt^3)),0)</f>
        <v>259.52652926875</v>
      </c>
    </row>
    <row r="1003" customFormat="false" ht="12.75" hidden="false" customHeight="false" outlineLevel="0" collapsed="false">
      <c r="X1003" s="102" t="n">
        <v>16</v>
      </c>
      <c r="Y1003" s="124" t="n">
        <f aca="false">Y1002+Y$16</f>
        <v>0.00392580270767207</v>
      </c>
      <c r="Z1003" s="115" t="n">
        <f aca="false">(K-(L0-Y1003*Ldif-alph*Y1003^0.5))/R0</f>
        <v>0.996376484507699</v>
      </c>
      <c r="AA1003" s="113" t="n">
        <f aca="false">IF(Z1003&lt;1,X$14*((1-r_1)-Y$14*(1-r_1^2)+Z$14*(1-r_1^3)),0)</f>
        <v>229.772629151692</v>
      </c>
      <c r="AB1003" s="97" t="n">
        <f aca="false">AB1002+AB$15</f>
        <v>0.00392580270767207</v>
      </c>
      <c r="AC1003" s="115" t="n">
        <f aca="false">(Kopt-(L0-AB1003*Ldif-alph*AB1003^0.5))/R0</f>
        <v>0.996376484507699</v>
      </c>
      <c r="AD1003" s="113" t="n">
        <f aca="false">IF(AC1003&lt;1,X$14*((1-ropt)-Y$14*(1-ropt^2)+Z$14*(1-ropt^3)),0)</f>
        <v>229.772629151692</v>
      </c>
    </row>
    <row r="1004" customFormat="false" ht="12.75" hidden="false" customHeight="false" outlineLevel="0" collapsed="false">
      <c r="X1004" s="102" t="n">
        <v>15</v>
      </c>
      <c r="Y1004" s="124" t="n">
        <f aca="false">Y1003+Y$16</f>
        <v>0.00392979234457011</v>
      </c>
      <c r="Z1004" s="115" t="n">
        <f aca="false">(K-(L0-Y1004*Ldif-alph*Y1004^0.5))/R0</f>
        <v>0.996603838709931</v>
      </c>
      <c r="AA1004" s="113" t="n">
        <f aca="false">IF(Z1004&lt;1,X$14*((1-r_1)-Y$14*(1-r_1^2)+Z$14*(1-r_1^3)),0)</f>
        <v>201.84345139368</v>
      </c>
      <c r="AB1004" s="97" t="n">
        <f aca="false">AB1003+AB$15</f>
        <v>0.00392979234457011</v>
      </c>
      <c r="AC1004" s="115" t="n">
        <f aca="false">(Kopt-(L0-AB1004*Ldif-alph*AB1004^0.5))/R0</f>
        <v>0.996603838709931</v>
      </c>
      <c r="AD1004" s="113" t="n">
        <f aca="false">IF(AC1004&lt;1,X$14*((1-ropt)-Y$14*(1-ropt^2)+Z$14*(1-ropt^3)),0)</f>
        <v>201.84345139368</v>
      </c>
    </row>
    <row r="1005" customFormat="false" ht="12.75" hidden="false" customHeight="false" outlineLevel="0" collapsed="false">
      <c r="X1005" s="102" t="n">
        <v>14</v>
      </c>
      <c r="Y1005" s="124" t="n">
        <f aca="false">Y1004+Y$16</f>
        <v>0.00393378198146815</v>
      </c>
      <c r="Z1005" s="115" t="n">
        <f aca="false">(K-(L0-Y1005*Ldif-alph*Y1005^0.5))/R0</f>
        <v>0.99683107753378</v>
      </c>
      <c r="AA1005" s="113" t="n">
        <f aca="false">IF(Z1005&lt;1,X$14*((1-r_1)-Y$14*(1-r_1^2)+Z$14*(1-r_1^3)),0)</f>
        <v>175.736217945255</v>
      </c>
      <c r="AB1005" s="97" t="n">
        <f aca="false">AB1004+AB$15</f>
        <v>0.00393378198146815</v>
      </c>
      <c r="AC1005" s="115" t="n">
        <f aca="false">(Kopt-(L0-AB1005*Ldif-alph*AB1005^0.5))/R0</f>
        <v>0.99683107753378</v>
      </c>
      <c r="AD1005" s="113" t="n">
        <f aca="false">IF(AC1005&lt;1,X$14*((1-ropt)-Y$14*(1-ropt^2)+Z$14*(1-ropt^3)),0)</f>
        <v>175.736217945255</v>
      </c>
    </row>
    <row r="1006" customFormat="false" ht="12.75" hidden="false" customHeight="false" outlineLevel="0" collapsed="false">
      <c r="X1006" s="102" t="n">
        <v>13</v>
      </c>
      <c r="Y1006" s="124" t="n">
        <f aca="false">Y1005+Y$16</f>
        <v>0.00393777161836619</v>
      </c>
      <c r="Z1006" s="115" t="n">
        <f aca="false">(K-(L0-Y1006*Ldif-alph*Y1006^0.5))/R0</f>
        <v>0.997058201154723</v>
      </c>
      <c r="AA1006" s="113" t="n">
        <f aca="false">IF(Z1006&lt;1,X$14*((1-r_1)-Y$14*(1-r_1^2)+Z$14*(1-r_1^3)),0)</f>
        <v>151.448157805767</v>
      </c>
      <c r="AB1006" s="97" t="n">
        <f aca="false">AB1005+AB$15</f>
        <v>0.00393777161836619</v>
      </c>
      <c r="AC1006" s="115" t="n">
        <f aca="false">(Kopt-(L0-AB1006*Ldif-alph*AB1006^0.5))/R0</f>
        <v>0.997058201154723</v>
      </c>
      <c r="AD1006" s="113" t="n">
        <f aca="false">IF(AC1006&lt;1,X$14*((1-ropt)-Y$14*(1-ropt^2)+Z$14*(1-ropt^3)),0)</f>
        <v>151.448157805767</v>
      </c>
    </row>
    <row r="1007" customFormat="false" ht="12.75" hidden="false" customHeight="false" outlineLevel="0" collapsed="false">
      <c r="X1007" s="102" t="n">
        <v>12</v>
      </c>
      <c r="Y1007" s="124" t="n">
        <f aca="false">Y1006+Y$16</f>
        <v>0.00394176125526423</v>
      </c>
      <c r="Z1007" s="115" t="n">
        <f aca="false">(K-(L0-Y1007*Ldif-alph*Y1007^0.5))/R0</f>
        <v>0.9972852097478</v>
      </c>
      <c r="AA1007" s="113" t="n">
        <f aca="false">IF(Z1007&lt;1,X$14*((1-r_1)-Y$14*(1-r_1^2)+Z$14*(1-r_1^3)),0)</f>
        <v>128.976506984513</v>
      </c>
      <c r="AB1007" s="97" t="n">
        <f aca="false">AB1006+AB$15</f>
        <v>0.00394176125526423</v>
      </c>
      <c r="AC1007" s="115" t="n">
        <f aca="false">(Kopt-(L0-AB1007*Ldif-alph*AB1007^0.5))/R0</f>
        <v>0.9972852097478</v>
      </c>
      <c r="AD1007" s="113" t="n">
        <f aca="false">IF(AC1007&lt;1,X$14*((1-ropt)-Y$14*(1-ropt^2)+Z$14*(1-ropt^3)),0)</f>
        <v>128.976506984513</v>
      </c>
    </row>
    <row r="1008" customFormat="false" ht="12.75" hidden="false" customHeight="false" outlineLevel="0" collapsed="false">
      <c r="X1008" s="102" t="n">
        <v>11</v>
      </c>
      <c r="Y1008" s="124" t="n">
        <f aca="false">Y1007+Y$16</f>
        <v>0.00394575089216227</v>
      </c>
      <c r="Z1008" s="115" t="n">
        <f aca="false">(K-(L0-Y1008*Ldif-alph*Y1008^0.5))/R0</f>
        <v>0.9975121034876</v>
      </c>
      <c r="AA1008" s="113" t="n">
        <f aca="false">IF(Z1008&lt;1,X$14*((1-r_1)-Y$14*(1-r_1^2)+Z$14*(1-r_1^3)),0)</f>
        <v>108.318508487137</v>
      </c>
      <c r="AB1008" s="97" t="n">
        <f aca="false">AB1007+AB$15</f>
        <v>0.00394575089216227</v>
      </c>
      <c r="AC1008" s="115" t="n">
        <f aca="false">(Kopt-(L0-AB1008*Ldif-alph*AB1008^0.5))/R0</f>
        <v>0.9975121034876</v>
      </c>
      <c r="AD1008" s="113" t="n">
        <f aca="false">IF(AC1008&lt;1,X$14*((1-ropt)-Y$14*(1-ropt^2)+Z$14*(1-ropt^3)),0)</f>
        <v>108.318508487137</v>
      </c>
    </row>
    <row r="1009" customFormat="false" ht="12.75" hidden="false" customHeight="false" outlineLevel="0" collapsed="false">
      <c r="X1009" s="102" t="n">
        <v>10</v>
      </c>
      <c r="Y1009" s="124" t="n">
        <f aca="false">Y1008+Y$16</f>
        <v>0.00394974052906031</v>
      </c>
      <c r="Z1009" s="115" t="n">
        <f aca="false">(K-(L0-Y1009*Ldif-alph*Y1009^0.5))/R0</f>
        <v>0.997738882548282</v>
      </c>
      <c r="AA1009" s="113" t="n">
        <f aca="false">IF(Z1009&lt;1,X$14*((1-r_1)-Y$14*(1-r_1^2)+Z$14*(1-r_1^3)),0)</f>
        <v>89.4714122826046</v>
      </c>
      <c r="AB1009" s="97" t="n">
        <f aca="false">AB1008+AB$15</f>
        <v>0.00394974052906031</v>
      </c>
      <c r="AC1009" s="115" t="n">
        <f aca="false">(Kopt-(L0-AB1009*Ldif-alph*AB1009^0.5))/R0</f>
        <v>0.997738882548282</v>
      </c>
      <c r="AD1009" s="113" t="n">
        <f aca="false">IF(AC1009&lt;1,X$14*((1-ropt)-Y$14*(1-ropt^2)+Z$14*(1-ropt^3)),0)</f>
        <v>89.4714122826046</v>
      </c>
    </row>
    <row r="1010" customFormat="false" ht="12.75" hidden="false" customHeight="false" outlineLevel="0" collapsed="false">
      <c r="X1010" s="102" t="n">
        <v>9</v>
      </c>
      <c r="Y1010" s="124" t="n">
        <f aca="false">Y1009+Y$16</f>
        <v>0.00395373016595835</v>
      </c>
      <c r="Z1010" s="115" t="n">
        <f aca="false">(K-(L0-Y1010*Ldif-alph*Y1010^0.5))/R0</f>
        <v>0.997965547103551</v>
      </c>
      <c r="AA1010" s="113" t="n">
        <f aca="false">IF(Z1010&lt;1,X$14*((1-r_1)-Y$14*(1-r_1^2)+Z$14*(1-r_1^3)),0)</f>
        <v>72.4324752876537</v>
      </c>
      <c r="AB1010" s="97" t="n">
        <f aca="false">AB1009+AB$15</f>
        <v>0.00395373016595835</v>
      </c>
      <c r="AC1010" s="115" t="n">
        <f aca="false">(Kopt-(L0-AB1010*Ldif-alph*AB1010^0.5))/R0</f>
        <v>0.997965547103551</v>
      </c>
      <c r="AD1010" s="113" t="n">
        <f aca="false">IF(AC1010&lt;1,X$14*((1-ropt)-Y$14*(1-ropt^2)+Z$14*(1-ropt^3)),0)</f>
        <v>72.4324752876537</v>
      </c>
    </row>
    <row r="1011" customFormat="false" ht="12.75" hidden="false" customHeight="false" outlineLevel="0" collapsed="false">
      <c r="X1011" s="102" t="n">
        <v>8</v>
      </c>
      <c r="Y1011" s="124" t="n">
        <f aca="false">Y1010+Y$16</f>
        <v>0.00395771980285639</v>
      </c>
      <c r="Z1011" s="115" t="n">
        <f aca="false">(K-(L0-Y1011*Ldif-alph*Y1011^0.5))/R0</f>
        <v>0.998192097326687</v>
      </c>
      <c r="AA1011" s="113" t="n">
        <f aca="false">IF(Z1011&lt;1,X$14*((1-r_1)-Y$14*(1-r_1^2)+Z$14*(1-r_1^3)),0)</f>
        <v>57.1989613337709</v>
      </c>
      <c r="AB1011" s="97" t="n">
        <f aca="false">AB1010+AB$15</f>
        <v>0.00395771980285639</v>
      </c>
      <c r="AC1011" s="115" t="n">
        <f aca="false">(Kopt-(L0-AB1011*Ldif-alph*AB1011^0.5))/R0</f>
        <v>0.998192097326687</v>
      </c>
      <c r="AD1011" s="113" t="n">
        <f aca="false">IF(AC1011&lt;1,X$14*((1-ropt)-Y$14*(1-ropt^2)+Z$14*(1-ropt^3)),0)</f>
        <v>57.1989613337709</v>
      </c>
    </row>
    <row r="1012" customFormat="false" ht="12.75" hidden="false" customHeight="false" outlineLevel="0" collapsed="false">
      <c r="X1012" s="102" t="n">
        <v>7</v>
      </c>
      <c r="Y1012" s="124" t="n">
        <f aca="false">Y1011+Y$16</f>
        <v>0.00396170943975443</v>
      </c>
      <c r="Z1012" s="115" t="n">
        <f aca="false">(K-(L0-Y1012*Ldif-alph*Y1012^0.5))/R0</f>
        <v>0.998418533390521</v>
      </c>
      <c r="AA1012" s="113" t="n">
        <f aca="false">IF(Z1012&lt;1,X$14*((1-r_1)-Y$14*(1-r_1^2)+Z$14*(1-r_1^3)),0)</f>
        <v>43.7681411458169</v>
      </c>
      <c r="AB1012" s="97" t="n">
        <f aca="false">AB1011+AB$15</f>
        <v>0.00396170943975443</v>
      </c>
      <c r="AC1012" s="115" t="n">
        <f aca="false">(Kopt-(L0-AB1012*Ldif-alph*AB1012^0.5))/R0</f>
        <v>0.998418533390521</v>
      </c>
      <c r="AD1012" s="113" t="n">
        <f aca="false">IF(AC1012&lt;1,X$14*((1-ropt)-Y$14*(1-ropt^2)+Z$14*(1-ropt^3)),0)</f>
        <v>43.7681411458169</v>
      </c>
    </row>
    <row r="1013" customFormat="false" ht="12.75" hidden="false" customHeight="false" outlineLevel="0" collapsed="false">
      <c r="X1013" s="102" t="n">
        <v>6</v>
      </c>
      <c r="Y1013" s="124" t="n">
        <f aca="false">Y1012+Y$16</f>
        <v>0.00396569907665247</v>
      </c>
      <c r="Z1013" s="115" t="n">
        <f aca="false">(K-(L0-Y1013*Ldif-alph*Y1013^0.5))/R0</f>
        <v>0.998644855467465</v>
      </c>
      <c r="AA1013" s="113" t="n">
        <f aca="false">IF(Z1013&lt;1,X$14*((1-r_1)-Y$14*(1-r_1^2)+Z$14*(1-r_1^3)),0)</f>
        <v>32.1372923206553</v>
      </c>
      <c r="AB1013" s="97" t="n">
        <f aca="false">AB1012+AB$15</f>
        <v>0.00396569907665247</v>
      </c>
      <c r="AC1013" s="115" t="n">
        <f aca="false">(Kopt-(L0-AB1013*Ldif-alph*AB1013^0.5))/R0</f>
        <v>0.998644855467465</v>
      </c>
      <c r="AD1013" s="113" t="n">
        <f aca="false">IF(AC1013&lt;1,X$14*((1-ropt)-Y$14*(1-ropt^2)+Z$14*(1-ropt^3)),0)</f>
        <v>32.1372923206553</v>
      </c>
    </row>
    <row r="1014" customFormat="false" ht="12.75" hidden="false" customHeight="false" outlineLevel="0" collapsed="false">
      <c r="X1014" s="102" t="n">
        <v>5</v>
      </c>
      <c r="Y1014" s="124" t="n">
        <f aca="false">Y1013+Y$16</f>
        <v>0.00396968871355051</v>
      </c>
      <c r="Z1014" s="115" t="n">
        <f aca="false">(K-(L0-Y1014*Ldif-alph*Y1014^0.5))/R0</f>
        <v>0.99887106372948</v>
      </c>
      <c r="AA1014" s="113" t="n">
        <f aca="false">IF(Z1014&lt;1,X$14*((1-r_1)-Y$14*(1-r_1^2)+Z$14*(1-r_1^3)),0)</f>
        <v>22.3036992999526</v>
      </c>
      <c r="AB1014" s="97" t="n">
        <f aca="false">AB1013+AB$15</f>
        <v>0.00396968871355051</v>
      </c>
      <c r="AC1014" s="115" t="n">
        <f aca="false">(Kopt-(L0-AB1014*Ldif-alph*AB1014^0.5))/R0</f>
        <v>0.99887106372948</v>
      </c>
      <c r="AD1014" s="113" t="n">
        <f aca="false">IF(AC1014&lt;1,X$14*((1-ropt)-Y$14*(1-ropt^2)+Z$14*(1-ropt^3)),0)</f>
        <v>22.3036992999526</v>
      </c>
    </row>
    <row r="1015" customFormat="false" ht="12.75" hidden="false" customHeight="false" outlineLevel="0" collapsed="false">
      <c r="X1015" s="102" t="n">
        <v>4</v>
      </c>
      <c r="Y1015" s="124" t="n">
        <f aca="false">Y1014+Y$16</f>
        <v>0.00397367835044856</v>
      </c>
      <c r="Z1015" s="115" t="n">
        <f aca="false">(K-(L0-Y1015*Ldif-alph*Y1015^0.5))/R0</f>
        <v>0.999097158348109</v>
      </c>
      <c r="AA1015" s="113" t="n">
        <f aca="false">IF(Z1015&lt;1,X$14*((1-r_1)-Y$14*(1-r_1^2)+Z$14*(1-r_1^3)),0)</f>
        <v>14.2646533468627</v>
      </c>
      <c r="AB1015" s="97" t="n">
        <f aca="false">AB1014+AB$15</f>
        <v>0.00397367835044856</v>
      </c>
      <c r="AC1015" s="115" t="n">
        <f aca="false">(Kopt-(L0-AB1015*Ldif-alph*AB1015^0.5))/R0</f>
        <v>0.999097158348109</v>
      </c>
      <c r="AD1015" s="113" t="n">
        <f aca="false">IF(AC1015&lt;1,X$14*((1-ropt)-Y$14*(1-ropt^2)+Z$14*(1-ropt^3)),0)</f>
        <v>14.2646533468627</v>
      </c>
    </row>
    <row r="1016" customFormat="false" ht="12.75" hidden="false" customHeight="false" outlineLevel="0" collapsed="false">
      <c r="X1016" s="102" t="n">
        <v>3</v>
      </c>
      <c r="Y1016" s="124" t="n">
        <f aca="false">Y1015+Y$16</f>
        <v>0.0039776679873466</v>
      </c>
      <c r="Z1016" s="115" t="n">
        <f aca="false">(K-(L0-Y1016*Ldif-alph*Y1016^0.5))/R0</f>
        <v>0.999323139494451</v>
      </c>
      <c r="AA1016" s="113" t="n">
        <f aca="false">IF(Z1016&lt;1,X$14*((1-r_1)-Y$14*(1-r_1^2)+Z$14*(1-r_1^3)),0)</f>
        <v>8.01745251882702</v>
      </c>
      <c r="AB1016" s="97" t="n">
        <f aca="false">AB1015+AB$15</f>
        <v>0.0039776679873466</v>
      </c>
      <c r="AC1016" s="115" t="n">
        <f aca="false">(Kopt-(L0-AB1016*Ldif-alph*AB1016^0.5))/R0</f>
        <v>0.999323139494451</v>
      </c>
      <c r="AD1016" s="113" t="n">
        <f aca="false">IF(AC1016&lt;1,X$14*((1-ropt)-Y$14*(1-ropt^2)+Z$14*(1-ropt^3)),0)</f>
        <v>8.01745251882702</v>
      </c>
    </row>
    <row r="1017" customFormat="false" ht="12.75" hidden="false" customHeight="false" outlineLevel="0" collapsed="false">
      <c r="X1017" s="102" t="n">
        <v>2</v>
      </c>
      <c r="Y1017" s="124" t="n">
        <f aca="false">Y1016+Y$16</f>
        <v>0.00398165762424464</v>
      </c>
      <c r="Z1017" s="115" t="n">
        <f aca="false">(K-(L0-Y1017*Ldif-alph*Y1017^0.5))/R0</f>
        <v>0.999549007339195</v>
      </c>
      <c r="AA1017" s="113" t="n">
        <f aca="false">IF(Z1017&lt;1,X$14*((1-r_1)-Y$14*(1-r_1^2)+Z$14*(1-r_1^3)),0)</f>
        <v>3.55940165203128</v>
      </c>
      <c r="AB1017" s="97" t="n">
        <f aca="false">AB1016+AB$15</f>
        <v>0.00398165762424464</v>
      </c>
      <c r="AC1017" s="115" t="n">
        <f aca="false">(Kopt-(L0-AB1017*Ldif-alph*AB1017^0.5))/R0</f>
        <v>0.999549007339195</v>
      </c>
      <c r="AD1017" s="113" t="n">
        <f aca="false">IF(AC1017&lt;1,X$14*((1-ropt)-Y$14*(1-ropt^2)+Z$14*(1-ropt^3)),0)</f>
        <v>3.55940165203128</v>
      </c>
    </row>
    <row r="1018" customFormat="false" ht="12.75" hidden="false" customHeight="false" outlineLevel="0" collapsed="false">
      <c r="X1018" s="102" t="n">
        <v>1</v>
      </c>
      <c r="Y1018" s="124" t="n">
        <f aca="false">Y1017+Y$16</f>
        <v>0.00398564726114268</v>
      </c>
      <c r="Z1018" s="115" t="n">
        <f aca="false">(K-(L0-Y1018*Ldif-alph*Y1018^0.5))/R0</f>
        <v>0.999774762052581</v>
      </c>
      <c r="AA1018" s="113" t="n">
        <f aca="false">IF(Z1018&lt;1,X$14*((1-r_1)-Y$14*(1-r_1^2)+Z$14*(1-r_1^3)),0)</f>
        <v>0.887812326433313</v>
      </c>
      <c r="AB1018" s="97" t="n">
        <f aca="false">AB1017+AB$15</f>
        <v>0.00398564726114268</v>
      </c>
      <c r="AC1018" s="115" t="n">
        <f aca="false">(Kopt-(L0-AB1018*Ldif-alph*AB1018^0.5))/R0</f>
        <v>0.999774762052581</v>
      </c>
      <c r="AD1018" s="113" t="n">
        <f aca="false">IF(AC1018&lt;1,X$14*((1-ropt)-Y$14*(1-ropt^2)+Z$14*(1-ropt^3)),0)</f>
        <v>0.887812326433313</v>
      </c>
    </row>
    <row r="1019" customFormat="false" ht="12.75" hidden="false" customHeight="false" outlineLevel="0" collapsed="false">
      <c r="X1019" s="102" t="n">
        <v>0</v>
      </c>
      <c r="Y1019" s="124" t="n">
        <f aca="false">Y1018+Y$16</f>
        <v>0.00398963689804072</v>
      </c>
      <c r="Z1019" s="115" t="n">
        <f aca="false">(K-(L0-Y1019*Ldif-alph*Y1019^0.5))/R0</f>
        <v>1.00000040380444</v>
      </c>
      <c r="AA1019" s="113" t="n">
        <f aca="false">IF(Z1019&lt;1,X$14*((1-r_1)-Y$14*(1-r_1^2)+Z$14*(1-r_1^3)),0)</f>
        <v>0</v>
      </c>
      <c r="AB1019" s="97" t="n">
        <f aca="false">AB1018+AB$15</f>
        <v>0.00398963689804072</v>
      </c>
      <c r="AC1019" s="115" t="n">
        <f aca="false">(Kopt-(L0-AB1019*Ldif-alph*AB1019^0.5))/R0</f>
        <v>1.00000040380444</v>
      </c>
      <c r="AD1019" s="113" t="n">
        <f aca="false">IF(AC1019&lt;1,X$14*((1-ropt)-Y$14*(1-ropt^2)+Z$14*(1-ropt^3)),0)</f>
        <v>0</v>
      </c>
    </row>
    <row r="1020" customFormat="false" ht="12.75" hidden="false" customHeight="false" outlineLevel="0" collapsed="false">
      <c r="X1020" s="102"/>
      <c r="Y1020" s="124"/>
      <c r="Z1020" s="173"/>
      <c r="AA1020" s="122"/>
      <c r="AB1020" s="148"/>
    </row>
    <row r="1021" customFormat="false" ht="12.75" hidden="false" customHeight="false" outlineLevel="0" collapsed="false">
      <c r="X1021" s="102"/>
      <c r="Y1021" s="124"/>
      <c r="Z1021" s="173"/>
      <c r="AA1021" s="122"/>
      <c r="AB1021" s="148"/>
    </row>
    <row r="1022" customFormat="false" ht="12.75" hidden="false" customHeight="false" outlineLevel="0" collapsed="false">
      <c r="X1022" s="102"/>
      <c r="Y1022" s="124"/>
      <c r="Z1022" s="173"/>
      <c r="AA1022" s="122"/>
      <c r="AB1022" s="148"/>
    </row>
    <row r="1023" customFormat="false" ht="12.75" hidden="false" customHeight="false" outlineLevel="0" collapsed="false">
      <c r="X1023" s="102"/>
      <c r="Y1023" s="124"/>
      <c r="Z1023" s="173"/>
      <c r="AA1023" s="122"/>
      <c r="AB1023" s="148"/>
    </row>
    <row r="1024" customFormat="false" ht="12.75" hidden="false" customHeight="false" outlineLevel="0" collapsed="false">
      <c r="X1024" s="102"/>
      <c r="Y1024" s="124"/>
      <c r="Z1024" s="173"/>
      <c r="AA1024" s="122"/>
      <c r="AB1024" s="148"/>
    </row>
    <row r="1025" customFormat="false" ht="12.75" hidden="false" customHeight="false" outlineLevel="0" collapsed="false">
      <c r="X1025" s="102"/>
      <c r="Y1025" s="124"/>
      <c r="Z1025" s="173"/>
      <c r="AA1025" s="122"/>
      <c r="AB1025" s="148"/>
    </row>
    <row r="1026" customFormat="false" ht="12.75" hidden="false" customHeight="false" outlineLevel="0" collapsed="false">
      <c r="X1026" s="102"/>
      <c r="Y1026" s="124"/>
      <c r="Z1026" s="173"/>
      <c r="AA1026" s="122"/>
      <c r="AB1026" s="148"/>
    </row>
    <row r="1027" customFormat="false" ht="12.75" hidden="false" customHeight="false" outlineLevel="0" collapsed="false">
      <c r="X1027" s="102"/>
      <c r="Y1027" s="124"/>
      <c r="Z1027" s="173"/>
      <c r="AA1027" s="122"/>
      <c r="AB1027" s="148"/>
    </row>
    <row r="1028" customFormat="false" ht="12.75" hidden="false" customHeight="false" outlineLevel="0" collapsed="false">
      <c r="X1028" s="102"/>
      <c r="Y1028" s="124"/>
      <c r="Z1028" s="173"/>
      <c r="AA1028" s="122"/>
      <c r="AB1028" s="148"/>
    </row>
    <row r="1029" customFormat="false" ht="12.75" hidden="false" customHeight="false" outlineLevel="0" collapsed="false">
      <c r="X1029" s="102"/>
      <c r="Y1029" s="124"/>
      <c r="Z1029" s="173"/>
      <c r="AA1029" s="122"/>
      <c r="AB1029" s="148"/>
    </row>
    <row r="1030" customFormat="false" ht="12.75" hidden="false" customHeight="false" outlineLevel="0" collapsed="false">
      <c r="X1030" s="102"/>
      <c r="Y1030" s="124"/>
      <c r="Z1030" s="173"/>
      <c r="AA1030" s="122"/>
      <c r="AB1030" s="148"/>
    </row>
    <row r="1031" customFormat="false" ht="12.75" hidden="false" customHeight="false" outlineLevel="0" collapsed="false">
      <c r="X1031" s="102"/>
      <c r="Y1031" s="124"/>
      <c r="Z1031" s="173"/>
      <c r="AA1031" s="122"/>
      <c r="AB1031" s="148"/>
    </row>
    <row r="1032" customFormat="false" ht="12.75" hidden="false" customHeight="false" outlineLevel="0" collapsed="false">
      <c r="X1032" s="102"/>
      <c r="Y1032" s="124"/>
      <c r="Z1032" s="173"/>
      <c r="AA1032" s="122"/>
      <c r="AB1032" s="148"/>
    </row>
    <row r="1033" customFormat="false" ht="12.75" hidden="false" customHeight="false" outlineLevel="0" collapsed="false">
      <c r="X1033" s="102"/>
      <c r="Y1033" s="124"/>
      <c r="Z1033" s="173"/>
      <c r="AA1033" s="122"/>
      <c r="AB1033" s="148"/>
    </row>
    <row r="1034" customFormat="false" ht="12.75" hidden="false" customHeight="false" outlineLevel="0" collapsed="false">
      <c r="X1034" s="102"/>
      <c r="Y1034" s="124"/>
      <c r="Z1034" s="173"/>
      <c r="AA1034" s="122"/>
      <c r="AB1034" s="148"/>
    </row>
    <row r="1035" customFormat="false" ht="12.75" hidden="false" customHeight="false" outlineLevel="0" collapsed="false">
      <c r="X1035" s="102"/>
      <c r="Y1035" s="124"/>
      <c r="Z1035" s="173"/>
      <c r="AA1035" s="122"/>
      <c r="AB1035" s="148"/>
    </row>
    <row r="1036" customFormat="false" ht="12.75" hidden="false" customHeight="false" outlineLevel="0" collapsed="false">
      <c r="X1036" s="102"/>
      <c r="Y1036" s="124"/>
      <c r="Z1036" s="173"/>
      <c r="AA1036" s="122"/>
      <c r="AB1036" s="148"/>
    </row>
    <row r="1037" customFormat="false" ht="12.75" hidden="false" customHeight="false" outlineLevel="0" collapsed="false">
      <c r="X1037" s="102"/>
      <c r="Y1037" s="124"/>
      <c r="Z1037" s="173"/>
      <c r="AA1037" s="122"/>
      <c r="AB1037" s="148"/>
    </row>
    <row r="1038" customFormat="false" ht="12.75" hidden="false" customHeight="false" outlineLevel="0" collapsed="false">
      <c r="X1038" s="102"/>
      <c r="Y1038" s="124"/>
      <c r="Z1038" s="173"/>
      <c r="AA1038" s="122"/>
      <c r="AB1038" s="148"/>
    </row>
    <row r="1039" customFormat="false" ht="12.75" hidden="false" customHeight="false" outlineLevel="0" collapsed="false">
      <c r="X1039" s="102"/>
      <c r="Y1039" s="124"/>
      <c r="Z1039" s="173"/>
      <c r="AA1039" s="122"/>
      <c r="AB1039" s="148"/>
    </row>
    <row r="1040" customFormat="false" ht="12.75" hidden="false" customHeight="false" outlineLevel="0" collapsed="false">
      <c r="X1040" s="102"/>
      <c r="Y1040" s="124"/>
      <c r="Z1040" s="173"/>
      <c r="AA1040" s="122"/>
      <c r="AB1040" s="148"/>
    </row>
    <row r="1041" customFormat="false" ht="12.75" hidden="false" customHeight="false" outlineLevel="0" collapsed="false">
      <c r="X1041" s="102"/>
      <c r="Y1041" s="124"/>
      <c r="Z1041" s="173"/>
      <c r="AA1041" s="122"/>
      <c r="AB1041" s="148"/>
    </row>
    <row r="1042" customFormat="false" ht="12.75" hidden="false" customHeight="false" outlineLevel="0" collapsed="false">
      <c r="X1042" s="102"/>
      <c r="Y1042" s="124"/>
      <c r="Z1042" s="173"/>
      <c r="AA1042" s="122"/>
      <c r="AB1042" s="148"/>
    </row>
    <row r="1043" customFormat="false" ht="12.75" hidden="false" customHeight="false" outlineLevel="0" collapsed="false">
      <c r="X1043" s="102"/>
      <c r="Y1043" s="124"/>
      <c r="Z1043" s="173"/>
      <c r="AA1043" s="122"/>
      <c r="AB1043" s="148"/>
    </row>
    <row r="1044" customFormat="false" ht="12.75" hidden="false" customHeight="false" outlineLevel="0" collapsed="false">
      <c r="X1044" s="102"/>
      <c r="Y1044" s="124"/>
      <c r="Z1044" s="173"/>
      <c r="AA1044" s="122"/>
      <c r="AB1044" s="148"/>
    </row>
    <row r="1045" customFormat="false" ht="12.75" hidden="false" customHeight="false" outlineLevel="0" collapsed="false">
      <c r="X1045" s="102"/>
      <c r="Y1045" s="124"/>
      <c r="Z1045" s="173"/>
      <c r="AA1045" s="122"/>
      <c r="AB1045" s="148"/>
    </row>
    <row r="1046" customFormat="false" ht="12.75" hidden="false" customHeight="false" outlineLevel="0" collapsed="false">
      <c r="X1046" s="102"/>
      <c r="Y1046" s="124"/>
      <c r="Z1046" s="173"/>
      <c r="AA1046" s="122"/>
      <c r="AB1046" s="148"/>
    </row>
    <row r="1047" customFormat="false" ht="12.75" hidden="false" customHeight="false" outlineLevel="0" collapsed="false">
      <c r="X1047" s="102"/>
      <c r="Y1047" s="124"/>
      <c r="Z1047" s="173"/>
      <c r="AA1047" s="122"/>
      <c r="AB1047" s="148"/>
    </row>
    <row r="1048" customFormat="false" ht="12.75" hidden="false" customHeight="false" outlineLevel="0" collapsed="false">
      <c r="X1048" s="102"/>
      <c r="Y1048" s="124"/>
      <c r="Z1048" s="173"/>
      <c r="AA1048" s="122"/>
      <c r="AB1048" s="148"/>
    </row>
    <row r="1049" customFormat="false" ht="12.75" hidden="false" customHeight="false" outlineLevel="0" collapsed="false">
      <c r="X1049" s="102"/>
      <c r="Y1049" s="124"/>
      <c r="Z1049" s="173"/>
      <c r="AA1049" s="122"/>
      <c r="AB1049" s="148"/>
    </row>
    <row r="1050" customFormat="false" ht="12.75" hidden="false" customHeight="false" outlineLevel="0" collapsed="false">
      <c r="X1050" s="102"/>
      <c r="Y1050" s="124"/>
      <c r="Z1050" s="173"/>
      <c r="AA1050" s="122"/>
      <c r="AB1050" s="148"/>
    </row>
    <row r="1051" customFormat="false" ht="12.75" hidden="false" customHeight="false" outlineLevel="0" collapsed="false">
      <c r="X1051" s="102"/>
      <c r="Y1051" s="124"/>
      <c r="Z1051" s="173"/>
      <c r="AA1051" s="122"/>
      <c r="AB1051" s="148"/>
    </row>
    <row r="1052" customFormat="false" ht="12.75" hidden="false" customHeight="false" outlineLevel="0" collapsed="false">
      <c r="X1052" s="102"/>
      <c r="Y1052" s="124"/>
      <c r="Z1052" s="173"/>
      <c r="AA1052" s="122"/>
      <c r="AB1052" s="148"/>
    </row>
    <row r="1053" customFormat="false" ht="12.75" hidden="false" customHeight="false" outlineLevel="0" collapsed="false">
      <c r="X1053" s="102"/>
      <c r="Y1053" s="124"/>
      <c r="Z1053" s="173"/>
      <c r="AA1053" s="122"/>
      <c r="AB1053" s="148"/>
    </row>
    <row r="1054" customFormat="false" ht="12.75" hidden="false" customHeight="false" outlineLevel="0" collapsed="false">
      <c r="X1054" s="102"/>
      <c r="Y1054" s="124"/>
      <c r="Z1054" s="173"/>
      <c r="AA1054" s="122"/>
      <c r="AB1054" s="148"/>
    </row>
    <row r="1055" customFormat="false" ht="12.75" hidden="false" customHeight="false" outlineLevel="0" collapsed="false">
      <c r="X1055" s="102"/>
      <c r="Y1055" s="124"/>
      <c r="Z1055" s="173"/>
      <c r="AA1055" s="122"/>
      <c r="AB1055" s="148"/>
    </row>
    <row r="1056" customFormat="false" ht="12.75" hidden="false" customHeight="false" outlineLevel="0" collapsed="false">
      <c r="X1056" s="102"/>
      <c r="Y1056" s="124"/>
      <c r="Z1056" s="173"/>
      <c r="AA1056" s="122"/>
      <c r="AB1056" s="148"/>
    </row>
    <row r="1057" customFormat="false" ht="12.75" hidden="false" customHeight="false" outlineLevel="0" collapsed="false">
      <c r="X1057" s="102"/>
      <c r="Y1057" s="124"/>
      <c r="Z1057" s="173"/>
      <c r="AA1057" s="122"/>
      <c r="AB1057" s="148"/>
    </row>
    <row r="1058" customFormat="false" ht="12.75" hidden="false" customHeight="false" outlineLevel="0" collapsed="false">
      <c r="X1058" s="102"/>
      <c r="Y1058" s="124"/>
      <c r="Z1058" s="173"/>
      <c r="AA1058" s="122"/>
      <c r="AB1058" s="148"/>
    </row>
    <row r="1059" customFormat="false" ht="12.75" hidden="false" customHeight="false" outlineLevel="0" collapsed="false">
      <c r="X1059" s="102"/>
      <c r="Y1059" s="124"/>
      <c r="Z1059" s="173"/>
      <c r="AA1059" s="122"/>
      <c r="AB1059" s="148"/>
    </row>
    <row r="1060" customFormat="false" ht="12.75" hidden="false" customHeight="false" outlineLevel="0" collapsed="false">
      <c r="X1060" s="102"/>
      <c r="Y1060" s="124"/>
      <c r="Z1060" s="173"/>
      <c r="AA1060" s="122"/>
      <c r="AB1060" s="148"/>
    </row>
    <row r="1061" customFormat="false" ht="12.75" hidden="false" customHeight="false" outlineLevel="0" collapsed="false">
      <c r="X1061" s="102"/>
      <c r="Y1061" s="124"/>
      <c r="Z1061" s="173"/>
      <c r="AA1061" s="122"/>
      <c r="AB1061" s="148"/>
    </row>
    <row r="1062" customFormat="false" ht="12.75" hidden="false" customHeight="false" outlineLevel="0" collapsed="false">
      <c r="X1062" s="102"/>
      <c r="Y1062" s="124"/>
      <c r="Z1062" s="173"/>
      <c r="AA1062" s="122"/>
      <c r="AB1062" s="148"/>
    </row>
    <row r="1063" customFormat="false" ht="12.75" hidden="false" customHeight="false" outlineLevel="0" collapsed="false">
      <c r="X1063" s="102"/>
      <c r="Y1063" s="124"/>
      <c r="Z1063" s="173"/>
      <c r="AA1063" s="122"/>
      <c r="AB1063" s="148"/>
    </row>
    <row r="1064" customFormat="false" ht="12.75" hidden="false" customHeight="false" outlineLevel="0" collapsed="false">
      <c r="X1064" s="102"/>
      <c r="Y1064" s="124"/>
      <c r="Z1064" s="173"/>
      <c r="AA1064" s="122"/>
      <c r="AB1064" s="148"/>
    </row>
    <row r="1065" customFormat="false" ht="12.75" hidden="false" customHeight="false" outlineLevel="0" collapsed="false">
      <c r="X1065" s="102"/>
      <c r="Y1065" s="124"/>
      <c r="Z1065" s="173"/>
      <c r="AA1065" s="122"/>
      <c r="AB1065" s="148"/>
    </row>
    <row r="1066" customFormat="false" ht="12.75" hidden="false" customHeight="false" outlineLevel="0" collapsed="false">
      <c r="X1066" s="102"/>
      <c r="Y1066" s="124"/>
      <c r="Z1066" s="173"/>
      <c r="AA1066" s="122"/>
      <c r="AB1066" s="148"/>
    </row>
    <row r="1067" customFormat="false" ht="12.75" hidden="false" customHeight="false" outlineLevel="0" collapsed="false">
      <c r="X1067" s="102"/>
      <c r="Y1067" s="124"/>
      <c r="Z1067" s="173"/>
      <c r="AA1067" s="122"/>
      <c r="AB1067" s="148"/>
    </row>
    <row r="1068" customFormat="false" ht="12.75" hidden="false" customHeight="false" outlineLevel="0" collapsed="false">
      <c r="X1068" s="102"/>
      <c r="Y1068" s="124"/>
      <c r="Z1068" s="173"/>
      <c r="AA1068" s="122"/>
      <c r="AB1068" s="148"/>
    </row>
    <row r="1069" customFormat="false" ht="12.75" hidden="false" customHeight="false" outlineLevel="0" collapsed="false">
      <c r="X1069" s="102"/>
      <c r="Y1069" s="124"/>
      <c r="Z1069" s="173"/>
      <c r="AA1069" s="122"/>
      <c r="AB1069" s="148"/>
    </row>
    <row r="1070" customFormat="false" ht="12.75" hidden="false" customHeight="false" outlineLevel="0" collapsed="false">
      <c r="X1070" s="102"/>
      <c r="Y1070" s="124"/>
      <c r="Z1070" s="173"/>
      <c r="AA1070" s="122"/>
      <c r="AB1070" s="148"/>
    </row>
    <row r="1071" customFormat="false" ht="12.75" hidden="false" customHeight="false" outlineLevel="0" collapsed="false">
      <c r="X1071" s="102"/>
      <c r="Y1071" s="124"/>
      <c r="Z1071" s="173"/>
      <c r="AA1071" s="122"/>
      <c r="AB1071" s="148"/>
    </row>
    <row r="1072" customFormat="false" ht="12.75" hidden="false" customHeight="false" outlineLevel="0" collapsed="false">
      <c r="X1072" s="102"/>
      <c r="Y1072" s="124"/>
      <c r="Z1072" s="173"/>
      <c r="AA1072" s="122"/>
      <c r="AB1072" s="148"/>
    </row>
    <row r="1073" customFormat="false" ht="12.75" hidden="false" customHeight="false" outlineLevel="0" collapsed="false">
      <c r="X1073" s="102"/>
      <c r="Y1073" s="124"/>
      <c r="Z1073" s="173"/>
      <c r="AA1073" s="122"/>
      <c r="AB1073" s="148"/>
    </row>
    <row r="1074" customFormat="false" ht="12.75" hidden="false" customHeight="false" outlineLevel="0" collapsed="false">
      <c r="X1074" s="102"/>
      <c r="Y1074" s="124"/>
      <c r="Z1074" s="173"/>
      <c r="AA1074" s="122"/>
      <c r="AB1074" s="148"/>
    </row>
    <row r="1075" customFormat="false" ht="12.75" hidden="false" customHeight="false" outlineLevel="0" collapsed="false">
      <c r="X1075" s="102"/>
      <c r="Y1075" s="124"/>
      <c r="Z1075" s="173"/>
      <c r="AA1075" s="122"/>
      <c r="AB1075" s="148"/>
    </row>
    <row r="1076" customFormat="false" ht="12.75" hidden="false" customHeight="false" outlineLevel="0" collapsed="false">
      <c r="X1076" s="102"/>
      <c r="Y1076" s="124"/>
      <c r="Z1076" s="173"/>
      <c r="AA1076" s="122"/>
      <c r="AB1076" s="148"/>
    </row>
    <row r="1077" customFormat="false" ht="12.75" hidden="false" customHeight="false" outlineLevel="0" collapsed="false">
      <c r="X1077" s="102"/>
      <c r="Y1077" s="124"/>
      <c r="Z1077" s="173"/>
      <c r="AA1077" s="122"/>
      <c r="AB1077" s="148"/>
    </row>
    <row r="1078" customFormat="false" ht="12.75" hidden="false" customHeight="false" outlineLevel="0" collapsed="false">
      <c r="X1078" s="102"/>
      <c r="Y1078" s="124"/>
      <c r="Z1078" s="173"/>
      <c r="AA1078" s="122"/>
      <c r="AB1078" s="148"/>
    </row>
    <row r="1079" customFormat="false" ht="12.75" hidden="false" customHeight="false" outlineLevel="0" collapsed="false">
      <c r="X1079" s="102"/>
      <c r="Y1079" s="124"/>
      <c r="Z1079" s="173"/>
      <c r="AA1079" s="122"/>
      <c r="AB1079" s="148"/>
    </row>
    <row r="1080" customFormat="false" ht="12.75" hidden="false" customHeight="false" outlineLevel="0" collapsed="false">
      <c r="X1080" s="102"/>
      <c r="Y1080" s="124"/>
      <c r="Z1080" s="173"/>
      <c r="AA1080" s="122"/>
      <c r="AB1080" s="148"/>
    </row>
    <row r="1081" customFormat="false" ht="12.75" hidden="false" customHeight="false" outlineLevel="0" collapsed="false">
      <c r="X1081" s="102"/>
      <c r="Y1081" s="124"/>
      <c r="Z1081" s="173"/>
      <c r="AA1081" s="122"/>
      <c r="AB1081" s="148"/>
    </row>
    <row r="1082" customFormat="false" ht="12.75" hidden="false" customHeight="false" outlineLevel="0" collapsed="false">
      <c r="X1082" s="102"/>
      <c r="Y1082" s="124"/>
      <c r="Z1082" s="173"/>
      <c r="AA1082" s="122"/>
      <c r="AB1082" s="148"/>
    </row>
    <row r="1083" customFormat="false" ht="12.75" hidden="false" customHeight="false" outlineLevel="0" collapsed="false">
      <c r="X1083" s="102"/>
      <c r="Y1083" s="124"/>
      <c r="Z1083" s="173"/>
      <c r="AA1083" s="122"/>
      <c r="AB1083" s="148"/>
    </row>
    <row r="1084" customFormat="false" ht="12.75" hidden="false" customHeight="false" outlineLevel="0" collapsed="false">
      <c r="X1084" s="102"/>
      <c r="Y1084" s="124"/>
      <c r="Z1084" s="173"/>
      <c r="AA1084" s="122"/>
      <c r="AB1084" s="148"/>
    </row>
    <row r="1085" customFormat="false" ht="12.75" hidden="false" customHeight="false" outlineLevel="0" collapsed="false">
      <c r="X1085" s="102"/>
      <c r="Y1085" s="124"/>
      <c r="Z1085" s="173"/>
      <c r="AA1085" s="122"/>
      <c r="AB1085" s="148"/>
    </row>
    <row r="1086" customFormat="false" ht="12.75" hidden="false" customHeight="false" outlineLevel="0" collapsed="false">
      <c r="X1086" s="102"/>
      <c r="Y1086" s="124"/>
      <c r="Z1086" s="173"/>
      <c r="AA1086" s="122"/>
      <c r="AB1086" s="148"/>
    </row>
    <row r="1087" customFormat="false" ht="12.75" hidden="false" customHeight="false" outlineLevel="0" collapsed="false">
      <c r="X1087" s="102"/>
      <c r="Y1087" s="124"/>
      <c r="Z1087" s="173"/>
      <c r="AA1087" s="122"/>
      <c r="AB1087" s="148"/>
    </row>
    <row r="1088" customFormat="false" ht="12.75" hidden="false" customHeight="false" outlineLevel="0" collapsed="false">
      <c r="X1088" s="102"/>
      <c r="Y1088" s="124"/>
      <c r="Z1088" s="173"/>
      <c r="AA1088" s="122"/>
      <c r="AB1088" s="148"/>
    </row>
    <row r="1089" customFormat="false" ht="12.75" hidden="false" customHeight="false" outlineLevel="0" collapsed="false">
      <c r="X1089" s="102"/>
      <c r="Y1089" s="124"/>
      <c r="Z1089" s="173"/>
      <c r="AA1089" s="122"/>
      <c r="AB1089" s="148"/>
    </row>
    <row r="1090" customFormat="false" ht="12.75" hidden="false" customHeight="false" outlineLevel="0" collapsed="false">
      <c r="X1090" s="102"/>
      <c r="Y1090" s="124"/>
      <c r="Z1090" s="173"/>
      <c r="AA1090" s="122"/>
      <c r="AB1090" s="148"/>
    </row>
    <row r="1091" customFormat="false" ht="12.75" hidden="false" customHeight="false" outlineLevel="0" collapsed="false">
      <c r="X1091" s="102"/>
      <c r="Y1091" s="124"/>
      <c r="Z1091" s="173"/>
      <c r="AA1091" s="122"/>
      <c r="AB1091" s="148"/>
    </row>
    <row r="1092" customFormat="false" ht="12.75" hidden="false" customHeight="false" outlineLevel="0" collapsed="false">
      <c r="X1092" s="102"/>
      <c r="Y1092" s="124"/>
      <c r="Z1092" s="173"/>
      <c r="AA1092" s="122"/>
      <c r="AB1092" s="148"/>
    </row>
    <row r="1093" customFormat="false" ht="12.75" hidden="false" customHeight="false" outlineLevel="0" collapsed="false">
      <c r="X1093" s="102"/>
      <c r="Y1093" s="124"/>
      <c r="Z1093" s="173"/>
      <c r="AA1093" s="122"/>
      <c r="AB1093" s="148"/>
    </row>
    <row r="1094" customFormat="false" ht="12.75" hidden="false" customHeight="false" outlineLevel="0" collapsed="false">
      <c r="X1094" s="102"/>
      <c r="Y1094" s="124"/>
      <c r="Z1094" s="173"/>
      <c r="AA1094" s="122"/>
      <c r="AB1094" s="148"/>
    </row>
    <row r="1095" customFormat="false" ht="12.75" hidden="false" customHeight="false" outlineLevel="0" collapsed="false">
      <c r="X1095" s="102"/>
      <c r="Y1095" s="124"/>
      <c r="Z1095" s="173"/>
      <c r="AA1095" s="122"/>
      <c r="AB1095" s="148"/>
    </row>
    <row r="1096" customFormat="false" ht="12.75" hidden="false" customHeight="false" outlineLevel="0" collapsed="false">
      <c r="X1096" s="102"/>
      <c r="Y1096" s="124"/>
      <c r="Z1096" s="173"/>
      <c r="AA1096" s="122"/>
      <c r="AB1096" s="148"/>
    </row>
    <row r="1097" customFormat="false" ht="12.75" hidden="false" customHeight="false" outlineLevel="0" collapsed="false">
      <c r="X1097" s="102"/>
      <c r="Y1097" s="124"/>
      <c r="Z1097" s="173"/>
      <c r="AA1097" s="122"/>
      <c r="AB1097" s="148"/>
    </row>
    <row r="1098" customFormat="false" ht="12.75" hidden="false" customHeight="false" outlineLevel="0" collapsed="false">
      <c r="X1098" s="102"/>
      <c r="Y1098" s="124"/>
      <c r="Z1098" s="173"/>
      <c r="AA1098" s="122"/>
      <c r="AB1098" s="148"/>
    </row>
    <row r="1099" customFormat="false" ht="12.75" hidden="false" customHeight="false" outlineLevel="0" collapsed="false">
      <c r="X1099" s="102"/>
      <c r="Y1099" s="124"/>
      <c r="Z1099" s="173"/>
      <c r="AA1099" s="122"/>
      <c r="AB1099" s="148"/>
    </row>
    <row r="1100" customFormat="false" ht="12.75" hidden="false" customHeight="false" outlineLevel="0" collapsed="false">
      <c r="X1100" s="102"/>
      <c r="Y1100" s="124"/>
      <c r="Z1100" s="173"/>
      <c r="AA1100" s="122"/>
      <c r="AB1100" s="148"/>
    </row>
    <row r="1101" customFormat="false" ht="12.75" hidden="false" customHeight="false" outlineLevel="0" collapsed="false">
      <c r="X1101" s="102"/>
      <c r="Y1101" s="124"/>
      <c r="Z1101" s="173"/>
      <c r="AA1101" s="122"/>
      <c r="AB1101" s="148"/>
    </row>
    <row r="1102" customFormat="false" ht="12.75" hidden="false" customHeight="false" outlineLevel="0" collapsed="false">
      <c r="X1102" s="102"/>
      <c r="Y1102" s="124"/>
      <c r="Z1102" s="173"/>
      <c r="AA1102" s="122"/>
      <c r="AB1102" s="148"/>
    </row>
    <row r="1103" customFormat="false" ht="12.75" hidden="false" customHeight="false" outlineLevel="0" collapsed="false">
      <c r="X1103" s="102"/>
      <c r="Y1103" s="124"/>
      <c r="Z1103" s="173"/>
      <c r="AA1103" s="122"/>
      <c r="AB1103" s="148"/>
    </row>
    <row r="1104" customFormat="false" ht="12.75" hidden="false" customHeight="false" outlineLevel="0" collapsed="false">
      <c r="X1104" s="102"/>
      <c r="Y1104" s="124"/>
      <c r="Z1104" s="173"/>
      <c r="AA1104" s="122"/>
      <c r="AB1104" s="148"/>
    </row>
    <row r="1105" customFormat="false" ht="12.75" hidden="false" customHeight="false" outlineLevel="0" collapsed="false">
      <c r="X1105" s="102"/>
      <c r="Y1105" s="124"/>
      <c r="Z1105" s="173"/>
      <c r="AA1105" s="122"/>
      <c r="AB1105" s="148"/>
    </row>
    <row r="1106" customFormat="false" ht="12.75" hidden="false" customHeight="false" outlineLevel="0" collapsed="false">
      <c r="X1106" s="102"/>
      <c r="Y1106" s="124"/>
      <c r="Z1106" s="173"/>
      <c r="AA1106" s="122"/>
      <c r="AB1106" s="148"/>
    </row>
    <row r="1107" customFormat="false" ht="12.75" hidden="false" customHeight="false" outlineLevel="0" collapsed="false">
      <c r="X1107" s="102"/>
      <c r="Y1107" s="124"/>
      <c r="Z1107" s="173"/>
      <c r="AA1107" s="122"/>
      <c r="AB1107" s="148"/>
    </row>
    <row r="1108" customFormat="false" ht="12.75" hidden="false" customHeight="false" outlineLevel="0" collapsed="false">
      <c r="X1108" s="102"/>
      <c r="Y1108" s="124"/>
      <c r="Z1108" s="173"/>
      <c r="AA1108" s="122"/>
      <c r="AB1108" s="148"/>
    </row>
    <row r="1109" customFormat="false" ht="12.75" hidden="false" customHeight="false" outlineLevel="0" collapsed="false">
      <c r="X1109" s="102"/>
      <c r="Y1109" s="124"/>
      <c r="Z1109" s="173"/>
      <c r="AA1109" s="122"/>
      <c r="AB1109" s="148"/>
    </row>
    <row r="1110" customFormat="false" ht="12.75" hidden="false" customHeight="false" outlineLevel="0" collapsed="false">
      <c r="X1110" s="102"/>
      <c r="Y1110" s="124"/>
      <c r="Z1110" s="173"/>
      <c r="AA1110" s="122"/>
      <c r="AB1110" s="148"/>
    </row>
    <row r="1111" customFormat="false" ht="12.75" hidden="false" customHeight="false" outlineLevel="0" collapsed="false">
      <c r="X1111" s="102"/>
      <c r="Y1111" s="124"/>
      <c r="Z1111" s="173"/>
      <c r="AA1111" s="122"/>
      <c r="AB1111" s="148"/>
    </row>
    <row r="1112" customFormat="false" ht="12.75" hidden="false" customHeight="false" outlineLevel="0" collapsed="false">
      <c r="X1112" s="102"/>
      <c r="Y1112" s="124"/>
      <c r="Z1112" s="173"/>
      <c r="AA1112" s="122"/>
      <c r="AB1112" s="148"/>
    </row>
    <row r="1113" customFormat="false" ht="12.75" hidden="false" customHeight="false" outlineLevel="0" collapsed="false">
      <c r="X1113" s="102"/>
      <c r="Y1113" s="124"/>
      <c r="Z1113" s="173"/>
      <c r="AA1113" s="122"/>
      <c r="AB1113" s="148"/>
    </row>
    <row r="1114" customFormat="false" ht="12.75" hidden="false" customHeight="false" outlineLevel="0" collapsed="false">
      <c r="X1114" s="102"/>
      <c r="Y1114" s="124"/>
      <c r="Z1114" s="173"/>
      <c r="AA1114" s="122"/>
      <c r="AB1114" s="148"/>
    </row>
    <row r="1115" customFormat="false" ht="12.75" hidden="false" customHeight="false" outlineLevel="0" collapsed="false">
      <c r="X1115" s="102"/>
      <c r="Y1115" s="124"/>
      <c r="Z1115" s="173"/>
      <c r="AA1115" s="122"/>
      <c r="AB1115" s="148"/>
    </row>
    <row r="1116" customFormat="false" ht="12.75" hidden="false" customHeight="false" outlineLevel="0" collapsed="false">
      <c r="X1116" s="102"/>
      <c r="Y1116" s="124"/>
      <c r="Z1116" s="173"/>
      <c r="AA1116" s="122"/>
      <c r="AB1116" s="148"/>
    </row>
    <row r="1117" customFormat="false" ht="12.75" hidden="false" customHeight="false" outlineLevel="0" collapsed="false">
      <c r="X1117" s="102"/>
      <c r="Y1117" s="124"/>
      <c r="Z1117" s="173"/>
      <c r="AA1117" s="122"/>
      <c r="AB1117" s="148"/>
    </row>
    <row r="1118" customFormat="false" ht="12.75" hidden="false" customHeight="false" outlineLevel="0" collapsed="false">
      <c r="X1118" s="102"/>
      <c r="Y1118" s="124"/>
      <c r="Z1118" s="173"/>
      <c r="AA1118" s="122"/>
      <c r="AB1118" s="148"/>
    </row>
    <row r="1119" customFormat="false" ht="12.75" hidden="false" customHeight="false" outlineLevel="0" collapsed="false">
      <c r="X1119" s="102"/>
      <c r="Y1119" s="124"/>
      <c r="Z1119" s="173"/>
      <c r="AA1119" s="122"/>
      <c r="AB1119" s="148"/>
    </row>
    <row r="1120" customFormat="false" ht="12.75" hidden="false" customHeight="false" outlineLevel="0" collapsed="false">
      <c r="X1120" s="102"/>
      <c r="Y1120" s="124"/>
      <c r="Z1120" s="173"/>
      <c r="AA1120" s="122"/>
      <c r="AB1120" s="148"/>
    </row>
    <row r="1121" customFormat="false" ht="12.75" hidden="false" customHeight="false" outlineLevel="0" collapsed="false">
      <c r="X1121" s="102"/>
      <c r="Y1121" s="124"/>
      <c r="Z1121" s="173"/>
      <c r="AA1121" s="122"/>
      <c r="AB1121" s="148"/>
    </row>
    <row r="1122" customFormat="false" ht="12.75" hidden="false" customHeight="false" outlineLevel="0" collapsed="false">
      <c r="X1122" s="102"/>
      <c r="Y1122" s="124"/>
      <c r="Z1122" s="173"/>
      <c r="AA1122" s="122"/>
      <c r="AB1122" s="148"/>
    </row>
    <row r="1123" customFormat="false" ht="12.75" hidden="false" customHeight="false" outlineLevel="0" collapsed="false">
      <c r="X1123" s="102"/>
      <c r="Y1123" s="124"/>
      <c r="Z1123" s="173"/>
      <c r="AA1123" s="122"/>
      <c r="AB1123" s="148"/>
    </row>
    <row r="1124" customFormat="false" ht="12.75" hidden="false" customHeight="false" outlineLevel="0" collapsed="false">
      <c r="X1124" s="102"/>
      <c r="Y1124" s="124"/>
      <c r="Z1124" s="173"/>
      <c r="AA1124" s="122"/>
      <c r="AB1124" s="148"/>
    </row>
    <row r="1125" customFormat="false" ht="12.75" hidden="false" customHeight="false" outlineLevel="0" collapsed="false">
      <c r="X1125" s="102"/>
      <c r="Y1125" s="124"/>
      <c r="Z1125" s="173"/>
      <c r="AA1125" s="122"/>
      <c r="AB1125" s="148"/>
    </row>
    <row r="1126" customFormat="false" ht="12.75" hidden="false" customHeight="false" outlineLevel="0" collapsed="false">
      <c r="X1126" s="102"/>
      <c r="Y1126" s="124"/>
      <c r="Z1126" s="173"/>
      <c r="AA1126" s="122"/>
      <c r="AB1126" s="148"/>
    </row>
    <row r="1127" customFormat="false" ht="12.75" hidden="false" customHeight="false" outlineLevel="0" collapsed="false">
      <c r="X1127" s="102"/>
      <c r="Y1127" s="124"/>
      <c r="Z1127" s="173"/>
      <c r="AA1127" s="122"/>
      <c r="AB1127" s="148"/>
    </row>
    <row r="1128" customFormat="false" ht="12.75" hidden="false" customHeight="false" outlineLevel="0" collapsed="false">
      <c r="X1128" s="102"/>
      <c r="Y1128" s="124"/>
      <c r="Z1128" s="173"/>
      <c r="AA1128" s="122"/>
      <c r="AB1128" s="148"/>
    </row>
    <row r="1129" customFormat="false" ht="12.75" hidden="false" customHeight="false" outlineLevel="0" collapsed="false">
      <c r="X1129" s="102"/>
      <c r="Y1129" s="124"/>
      <c r="Z1129" s="173"/>
      <c r="AA1129" s="122"/>
      <c r="AB1129" s="148"/>
    </row>
    <row r="1130" customFormat="false" ht="12.75" hidden="false" customHeight="false" outlineLevel="0" collapsed="false">
      <c r="X1130" s="102"/>
      <c r="Y1130" s="124"/>
      <c r="Z1130" s="173"/>
      <c r="AA1130" s="122"/>
      <c r="AB1130" s="148"/>
    </row>
    <row r="1131" customFormat="false" ht="12.75" hidden="false" customHeight="false" outlineLevel="0" collapsed="false">
      <c r="X1131" s="102"/>
      <c r="Y1131" s="124"/>
      <c r="Z1131" s="173"/>
      <c r="AA1131" s="122"/>
      <c r="AB1131" s="148"/>
    </row>
    <row r="1132" customFormat="false" ht="12.75" hidden="false" customHeight="false" outlineLevel="0" collapsed="false">
      <c r="X1132" s="102"/>
      <c r="Y1132" s="124"/>
      <c r="Z1132" s="173"/>
      <c r="AA1132" s="122"/>
      <c r="AB1132" s="148"/>
    </row>
    <row r="1133" customFormat="false" ht="12.75" hidden="false" customHeight="false" outlineLevel="0" collapsed="false">
      <c r="X1133" s="102"/>
      <c r="Y1133" s="124"/>
      <c r="Z1133" s="173"/>
      <c r="AA1133" s="122"/>
      <c r="AB1133" s="148"/>
    </row>
    <row r="1134" customFormat="false" ht="12.75" hidden="false" customHeight="false" outlineLevel="0" collapsed="false">
      <c r="X1134" s="102"/>
      <c r="Y1134" s="124"/>
      <c r="Z1134" s="173"/>
      <c r="AA1134" s="122"/>
      <c r="AB1134" s="148"/>
    </row>
    <row r="1135" customFormat="false" ht="12.75" hidden="false" customHeight="false" outlineLevel="0" collapsed="false">
      <c r="X1135" s="102"/>
      <c r="Y1135" s="124"/>
      <c r="Z1135" s="173"/>
      <c r="AA1135" s="122"/>
      <c r="AB1135" s="148"/>
    </row>
    <row r="1136" customFormat="false" ht="12.75" hidden="false" customHeight="false" outlineLevel="0" collapsed="false">
      <c r="X1136" s="102"/>
      <c r="Y1136" s="124"/>
      <c r="Z1136" s="173"/>
      <c r="AA1136" s="122"/>
      <c r="AB1136" s="148"/>
    </row>
    <row r="1137" customFormat="false" ht="12.75" hidden="false" customHeight="false" outlineLevel="0" collapsed="false">
      <c r="X1137" s="102"/>
      <c r="Y1137" s="124"/>
      <c r="Z1137" s="173"/>
      <c r="AA1137" s="122"/>
      <c r="AB1137" s="148"/>
    </row>
    <row r="1138" customFormat="false" ht="12.75" hidden="false" customHeight="false" outlineLevel="0" collapsed="false">
      <c r="X1138" s="102"/>
      <c r="Y1138" s="124"/>
      <c r="Z1138" s="173"/>
      <c r="AA1138" s="122"/>
      <c r="AB1138" s="148"/>
    </row>
    <row r="1139" customFormat="false" ht="12.75" hidden="false" customHeight="false" outlineLevel="0" collapsed="false">
      <c r="X1139" s="102"/>
      <c r="Y1139" s="124"/>
      <c r="Z1139" s="173"/>
      <c r="AA1139" s="122"/>
      <c r="AB1139" s="148"/>
    </row>
    <row r="1140" customFormat="false" ht="12.75" hidden="false" customHeight="false" outlineLevel="0" collapsed="false">
      <c r="X1140" s="102"/>
      <c r="Y1140" s="124"/>
      <c r="Z1140" s="173"/>
      <c r="AA1140" s="122"/>
      <c r="AB1140" s="148"/>
    </row>
    <row r="1141" customFormat="false" ht="12.75" hidden="false" customHeight="false" outlineLevel="0" collapsed="false">
      <c r="X1141" s="102"/>
      <c r="Y1141" s="124"/>
      <c r="Z1141" s="173"/>
      <c r="AA1141" s="122"/>
      <c r="AB1141" s="148"/>
    </row>
    <row r="1142" customFormat="false" ht="12.75" hidden="false" customHeight="false" outlineLevel="0" collapsed="false">
      <c r="X1142" s="102"/>
      <c r="Y1142" s="124"/>
      <c r="Z1142" s="173"/>
      <c r="AA1142" s="122"/>
      <c r="AB1142" s="148"/>
    </row>
    <row r="1143" customFormat="false" ht="12.75" hidden="false" customHeight="false" outlineLevel="0" collapsed="false">
      <c r="X1143" s="102"/>
      <c r="Y1143" s="124"/>
      <c r="Z1143" s="173"/>
      <c r="AA1143" s="122"/>
      <c r="AB1143" s="148"/>
    </row>
    <row r="1144" customFormat="false" ht="12.75" hidden="false" customHeight="false" outlineLevel="0" collapsed="false">
      <c r="X1144" s="102"/>
      <c r="Y1144" s="124"/>
      <c r="Z1144" s="173"/>
      <c r="AA1144" s="122"/>
      <c r="AB1144" s="148"/>
    </row>
    <row r="1145" customFormat="false" ht="12.75" hidden="false" customHeight="false" outlineLevel="0" collapsed="false">
      <c r="X1145" s="102"/>
      <c r="Y1145" s="124"/>
      <c r="Z1145" s="173"/>
      <c r="AA1145" s="122"/>
      <c r="AB1145" s="148"/>
    </row>
    <row r="1146" customFormat="false" ht="12.75" hidden="false" customHeight="false" outlineLevel="0" collapsed="false">
      <c r="X1146" s="102"/>
      <c r="Y1146" s="124"/>
      <c r="Z1146" s="173"/>
      <c r="AA1146" s="122"/>
      <c r="AB1146" s="148"/>
    </row>
    <row r="1147" customFormat="false" ht="12.75" hidden="false" customHeight="false" outlineLevel="0" collapsed="false">
      <c r="X1147" s="102"/>
      <c r="Y1147" s="124"/>
      <c r="Z1147" s="173"/>
      <c r="AA1147" s="122"/>
      <c r="AB1147" s="148"/>
    </row>
    <row r="1148" customFormat="false" ht="12.75" hidden="false" customHeight="false" outlineLevel="0" collapsed="false">
      <c r="X1148" s="102"/>
      <c r="Y1148" s="124"/>
      <c r="Z1148" s="173"/>
      <c r="AA1148" s="122"/>
      <c r="AB1148" s="148"/>
    </row>
    <row r="1149" customFormat="false" ht="12.75" hidden="false" customHeight="false" outlineLevel="0" collapsed="false">
      <c r="X1149" s="102"/>
      <c r="Y1149" s="124"/>
      <c r="Z1149" s="173"/>
      <c r="AA1149" s="122"/>
      <c r="AB1149" s="148"/>
    </row>
    <row r="1150" customFormat="false" ht="12.75" hidden="false" customHeight="false" outlineLevel="0" collapsed="false">
      <c r="X1150" s="102"/>
      <c r="Y1150" s="124"/>
      <c r="Z1150" s="173"/>
      <c r="AA1150" s="122"/>
      <c r="AB1150" s="148"/>
    </row>
    <row r="1151" customFormat="false" ht="12.75" hidden="false" customHeight="false" outlineLevel="0" collapsed="false">
      <c r="X1151" s="102"/>
      <c r="Y1151" s="124"/>
      <c r="Z1151" s="173"/>
      <c r="AA1151" s="122"/>
      <c r="AB1151" s="148"/>
    </row>
    <row r="1152" customFormat="false" ht="12.75" hidden="false" customHeight="false" outlineLevel="0" collapsed="false">
      <c r="X1152" s="102"/>
      <c r="Y1152" s="124"/>
      <c r="Z1152" s="173"/>
      <c r="AA1152" s="122"/>
      <c r="AB1152" s="148"/>
    </row>
    <row r="1153" customFormat="false" ht="12.75" hidden="false" customHeight="false" outlineLevel="0" collapsed="false">
      <c r="X1153" s="102"/>
      <c r="Y1153" s="124"/>
      <c r="Z1153" s="173"/>
      <c r="AA1153" s="122"/>
      <c r="AB1153" s="148"/>
    </row>
    <row r="1154" customFormat="false" ht="12.75" hidden="false" customHeight="false" outlineLevel="0" collapsed="false">
      <c r="X1154" s="102"/>
      <c r="Y1154" s="124"/>
      <c r="Z1154" s="173"/>
      <c r="AA1154" s="122"/>
      <c r="AB1154" s="148"/>
    </row>
    <row r="1155" customFormat="false" ht="12.75" hidden="false" customHeight="false" outlineLevel="0" collapsed="false">
      <c r="X1155" s="102"/>
      <c r="Y1155" s="124"/>
      <c r="Z1155" s="173"/>
      <c r="AA1155" s="122"/>
      <c r="AB1155" s="148"/>
    </row>
    <row r="1156" customFormat="false" ht="12.75" hidden="false" customHeight="false" outlineLevel="0" collapsed="false">
      <c r="X1156" s="102"/>
      <c r="Y1156" s="124"/>
      <c r="Z1156" s="173"/>
      <c r="AA1156" s="122"/>
      <c r="AB1156" s="148"/>
    </row>
    <row r="1157" customFormat="false" ht="12.75" hidden="false" customHeight="false" outlineLevel="0" collapsed="false">
      <c r="X1157" s="102"/>
      <c r="Y1157" s="124"/>
      <c r="Z1157" s="173"/>
      <c r="AA1157" s="122"/>
      <c r="AB1157" s="148"/>
    </row>
    <row r="1158" customFormat="false" ht="12.75" hidden="false" customHeight="false" outlineLevel="0" collapsed="false">
      <c r="X1158" s="102"/>
      <c r="Y1158" s="124"/>
      <c r="Z1158" s="173"/>
      <c r="AA1158" s="122"/>
      <c r="AB1158" s="148"/>
    </row>
    <row r="1159" customFormat="false" ht="12.75" hidden="false" customHeight="false" outlineLevel="0" collapsed="false">
      <c r="X1159" s="102"/>
      <c r="Y1159" s="124"/>
      <c r="Z1159" s="173"/>
      <c r="AA1159" s="122"/>
      <c r="AB1159" s="148"/>
    </row>
    <row r="1160" customFormat="false" ht="12.75" hidden="false" customHeight="false" outlineLevel="0" collapsed="false">
      <c r="X1160" s="102"/>
      <c r="Y1160" s="124"/>
      <c r="Z1160" s="173"/>
      <c r="AA1160" s="122"/>
      <c r="AB1160" s="148"/>
    </row>
    <row r="1161" customFormat="false" ht="12.75" hidden="false" customHeight="false" outlineLevel="0" collapsed="false">
      <c r="X1161" s="102"/>
      <c r="Y1161" s="124"/>
      <c r="Z1161" s="173"/>
      <c r="AA1161" s="122"/>
      <c r="AB1161" s="148"/>
    </row>
    <row r="1162" customFormat="false" ht="12.75" hidden="false" customHeight="false" outlineLevel="0" collapsed="false">
      <c r="X1162" s="102"/>
      <c r="Y1162" s="124"/>
      <c r="Z1162" s="173"/>
      <c r="AA1162" s="122"/>
      <c r="AB1162" s="148"/>
    </row>
    <row r="1163" customFormat="false" ht="12.75" hidden="false" customHeight="false" outlineLevel="0" collapsed="false">
      <c r="X1163" s="102"/>
      <c r="Y1163" s="124"/>
      <c r="Z1163" s="173"/>
      <c r="AA1163" s="122"/>
      <c r="AB1163" s="148"/>
    </row>
    <row r="1164" customFormat="false" ht="12.75" hidden="false" customHeight="false" outlineLevel="0" collapsed="false">
      <c r="X1164" s="102"/>
      <c r="Y1164" s="124"/>
      <c r="Z1164" s="173"/>
      <c r="AA1164" s="122"/>
      <c r="AB1164" s="148"/>
    </row>
    <row r="1165" customFormat="false" ht="12.75" hidden="false" customHeight="false" outlineLevel="0" collapsed="false">
      <c r="X1165" s="102"/>
      <c r="Y1165" s="124"/>
      <c r="Z1165" s="173"/>
      <c r="AA1165" s="122"/>
      <c r="AB1165" s="148"/>
    </row>
    <row r="1166" customFormat="false" ht="12.75" hidden="false" customHeight="false" outlineLevel="0" collapsed="false">
      <c r="X1166" s="102"/>
      <c r="Y1166" s="124"/>
      <c r="Z1166" s="173"/>
      <c r="AA1166" s="122"/>
      <c r="AB1166" s="148"/>
    </row>
    <row r="1167" customFormat="false" ht="12.75" hidden="false" customHeight="false" outlineLevel="0" collapsed="false">
      <c r="X1167" s="102"/>
      <c r="Y1167" s="124"/>
      <c r="Z1167" s="173"/>
      <c r="AA1167" s="122"/>
      <c r="AB1167" s="148"/>
    </row>
    <row r="1168" customFormat="false" ht="12.75" hidden="false" customHeight="false" outlineLevel="0" collapsed="false">
      <c r="X1168" s="102"/>
      <c r="Y1168" s="124"/>
      <c r="Z1168" s="173"/>
      <c r="AA1168" s="122"/>
      <c r="AB1168" s="148"/>
    </row>
    <row r="1169" customFormat="false" ht="12.75" hidden="false" customHeight="false" outlineLevel="0" collapsed="false">
      <c r="X1169" s="102"/>
      <c r="Y1169" s="124"/>
      <c r="Z1169" s="173"/>
      <c r="AA1169" s="122"/>
      <c r="AB1169" s="148"/>
    </row>
    <row r="1170" customFormat="false" ht="12.75" hidden="false" customHeight="false" outlineLevel="0" collapsed="false">
      <c r="X1170" s="102"/>
      <c r="Y1170" s="124"/>
      <c r="Z1170" s="173"/>
      <c r="AA1170" s="122"/>
      <c r="AB1170" s="148"/>
    </row>
    <row r="1171" customFormat="false" ht="12.75" hidden="false" customHeight="false" outlineLevel="0" collapsed="false">
      <c r="X1171" s="102"/>
      <c r="Y1171" s="124"/>
      <c r="Z1171" s="173"/>
      <c r="AA1171" s="122"/>
      <c r="AB1171" s="148"/>
    </row>
    <row r="1172" customFormat="false" ht="12.75" hidden="false" customHeight="false" outlineLevel="0" collapsed="false">
      <c r="X1172" s="102"/>
      <c r="Y1172" s="124"/>
      <c r="Z1172" s="173"/>
      <c r="AA1172" s="122"/>
      <c r="AB1172" s="148"/>
    </row>
    <row r="1173" customFormat="false" ht="12.75" hidden="false" customHeight="false" outlineLevel="0" collapsed="false">
      <c r="X1173" s="102"/>
      <c r="Y1173" s="124"/>
      <c r="Z1173" s="173"/>
      <c r="AA1173" s="122"/>
      <c r="AB1173" s="148"/>
    </row>
    <row r="1174" customFormat="false" ht="12.75" hidden="false" customHeight="false" outlineLevel="0" collapsed="false">
      <c r="X1174" s="102"/>
      <c r="Y1174" s="124"/>
      <c r="Z1174" s="173"/>
      <c r="AA1174" s="122"/>
      <c r="AB1174" s="148"/>
    </row>
    <row r="1175" customFormat="false" ht="12.75" hidden="false" customHeight="false" outlineLevel="0" collapsed="false">
      <c r="X1175" s="102"/>
      <c r="Y1175" s="124"/>
      <c r="Z1175" s="173"/>
      <c r="AA1175" s="122"/>
      <c r="AB1175" s="148"/>
    </row>
    <row r="1176" customFormat="false" ht="12.75" hidden="false" customHeight="false" outlineLevel="0" collapsed="false">
      <c r="X1176" s="102"/>
      <c r="Y1176" s="124"/>
      <c r="Z1176" s="173"/>
      <c r="AA1176" s="122"/>
      <c r="AB1176" s="148"/>
    </row>
    <row r="1177" customFormat="false" ht="12.75" hidden="false" customHeight="false" outlineLevel="0" collapsed="false">
      <c r="X1177" s="102"/>
      <c r="Y1177" s="124"/>
      <c r="Z1177" s="173"/>
      <c r="AA1177" s="122"/>
      <c r="AB1177" s="148"/>
    </row>
    <row r="1178" customFormat="false" ht="12.75" hidden="false" customHeight="false" outlineLevel="0" collapsed="false">
      <c r="X1178" s="102"/>
      <c r="Y1178" s="124"/>
      <c r="Z1178" s="173"/>
      <c r="AA1178" s="122"/>
      <c r="AB1178" s="148"/>
    </row>
    <row r="1179" customFormat="false" ht="12.75" hidden="false" customHeight="false" outlineLevel="0" collapsed="false">
      <c r="X1179" s="102"/>
      <c r="Y1179" s="124"/>
      <c r="Z1179" s="173"/>
      <c r="AA1179" s="122"/>
      <c r="AB1179" s="148"/>
    </row>
    <row r="1180" customFormat="false" ht="12.75" hidden="false" customHeight="false" outlineLevel="0" collapsed="false">
      <c r="X1180" s="102"/>
      <c r="Y1180" s="124"/>
      <c r="Z1180" s="173"/>
      <c r="AA1180" s="122"/>
      <c r="AB1180" s="148"/>
    </row>
    <row r="1181" customFormat="false" ht="12.75" hidden="false" customHeight="false" outlineLevel="0" collapsed="false">
      <c r="X1181" s="102"/>
      <c r="Y1181" s="124"/>
      <c r="Z1181" s="173"/>
      <c r="AA1181" s="122"/>
      <c r="AB1181" s="148"/>
    </row>
    <row r="1182" customFormat="false" ht="12.75" hidden="false" customHeight="false" outlineLevel="0" collapsed="false">
      <c r="X1182" s="102"/>
      <c r="Y1182" s="124"/>
      <c r="Z1182" s="173"/>
      <c r="AA1182" s="122"/>
      <c r="AB1182" s="148"/>
    </row>
    <row r="1183" customFormat="false" ht="12.75" hidden="false" customHeight="false" outlineLevel="0" collapsed="false">
      <c r="X1183" s="102"/>
      <c r="Y1183" s="124"/>
      <c r="Z1183" s="173"/>
      <c r="AA1183" s="122"/>
      <c r="AB1183" s="148"/>
    </row>
  </sheetData>
  <mergeCells count="2">
    <mergeCell ref="I1:V2"/>
    <mergeCell ref="W1:AE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K15"/>
  <sheetViews>
    <sheetView showFormulas="false" showGridLines="true" showRowColHeaders="true" showZeros="true" rightToLeft="false" tabSelected="true" showOutlineSymbols="true" defaultGridColor="false" view="normal" topLeftCell="A1" colorId="17" zoomScale="100" zoomScaleNormal="100" zoomScalePageLayoutView="100" workbookViewId="0">
      <selection pane="topLeft" activeCell="F10" activeCellId="0" sqref="F10"/>
    </sheetView>
  </sheetViews>
  <sheetFormatPr defaultColWidth="9.13671875" defaultRowHeight="12.75" customHeight="true" zeroHeight="false" outlineLevelRow="0" outlineLevelCol="0"/>
  <cols>
    <col collapsed="false" customWidth="true" hidden="false" outlineLevel="0" max="1" min="1" style="174" width="1.85"/>
    <col collapsed="false" customWidth="true" hidden="false" outlineLevel="0" max="2" min="2" style="174" width="16.99"/>
    <col collapsed="false" customWidth="false" hidden="false" outlineLevel="0" max="4" min="3" style="174" width="9.14"/>
    <col collapsed="false" customWidth="true" hidden="false" outlineLevel="0" max="5" min="5" style="174" width="64.13"/>
    <col collapsed="false" customWidth="false" hidden="false" outlineLevel="0" max="257" min="6" style="174" width="9.14"/>
  </cols>
  <sheetData>
    <row r="1" customFormat="false" ht="6" hidden="false" customHeight="true" outlineLevel="0" collapsed="false"/>
    <row r="2" customFormat="false" ht="15" hidden="false" customHeight="false" outlineLevel="0" collapsed="false">
      <c r="B2" s="175"/>
      <c r="C2" s="176"/>
    </row>
    <row r="3" customFormat="false" ht="12.75" hidden="false" customHeight="false" outlineLevel="0" collapsed="false">
      <c r="B3" s="176"/>
      <c r="C3" s="176"/>
    </row>
    <row r="6" customFormat="false" ht="33.75" hidden="false" customHeight="false" outlineLevel="0" collapsed="false">
      <c r="E6" s="177" t="s">
        <v>248</v>
      </c>
      <c r="F6" s="174" t="s">
        <v>249</v>
      </c>
    </row>
    <row r="8" customFormat="false" ht="20.25" hidden="false" customHeight="false" outlineLevel="0" collapsed="false">
      <c r="E8" s="178" t="s">
        <v>250</v>
      </c>
    </row>
    <row r="13" customFormat="false" ht="99" hidden="false" customHeight="true" outlineLevel="0" collapsed="false">
      <c r="E13" s="179" t="s">
        <v>251</v>
      </c>
      <c r="F13" s="179"/>
      <c r="G13" s="179"/>
      <c r="H13" s="179"/>
      <c r="I13" s="179"/>
      <c r="J13" s="179"/>
      <c r="K13" s="179"/>
    </row>
    <row r="14" customFormat="false" ht="15" hidden="false" customHeight="true" outlineLevel="0" collapsed="false"/>
    <row r="15" customFormat="false" ht="33" hidden="false" customHeight="true" outlineLevel="0" collapsed="false">
      <c r="E15" s="179" t="s">
        <v>252</v>
      </c>
      <c r="F15" s="179"/>
      <c r="G15" s="179"/>
      <c r="H15" s="179"/>
      <c r="I15" s="179"/>
      <c r="J15" s="179"/>
      <c r="K15" s="179"/>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3">
              <controlPr defaultSize="0" print="false" autoFill="0" autoPict="0" macro="Module1.startup">
                <anchor moveWithCells="true" sizeWithCells="false">
                  <from>
                    <xdr:col>4</xdr:col>
                    <xdr:colOff>1351080</xdr:colOff>
                    <xdr:row>9</xdr:row>
                    <xdr:rowOff>9360</xdr:rowOff>
                  </from>
                  <to>
                    <xdr:col>5</xdr:col>
                    <xdr:colOff>-1236240</xdr:colOff>
                    <xdr:row>10</xdr:row>
                    <xdr:rowOff>152280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2000-03-26T23:34:15Z</dcterms:created>
  <dc:creator>Steven</dc:creator>
  <dc:description/>
  <dc:language>en-US</dc:language>
  <cp:lastModifiedBy>Steven</cp:lastModifiedBy>
  <cp:lastPrinted>2000-04-01T23:07:21Z</cp:lastPrinted>
  <dcterms:modified xsi:type="dcterms:W3CDTF">2000-10-17T20:12:32Z</dcterms:modified>
  <cp:revision>0</cp:revision>
  <dc:subject/>
  <dc:title/>
</cp:coreProperties>
</file>