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Shares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12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37</xdr:row>
                <xdr:rowOff>18</xdr:rowOff>
              </xdr:from>
              <xdr:to>
                <xdr:col>10</xdr:col>
                <xdr:colOff>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<sst xmlns="http://schemas.openxmlformats.org/spreadsheetml/2006/main" count="314" uniqueCount="227">
  <si>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</si>
  <si>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</si>
  <si>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</si>
  <si>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</si>
  <si>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</si>
  <si>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</si>
  <si>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</si>
  <si>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</si>
  <si>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</si>
  <si>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</si>
  <si>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</si>
  <si>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</si>
  <si>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</si>
  <si>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</si>
  <si>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</si>
  <si>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</si>
  <si>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</si>
  <si>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</si>
  <si>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</si>
  <si>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</si>
  <si>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</si>
  <si>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</si>
  <si>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</si>
  <si>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</si>
  <si>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</si>
  <si>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</si>
  <si>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</si>
  <si>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</si>
  <si>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</si>
  <si>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</si>
  <si>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</si>
  <si>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</si>
  <si>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</si>
  <si>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</si>
  <si>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</si>
  <si>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</si>
  <si>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</si>
  <si>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</si>
  <si>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</si>
  <si>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</si>
  <si>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</si>
  <si>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</si>
  <si>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</si>
  <si>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</si>
  <si>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</si>
  <si>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</si>
  <si>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</si>
  <si>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</si>
  <si>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</si>
  <si>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</si>
  <si>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</si>
  <si>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</si>
  <si>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</si>
  <si>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</si>
  <si>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</si>
  <si>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</si>
  <si>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</si>
  <si>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</si>
  <si>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</si>
  <si>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</si>
  <si>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</si>
  <si>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</si>
  <si>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</si>
  <si>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</si>
  <si>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</si>
  <si>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</si>
  <si>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</si>
  <si>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</si>
  <si>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</si>
  <si>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</si>
  <si>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Swap Obligation</t>
  </si>
  <si>
    <t xml:space="preserve">Income Statement</t>
  </si>
  <si>
    <t xml:space="preserve">Collar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</si>
  <si>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</si>
  <si>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</si>
  <si>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</si>
  <si>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</si>
  <si>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</si>
  <si>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</si>
  <si>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</si>
  <si>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</si>
  <si>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</si>
  <si>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</si>
  <si>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</si>
  <si>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</si>
  <si>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</si>
  <si>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</si>
  <si>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</si>
  <si>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</si>
  <si>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</si>
  <si>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</si>
  <si>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</si>
  <si>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</si>
  <si>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</si>
  <si>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</si>
  <si>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</si>
  <si>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</si>
  <si>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Costs Paid by Enron</t>
  </si>
  <si>
    <t xml:space="preserve">3 Percent Test</t>
  </si>
  <si>
    <t xml:space="preserve">Reserve for Shares</t>
  </si>
  <si>
    <t xml:space="preserve">Put Option Exposure</t>
  </si>
  <si>
    <t xml:space="preserve">Unrealized Gains / (Losses)</t>
  </si>
  <si>
    <t xml:space="preserve">Swap Exposure</t>
  </si>
  <si>
    <t xml:space="preserve">Plus Costs paid by Enron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</si>
  <si>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</si>
  <si>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</si>
  <si>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</si>
  <si>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</si>
  <si>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</si>
  <si>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</si>
  <si>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f</t>
  </si>
  <si>
    <t xml:space="preserve">Required Third Party Capitalization</t>
  </si>
  <si>
    <t xml:space="preserve">     Subtotal</t>
  </si>
  <si>
    <t xml:space="preserve">Net Gain/(Loss)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</si>
  <si>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</si>
  <si>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</si>
  <si>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</si>
  <si>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</si>
  <si>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</si>
  <si>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</si>
  <si>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</si>
  <si>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</si>
  <si>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</si>
  <si>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</si>
  <si>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</si>
  <si>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</si>
  <si>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</si>
  <si>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</si>
  <si>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</si>
  <si>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</si>
  <si>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</si>
  <si>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</si>
  <si>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</si>
  <si>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</si>
  <si>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</si>
  <si>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</si>
  <si>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</si>
  <si>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$83 per share and Call at $112.418 included</t>
  </si>
  <si>
    <t xml:space="preserve">     Ending LJM Capital</t>
  </si>
  <si>
    <t xml:space="preserve">     Ending ENE Capital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</si>
  <si>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</si>
  <si>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</si>
  <si>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</si>
  <si>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</si>
  <si>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Existing Notional</t>
  </si>
  <si>
    <t xml:space="preserve">Realized Losses</t>
  </si>
  <si>
    <t xml:space="preserve">Remaining Notional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</si>
  <si>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</si>
  <si>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</si>
  <si>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</si>
  <si>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</si>
  <si>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</si>
  <si>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</si>
  <si>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</si>
  <si>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</si>
  <si>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</si>
  <si>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</si>
  <si>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</si>
  <si>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</si>
  <si>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</si>
  <si>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</si>
  <si>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</si>
  <si>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</si>
  <si>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</si>
  <si>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</si>
  <si>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</si>
  <si>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</si>
  <si>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</si>
  <si>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</si>
  <si>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</si>
  <si>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</si>
  <si>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</si>
  <si>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</si>
  <si>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</si>
  <si>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</si>
  <si>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</si>
  <si>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</si>
  <si>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</si>
  <si>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</si>
  <si>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</si>
  <si>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</si>
  <si>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</si>
  <si>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</si>
  <si>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</si>
  <si>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</si>
  <si>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</si>
  <si>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</si>
  <si>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</si>
  <si>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</si>
  <si>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</si>
  <si>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</si>
  <si>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</si>
  <si>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</si>
  <si>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</si>
  <si>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</si>
  <si>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</si>
  <si>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</si>
  <si>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</si>
  <si>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</si>
  <si>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</si>
  <si>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</si>
  <si>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</si>
  <si>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</si>
  <si>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</si>
  <si>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</si>
  <si>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</si>
  <si>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</si>
  <si>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</si>
  <si>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</si>
  <si>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</si>
  <si>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</si>
  <si>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</si>
  <si>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</si>
  <si>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</si>
  <si>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</si>
  <si>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</si>
  <si>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</si>
  <si>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</si>
  <si>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</si>
  <si>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</si>
  <si>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</si>
  <si>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</si>
  <si>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</si>
  <si>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Amortization</t>
  </si>
  <si>
    <t xml:space="preserve">Balance</t>
  </si>
  <si>
    <t xml:space="preserve">Shares Available</t>
  </si>
  <si>
    <t xml:space="preserve">Balance Sheet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</si>
</sst>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36934</v>
      </c>
      <c r="D5" s="10" t="s">
        <v>3</v>
      </c>
      <c r="E5" s="11" t="n">
        <f aca="false">+C5-1</f>
        <v>36933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IF(+Financials!P49&lt;0,"No Capacity Available",+Financials!P49)</f>
        <v>522376483.443709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+Financials!I37</f>
        <v>190360123.368608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96" activePane="bottomLeft" state="frozen"/>
      <selection pane="topLeft" activeCell="A1" activeCellId="0" sqref="A1"/>
      <selection pane="bottomLeft" activeCell="C117" activeCellId="0" sqref="C1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v>77.5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v>81.75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v>82.938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v>81.25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v>77.75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v>65.5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B12" colorId="64" zoomScale="100" zoomScaleNormal="100" zoomScalePageLayoutView="100" workbookViewId="0">
      <selection pane="topLeft" activeCell="I19" activeCellId="0" sqref="I1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36934</v>
      </c>
      <c r="I2" s="70"/>
      <c r="J2" s="71"/>
      <c r="L2" s="70" t="n">
        <f aca="false">H2</f>
        <v>36934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79.8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0.0692833333333333</v>
      </c>
      <c r="J6" s="67"/>
      <c r="L6" s="82" t="s">
        <v>59</v>
      </c>
      <c r="M6" s="83" t="n">
        <f aca="false">H2</f>
        <v>36934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33031009.4433024</v>
      </c>
      <c r="O8" s="66" t="s">
        <v>67</v>
      </c>
      <c r="P8" s="66" t="n">
        <f aca="false">+E6-'Cash-Int-Trans'!B4+'Cash-Int-Trans'!B8</f>
        <v>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  <c r="O9" s="66" t="s">
        <v>70</v>
      </c>
      <c r="P9" s="66" t="n">
        <f aca="false">IF(I21&gt;0,0,-I21)</f>
        <v>-0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71</v>
      </c>
      <c r="I10" s="93"/>
      <c r="J10" s="67"/>
      <c r="L10" s="66" t="s">
        <v>63</v>
      </c>
      <c r="M10" s="66" t="n">
        <f aca="false">B8+I15+I20</f>
        <v>378166489.905822</v>
      </c>
      <c r="N10" s="87"/>
      <c r="O10" s="66" t="s">
        <v>72</v>
      </c>
      <c r="P10" s="66" t="n">
        <f aca="false">IF(I19&lt;0,-I19,0)</f>
        <v>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73</v>
      </c>
      <c r="D11" s="94" t="s">
        <v>6</v>
      </c>
      <c r="E11" s="95" t="n">
        <f aca="false">SUM(E6:E10)</f>
        <v>471001000</v>
      </c>
      <c r="F11" s="90"/>
      <c r="H11" s="97" t="s">
        <v>74</v>
      </c>
      <c r="I11" s="98" t="n">
        <f aca="false">H2</f>
        <v>36934</v>
      </c>
      <c r="J11" s="67"/>
      <c r="L11" s="66" t="s">
        <v>75</v>
      </c>
      <c r="M11" s="66" t="n">
        <f aca="false">+Amort!B28</f>
        <v>1604166.66666667</v>
      </c>
      <c r="O11" s="66" t="s">
        <v>61</v>
      </c>
      <c r="P11" s="66" t="n">
        <f aca="false">E7-I16+'Cash-Int-Trans'!B9</f>
        <v>419335787.741361</v>
      </c>
      <c r="R11" s="26"/>
    </row>
    <row r="12" customFormat="false" ht="16.5" hidden="false" customHeight="false" outlineLevel="0" collapsed="false">
      <c r="H12" s="67" t="s">
        <v>76</v>
      </c>
      <c r="I12" s="92" t="n">
        <f aca="false">+'Cash-Int-Trans'!B6</f>
        <v>34518969</v>
      </c>
      <c r="J12" s="99" t="s">
        <v>77</v>
      </c>
    </row>
    <row r="13" customFormat="false" ht="15.75" hidden="false" customHeight="false" outlineLevel="0" collapsed="false">
      <c r="A13" s="100" t="s">
        <v>78</v>
      </c>
      <c r="D13" s="101" t="s">
        <v>79</v>
      </c>
      <c r="E13" s="101" t="s">
        <v>32</v>
      </c>
      <c r="F13" s="102"/>
      <c r="H13" s="67" t="s">
        <v>80</v>
      </c>
      <c r="I13" s="92" t="n">
        <f aca="false">+'Cash-Int-Trans'!B38</f>
        <v>2499693.4433024</v>
      </c>
      <c r="J13" s="99"/>
      <c r="L13" s="66" t="s">
        <v>81</v>
      </c>
      <c r="M13" s="66" t="n">
        <f aca="false">IF(I19&gt;0,I19,0)</f>
        <v>20243344</v>
      </c>
      <c r="O13" s="66" t="s">
        <v>68</v>
      </c>
      <c r="P13" s="66" t="n">
        <f aca="false">IF(+I25+I36+'Cash-Int-Trans'!D70-'Cash-Int-Trans'!D69&gt;'Cash-Int-Trans'!D70,'Cash-Int-Trans'!D70,IF(+I25+I36+'Cash-Int-Trans'!D70&lt;0,0,+I25+I36+'Cash-Int-Trans'!D70-'Cash-Int-Trans'!D69))</f>
        <v>30000000</v>
      </c>
      <c r="Q13" s="103" t="s">
        <v>82</v>
      </c>
    </row>
    <row r="14" customFormat="false" ht="15.75" hidden="false" customHeight="false" outlineLevel="0" collapsed="false">
      <c r="D14" s="104"/>
      <c r="E14" s="105"/>
      <c r="H14" s="67" t="s">
        <v>83</v>
      </c>
      <c r="I14" s="92" t="n">
        <f aca="false">+Amort!B29</f>
        <v>1604166.66666667</v>
      </c>
      <c r="J14" s="67"/>
      <c r="L14" s="66" t="s">
        <v>84</v>
      </c>
      <c r="M14" s="66" t="n">
        <f aca="false">IF(I21&gt;0,I21,0)</f>
        <v>0</v>
      </c>
      <c r="O14" s="66" t="s">
        <v>43</v>
      </c>
      <c r="P14" s="66" t="n">
        <f aca="false">M15-SUM(P8:P13)</f>
        <v>33709222.2744299</v>
      </c>
    </row>
    <row r="15" customFormat="false" ht="16.5" hidden="false" customHeight="false" outlineLevel="0" collapsed="false">
      <c r="A15" s="66" t="s">
        <v>85</v>
      </c>
      <c r="B15" s="106" t="n">
        <f aca="false">D15*E15</f>
        <v>536923069.375</v>
      </c>
      <c r="D15" s="107" t="n">
        <v>6326045</v>
      </c>
      <c r="E15" s="105" t="n">
        <v>84.875</v>
      </c>
      <c r="H15" s="67" t="s">
        <v>86</v>
      </c>
      <c r="I15" s="92" t="n">
        <f aca="false">-B17*(H2-A3)/(3*365)</f>
        <v>28166489.9058219</v>
      </c>
      <c r="J15" s="108" t="s">
        <v>87</v>
      </c>
      <c r="L15" s="94" t="s">
        <v>6</v>
      </c>
      <c r="M15" s="95" t="n">
        <f aca="false">SUM(M8:M14)</f>
        <v>483045010.015791</v>
      </c>
      <c r="N15" s="96"/>
      <c r="O15" s="94" t="s">
        <v>6</v>
      </c>
      <c r="P15" s="95" t="n">
        <f aca="false">SUM(P8:P14)</f>
        <v>483045010.015791</v>
      </c>
      <c r="Q15" s="109" t="s">
        <v>88</v>
      </c>
    </row>
    <row r="16" customFormat="false" ht="16.5" hidden="false" customHeight="false" outlineLevel="0" collapsed="false">
      <c r="A16" s="66" t="s">
        <v>89</v>
      </c>
      <c r="B16" s="66" t="n">
        <f aca="false">SUM(B14:B15)</f>
        <v>536923069.375</v>
      </c>
      <c r="H16" s="67" t="s">
        <v>90</v>
      </c>
      <c r="I16" s="110" t="n">
        <f aca="false">-'Cash-Int-Trans'!B53</f>
        <v>-12854756.7413611</v>
      </c>
      <c r="J16" s="67"/>
      <c r="P16" s="66" t="n">
        <f aca="false">M15-P15</f>
        <v>0</v>
      </c>
      <c r="Q16" s="90" t="str">
        <f aca="false">IF(ROUND(P16,0)=0,"","8/31/00 Balance Sheet does not Balance!")</f>
        <v/>
      </c>
    </row>
    <row r="17" customFormat="false" ht="15.75" hidden="false" customHeight="false" outlineLevel="0" collapsed="false">
      <c r="A17" s="66" t="s">
        <v>91</v>
      </c>
      <c r="B17" s="66" t="n">
        <f aca="false">350000000-B16</f>
        <v>-186923069.375</v>
      </c>
      <c r="C17" s="111" t="s">
        <v>92</v>
      </c>
      <c r="D17" s="112" t="n">
        <f aca="false">1-350000000/B16</f>
        <v>0.348137526652721</v>
      </c>
      <c r="I17" s="66" t="n">
        <f aca="false">SUM(I12:I16)</f>
        <v>53934562.2744299</v>
      </c>
      <c r="L17" s="113" t="s">
        <v>93</v>
      </c>
      <c r="M17" s="93"/>
      <c r="N17" s="93"/>
      <c r="O17" s="93"/>
      <c r="P17" s="93"/>
      <c r="Q17" s="92"/>
    </row>
    <row r="18" customFormat="false" ht="16.5" hidden="false" customHeight="false" outlineLevel="0" collapsed="false">
      <c r="A18" s="66" t="s">
        <v>94</v>
      </c>
      <c r="B18" s="95" t="n">
        <f aca="false">B16+B17</f>
        <v>350000000</v>
      </c>
      <c r="C18" s="87" t="s">
        <v>64</v>
      </c>
      <c r="I18" s="66"/>
      <c r="L18" s="114" t="s">
        <v>95</v>
      </c>
      <c r="M18" s="114"/>
      <c r="P18" s="66" t="n">
        <f aca="false">M15</f>
        <v>483045010.015791</v>
      </c>
      <c r="Q18" s="109" t="s">
        <v>88</v>
      </c>
    </row>
    <row r="19" customFormat="false" ht="16.5" hidden="false" customHeight="false" outlineLevel="0" collapsed="false">
      <c r="H19" s="66" t="s">
        <v>96</v>
      </c>
      <c r="I19" s="66" t="n">
        <f aca="false">IF(I5&lt;83,(83-I5)*(D14+D15),IF(I5&gt;112.418,(112.418-I5)*(+D14+D15),0))</f>
        <v>20243344</v>
      </c>
      <c r="L19" s="66" t="s">
        <v>97</v>
      </c>
      <c r="P19" s="66" t="n">
        <v>1000000</v>
      </c>
      <c r="T19" s="115"/>
    </row>
    <row r="20" customFormat="false" ht="16.5" hidden="false" customHeight="false" outlineLevel="0" collapsed="false">
      <c r="A20" s="116" t="s">
        <v>98</v>
      </c>
      <c r="B20" s="116"/>
      <c r="C20" s="116"/>
      <c r="D20" s="116"/>
      <c r="E20" s="116"/>
      <c r="H20" s="66" t="s">
        <v>99</v>
      </c>
      <c r="I20" s="68" t="n">
        <f aca="false">-Shares!D30</f>
        <v>-0</v>
      </c>
      <c r="J20" s="67"/>
      <c r="L20" s="66" t="s">
        <v>100</v>
      </c>
      <c r="M20" s="117" t="n">
        <f aca="false">IF(P8=0,0,+D23*D24)</f>
        <v>0</v>
      </c>
      <c r="N20" s="117"/>
      <c r="O20" s="117" t="n">
        <f aca="false">-P8</f>
        <v>-0</v>
      </c>
      <c r="P20" s="66" t="n">
        <f aca="false">+M20+O20</f>
        <v>0</v>
      </c>
    </row>
    <row r="21" customFormat="false" ht="15.75" hidden="false" customHeight="false" outlineLevel="0" collapsed="false">
      <c r="A21" s="118" t="s">
        <v>95</v>
      </c>
      <c r="B21" s="118"/>
      <c r="E21" s="66" t="n">
        <f aca="false">B11</f>
        <v>471001000</v>
      </c>
      <c r="F21" s="119" t="s">
        <v>73</v>
      </c>
      <c r="H21" s="66" t="s">
        <v>101</v>
      </c>
      <c r="I21" s="66" t="n">
        <f aca="false">+'Daily Position'!L7</f>
        <v>0</v>
      </c>
      <c r="K21" s="66"/>
      <c r="L21" s="66" t="s">
        <v>102</v>
      </c>
      <c r="M21" s="117"/>
      <c r="N21" s="117"/>
      <c r="O21" s="117"/>
      <c r="P21" s="106" t="n">
        <f aca="false">+M21+O21</f>
        <v>0</v>
      </c>
    </row>
    <row r="22" customFormat="false" ht="15.75" hidden="false" customHeight="false" outlineLevel="0" collapsed="false">
      <c r="A22" s="66" t="s">
        <v>103</v>
      </c>
      <c r="E22" s="66" t="n">
        <v>1000000</v>
      </c>
      <c r="H22" s="66" t="s">
        <v>104</v>
      </c>
      <c r="I22" s="106" t="n">
        <f aca="false">+'Daily Position'!M7</f>
        <v>0</v>
      </c>
      <c r="J22" s="67"/>
      <c r="K22" s="66"/>
      <c r="L22" s="66" t="s">
        <v>105</v>
      </c>
      <c r="P22" s="66" t="n">
        <f aca="false">SUM(P18:P21)</f>
        <v>484045010.015791</v>
      </c>
    </row>
    <row r="23" customFormat="false" ht="15.75" hidden="false" customHeight="false" outlineLevel="0" collapsed="false">
      <c r="A23" s="66" t="s">
        <v>106</v>
      </c>
      <c r="B23" s="66" t="s">
        <v>79</v>
      </c>
      <c r="D23" s="66" t="n">
        <v>7120901</v>
      </c>
      <c r="H23" s="0"/>
      <c r="I23" s="120" t="n">
        <f aca="false">SUM(I19:I22)</f>
        <v>20243344</v>
      </c>
      <c r="J23" s="67"/>
      <c r="L23" s="66" t="s">
        <v>107</v>
      </c>
      <c r="P23" s="121" t="n">
        <f aca="false">E28</f>
        <v>0.0302</v>
      </c>
    </row>
    <row r="24" customFormat="false" ht="15.75" hidden="false" customHeight="false" outlineLevel="0" collapsed="false">
      <c r="A24" s="66" t="s">
        <v>108</v>
      </c>
      <c r="B24" s="66" t="s">
        <v>109</v>
      </c>
      <c r="D24" s="105" t="n">
        <f aca="false">78+0.6953125</f>
        <v>78.6953125</v>
      </c>
      <c r="E24" s="106" t="n">
        <f aca="false">D23*D24</f>
        <v>560381529.476563</v>
      </c>
      <c r="H24" s="122"/>
      <c r="I24" s="123"/>
      <c r="J24" s="124" t="s">
        <v>110</v>
      </c>
      <c r="L24" s="66" t="s">
        <v>111</v>
      </c>
      <c r="P24" s="66" t="n">
        <f aca="false">P22*P23</f>
        <v>14618159.3024769</v>
      </c>
    </row>
    <row r="25" customFormat="false" ht="16.5" hidden="false" customHeight="false" outlineLevel="0" collapsed="false">
      <c r="A25" s="66" t="s">
        <v>112</v>
      </c>
      <c r="E25" s="26" t="n">
        <f aca="false">SUM(E21:E24)</f>
        <v>1032382529.47656</v>
      </c>
      <c r="H25" s="125" t="s">
        <v>113</v>
      </c>
      <c r="I25" s="126" t="n">
        <f aca="false">I23+I17</f>
        <v>74177906.2744299</v>
      </c>
      <c r="J25" s="67"/>
      <c r="L25" s="66" t="s">
        <v>114</v>
      </c>
      <c r="P25" s="66" t="n">
        <f aca="false">P13</f>
        <v>30000000</v>
      </c>
      <c r="Q25" s="103" t="s">
        <v>82</v>
      </c>
    </row>
    <row r="26" customFormat="false" ht="16.5" hidden="false" customHeight="false" outlineLevel="0" collapsed="false">
      <c r="A26" s="66" t="s">
        <v>115</v>
      </c>
      <c r="E26" s="106" t="n">
        <f aca="false">E6</f>
        <v>41000000</v>
      </c>
      <c r="F26" s="80" t="s">
        <v>57</v>
      </c>
      <c r="H26" s="93" t="s">
        <v>116</v>
      </c>
      <c r="I26" s="93"/>
      <c r="J26" s="67"/>
      <c r="K26" s="66"/>
      <c r="L26" s="127" t="s">
        <v>117</v>
      </c>
      <c r="M26" s="120"/>
      <c r="N26" s="120"/>
      <c r="O26" s="120"/>
      <c r="P26" s="128" t="str">
        <f aca="false">IF(P25&gt;=P24,"Test Passed","Test Failed")</f>
        <v>Test Passed</v>
      </c>
      <c r="Q26" s="103"/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118</v>
      </c>
      <c r="I27" s="92"/>
      <c r="J27" s="91" t="s">
        <v>69</v>
      </c>
      <c r="L27" s="67" t="s">
        <v>119</v>
      </c>
      <c r="M27" s="67"/>
      <c r="N27" s="67"/>
      <c r="O27" s="67"/>
      <c r="P27" s="67" t="n">
        <f aca="false">P25-P24</f>
        <v>15381840.6975231</v>
      </c>
    </row>
    <row r="28" customFormat="false" ht="15.75" hidden="false" customHeight="false" outlineLevel="0" collapsed="false">
      <c r="A28" s="66" t="s">
        <v>107</v>
      </c>
      <c r="E28" s="121" t="n">
        <v>0.0302</v>
      </c>
      <c r="H28" s="67" t="s">
        <v>120</v>
      </c>
      <c r="I28" s="92" t="n">
        <f aca="false">E9</f>
        <v>30000000</v>
      </c>
      <c r="J28" s="129" t="s">
        <v>92</v>
      </c>
      <c r="L28" s="125" t="s">
        <v>121</v>
      </c>
      <c r="M28" s="125"/>
      <c r="N28" s="125"/>
      <c r="O28" s="125"/>
      <c r="P28" s="125" t="n">
        <f aca="false">IF(P27&lt;0,0,P27/P23)</f>
        <v>509332473.427918</v>
      </c>
    </row>
    <row r="29" customFormat="false" ht="15.75" hidden="false" customHeight="false" outlineLevel="0" collapsed="false">
      <c r="A29" s="66" t="s">
        <v>111</v>
      </c>
      <c r="E29" s="66" t="n">
        <f aca="false">E27*E28</f>
        <v>29939752.3901922</v>
      </c>
      <c r="H29" s="67" t="s">
        <v>122</v>
      </c>
      <c r="I29" s="110" t="n">
        <f aca="false">-B17</f>
        <v>186923069.375</v>
      </c>
      <c r="J29" s="67"/>
    </row>
    <row r="30" customFormat="false" ht="15.75" hidden="false" customHeight="false" outlineLevel="0" collapsed="false">
      <c r="A30" s="66" t="s">
        <v>114</v>
      </c>
      <c r="E30" s="66" t="n">
        <f aca="false">E9</f>
        <v>30000000</v>
      </c>
      <c r="F30" s="91" t="s">
        <v>69</v>
      </c>
      <c r="H30" s="67" t="s">
        <v>123</v>
      </c>
      <c r="I30" s="92" t="n">
        <f aca="false">SUM(I28:I29)</f>
        <v>216923069.375</v>
      </c>
      <c r="J30" s="67"/>
      <c r="L30" s="130" t="s">
        <v>124</v>
      </c>
      <c r="M30" s="130"/>
    </row>
    <row r="31" customFormat="false" ht="15.75" hidden="false" customHeight="false" outlineLevel="0" collapsed="false">
      <c r="A31" s="127" t="s">
        <v>117</v>
      </c>
      <c r="B31" s="120"/>
      <c r="C31" s="120"/>
      <c r="D31" s="120"/>
      <c r="E31" s="128" t="str">
        <f aca="false">IF(E30&gt;=E29,"Test Passed","Test Failed")</f>
        <v>Test Passed</v>
      </c>
      <c r="H31" s="67"/>
      <c r="I31" s="92"/>
      <c r="J31" s="124" t="s">
        <v>110</v>
      </c>
      <c r="L31" s="66" t="s">
        <v>125</v>
      </c>
    </row>
    <row r="32" customFormat="false" ht="15.75" hidden="false" customHeight="false" outlineLevel="0" collapsed="false">
      <c r="H32" s="67" t="s">
        <v>126</v>
      </c>
      <c r="I32" s="92" t="n">
        <f aca="false">I25</f>
        <v>74177906.2744299</v>
      </c>
      <c r="J32" s="124"/>
      <c r="L32" s="66" t="s">
        <v>127</v>
      </c>
      <c r="M32" s="66" t="n">
        <f aca="false">E9+'Cash-Int-Trans'!B13</f>
        <v>30000000</v>
      </c>
    </row>
    <row r="33" customFormat="false" ht="15.75" hidden="false" customHeight="false" outlineLevel="0" collapsed="false">
      <c r="A33" s="0"/>
      <c r="B33" s="0"/>
      <c r="C33" s="0"/>
      <c r="E33" s="0"/>
      <c r="H33" s="67" t="s">
        <v>128</v>
      </c>
      <c r="I33" s="92" t="n">
        <f aca="false">(+D15-Shares!B30)*(I5-E15)</f>
        <v>-32104678.375</v>
      </c>
      <c r="L33" s="66" t="s">
        <v>129</v>
      </c>
      <c r="M33" s="106" t="n">
        <f aca="false">E10</f>
        <v>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6" t="s">
        <v>130</v>
      </c>
      <c r="I34" s="68" t="n">
        <f aca="false">+'Cash-Int-Trans'!B13</f>
        <v>0</v>
      </c>
      <c r="J34" s="108" t="s">
        <v>87</v>
      </c>
      <c r="M34" s="66" t="n">
        <f aca="false">SUM(M32:M33)</f>
        <v>30001000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131</v>
      </c>
      <c r="I35" s="92" t="n">
        <f aca="false">-I29-Shares!D24-Shares!D26</f>
        <v>-28166489.9058219</v>
      </c>
      <c r="J35" s="131"/>
      <c r="L35" s="66" t="s">
        <v>132</v>
      </c>
      <c r="M35" s="66" t="n">
        <f aca="false">I25</f>
        <v>74177906.2744299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67" t="s">
        <v>133</v>
      </c>
      <c r="I36" s="92" t="n">
        <f aca="false">+'Cash-Int-Trans'!B12</f>
        <v>-40469684</v>
      </c>
      <c r="J36" s="67"/>
      <c r="L36" s="66" t="s">
        <v>134</v>
      </c>
      <c r="M36" s="106" t="n">
        <f aca="false">I36</f>
        <v>-40469684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25" t="s">
        <v>135</v>
      </c>
      <c r="I37" s="132" t="n">
        <f aca="false">SUM(I30:I36)</f>
        <v>190360123.368608</v>
      </c>
      <c r="K37" s="66"/>
      <c r="L37" s="66" t="s">
        <v>136</v>
      </c>
      <c r="M37" s="66" t="n">
        <f aca="false">SUM(M34:M36)</f>
        <v>63709222.2744299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66" t="s">
        <v>137</v>
      </c>
      <c r="I38" s="26"/>
      <c r="K38" s="66"/>
      <c r="L38" s="66" t="s">
        <v>138</v>
      </c>
      <c r="M38" s="66" t="n">
        <f aca="false">P13</f>
        <v>30000000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54"/>
      <c r="K39" s="66"/>
      <c r="L39" s="66" t="s">
        <v>139</v>
      </c>
      <c r="M39" s="106" t="n">
        <f aca="false">P14</f>
        <v>33709222.2744299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49"/>
      <c r="M40" s="66" t="n">
        <f aca="false">M37-M38-M39</f>
        <v>0</v>
      </c>
      <c r="N40" s="133" t="str">
        <f aca="false">IF(ROUND(M40,0)=0,"OK","Not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  <c r="L42" s="113" t="s">
        <v>93</v>
      </c>
      <c r="M42" s="93"/>
      <c r="N42" s="93"/>
      <c r="O42" s="93"/>
      <c r="P42" s="93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14" t="s">
        <v>140</v>
      </c>
      <c r="M43" s="66" t="n">
        <f aca="false">+P13</f>
        <v>30000000</v>
      </c>
      <c r="N43" s="66" t="s">
        <v>141</v>
      </c>
      <c r="P43" s="66" t="n">
        <f aca="false">+M43/0.0302</f>
        <v>993377483.443709</v>
      </c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4"/>
      <c r="M44" s="117"/>
      <c r="N44" s="135" t="s">
        <v>142</v>
      </c>
      <c r="O44" s="117"/>
      <c r="P44" s="106" t="n">
        <f aca="false">-B11</f>
        <v>-471001000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  <c r="M45" s="117"/>
      <c r="N45" s="135" t="s">
        <v>143</v>
      </c>
      <c r="O45" s="117"/>
      <c r="P45" s="67" t="n">
        <f aca="false">+P43+P44</f>
        <v>522376483.443709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  <c r="N46" s="66" t="s">
        <v>144</v>
      </c>
      <c r="P46" s="66" t="n">
        <f aca="false">+'Daily Position'!I7</f>
        <v>0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  <c r="N47" s="66" t="s">
        <v>145</v>
      </c>
      <c r="P47" s="136" t="n">
        <v>0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  <c r="P48" s="67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  <c r="N49" s="66" t="s">
        <v>146</v>
      </c>
      <c r="P49" s="66" t="n">
        <f aca="false">+P45+P46+P47</f>
        <v>522376483.443709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5" activeCellId="0" sqref="D3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7" t="s">
        <v>147</v>
      </c>
      <c r="B1" s="137"/>
    </row>
    <row r="3" customFormat="false" ht="15.75" hidden="false" customHeight="false" outlineLevel="0" collapsed="false">
      <c r="A3" s="67" t="s">
        <v>148</v>
      </c>
      <c r="B3" s="68"/>
      <c r="C3" s="66"/>
      <c r="E3" s="138"/>
      <c r="F3" s="138"/>
      <c r="G3" s="138"/>
    </row>
    <row r="4" customFormat="false" ht="15.75" hidden="false" customHeight="false" outlineLevel="0" collapsed="false">
      <c r="A4" s="134" t="s">
        <v>149</v>
      </c>
      <c r="B4" s="92" t="n">
        <f aca="false">41000000-6481031</f>
        <v>34518969</v>
      </c>
      <c r="C4" s="66"/>
      <c r="D4" s="55" t="n">
        <v>36917</v>
      </c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150</v>
      </c>
      <c r="B6" s="139" t="n">
        <f aca="false">SUM(B3:B5)</f>
        <v>34518969</v>
      </c>
      <c r="C6" s="99" t="s">
        <v>77</v>
      </c>
      <c r="F6" s="66"/>
    </row>
    <row r="7" customFormat="false" ht="16.5" hidden="false" customHeight="false" outlineLevel="0" collapsed="false">
      <c r="A7" s="66"/>
      <c r="B7" s="68"/>
      <c r="C7" s="66"/>
      <c r="F7" s="26"/>
    </row>
    <row r="8" customFormat="false" ht="15.75" hidden="false" customHeight="false" outlineLevel="0" collapsed="false">
      <c r="A8" s="66" t="s">
        <v>151</v>
      </c>
      <c r="B8" s="68" t="n">
        <f aca="false">IF(Summary!C5&lt;'Cash-Int-Trans'!D8,0,-Financials!E6+'Cash-Int-Trans'!B4)</f>
        <v>-6481031</v>
      </c>
      <c r="C8" s="66"/>
      <c r="D8" s="55" t="n">
        <f aca="false">+D4</f>
        <v>36917</v>
      </c>
    </row>
    <row r="9" customFormat="false" ht="15.75" hidden="false" customHeight="false" outlineLevel="0" collapsed="false">
      <c r="A9" s="66" t="s">
        <v>152</v>
      </c>
      <c r="B9" s="68" t="n">
        <f aca="false">-B8</f>
        <v>6481031</v>
      </c>
      <c r="C9" s="66"/>
      <c r="D9" s="55" t="n">
        <f aca="false">+D8</f>
        <v>36917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153</v>
      </c>
      <c r="B11" s="68"/>
      <c r="C11" s="66"/>
    </row>
    <row r="12" customFormat="false" ht="15.75" hidden="false" customHeight="false" outlineLevel="0" collapsed="false">
      <c r="A12" s="66" t="s">
        <v>154</v>
      </c>
      <c r="B12" s="68" t="n">
        <v>-40469684</v>
      </c>
      <c r="C12" s="66"/>
      <c r="D12" s="55" t="n">
        <f aca="false">+D8</f>
        <v>36917</v>
      </c>
    </row>
    <row r="13" customFormat="false" ht="15.75" hidden="false" customHeight="false" outlineLevel="0" collapsed="false">
      <c r="A13" s="66" t="s">
        <v>155</v>
      </c>
      <c r="B13" s="68" t="n">
        <f aca="false">IF(Summary!$C$5&lt;'Cash-Int-Trans'!D13,0,0)</f>
        <v>0</v>
      </c>
      <c r="C13" s="66"/>
      <c r="D13" s="55" t="n">
        <f aca="false">+D12</f>
        <v>36917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156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157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7" t="s">
        <v>158</v>
      </c>
      <c r="B18" s="137"/>
    </row>
    <row r="20" customFormat="false" ht="15.75" hidden="false" customHeight="false" outlineLevel="0" collapsed="false">
      <c r="A20" s="0" t="s">
        <v>159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160</v>
      </c>
      <c r="B22" s="66" t="n">
        <f aca="false">+Financials!I25</f>
        <v>74177906.2744299</v>
      </c>
    </row>
    <row r="23" customFormat="false" ht="15.75" hidden="false" customHeight="false" outlineLevel="0" collapsed="false">
      <c r="A23" s="0" t="s">
        <v>161</v>
      </c>
      <c r="B23" s="66" t="n">
        <f aca="false">-Financials!I15</f>
        <v>-28166489.9058219</v>
      </c>
    </row>
    <row r="24" customFormat="false" ht="15.75" hidden="false" customHeight="false" outlineLevel="0" collapsed="false">
      <c r="A24" s="66" t="str">
        <f aca="false">+Financials!H21</f>
        <v>Unrealized Gains / (Losses)</v>
      </c>
      <c r="B24" s="66" t="n">
        <f aca="false">-Financials!I21-Financials!I20-Financials!I19</f>
        <v>-20243344</v>
      </c>
    </row>
    <row r="26" customFormat="false" ht="15.75" hidden="false" customHeight="false" outlineLevel="0" collapsed="false">
      <c r="A26" s="0" t="s">
        <v>162</v>
      </c>
    </row>
    <row r="27" customFormat="false" ht="15.75" hidden="false" customHeight="false" outlineLevel="0" collapsed="false">
      <c r="A27" s="0" t="s">
        <v>163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75</v>
      </c>
      <c r="B28" s="66" t="n">
        <f aca="false">0-Financials!M11</f>
        <v>-1604166.66666667</v>
      </c>
    </row>
    <row r="29" customFormat="false" ht="15.75" hidden="false" customHeight="false" outlineLevel="0" collapsed="false">
      <c r="A29" s="0" t="s">
        <v>164</v>
      </c>
      <c r="B29" s="66" t="n">
        <f aca="false">-Financials!E7+Financials!P11</f>
        <v>19335787.7413611</v>
      </c>
    </row>
    <row r="30" customFormat="false" ht="15.75" hidden="false" customHeight="false" outlineLevel="0" collapsed="false">
      <c r="A30" s="0" t="s">
        <v>165</v>
      </c>
      <c r="B30" s="66" t="n">
        <f aca="false">-Financials!E6+Financials!P8</f>
        <v>-41000000</v>
      </c>
      <c r="E30" s="66"/>
    </row>
    <row r="32" customFormat="false" ht="15.75" hidden="false" customHeight="false" outlineLevel="0" collapsed="false">
      <c r="A32" s="0" t="s">
        <v>153</v>
      </c>
      <c r="B32" s="66" t="n">
        <f aca="false">+B12</f>
        <v>-40469684</v>
      </c>
    </row>
    <row r="33" customFormat="false" ht="15.75" hidden="false" customHeight="false" outlineLevel="0" collapsed="false">
      <c r="A33" s="0" t="s">
        <v>166</v>
      </c>
      <c r="B33" s="66" t="n">
        <f aca="false">+B13</f>
        <v>0</v>
      </c>
    </row>
    <row r="35" customFormat="false" ht="16.5" hidden="false" customHeight="false" outlineLevel="0" collapsed="false">
      <c r="A35" s="0" t="s">
        <v>167</v>
      </c>
      <c r="B35" s="95" t="n">
        <f aca="false">SUM(B20:B34)</f>
        <v>33031009.4433024</v>
      </c>
      <c r="D35" s="66" t="n">
        <f aca="false">+B20+B12+B13+B38+B16</f>
        <v>33031009.4433024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7" t="s">
        <v>168</v>
      </c>
      <c r="B37" s="137"/>
      <c r="C37" s="137"/>
      <c r="D37" s="137"/>
      <c r="E37" s="137"/>
      <c r="F37" s="137"/>
    </row>
    <row r="38" customFormat="false" ht="15.75" hidden="false" customHeight="false" outlineLevel="0" collapsed="false">
      <c r="A38" s="140" t="s">
        <v>80</v>
      </c>
      <c r="B38" s="141" t="n">
        <f aca="false">+B44+B50</f>
        <v>2499693.4433024</v>
      </c>
    </row>
    <row r="39" customFormat="false" ht="15.75" hidden="false" customHeight="false" outlineLevel="0" collapsed="false">
      <c r="A39" s="142"/>
      <c r="E39" s="143" t="s">
        <v>169</v>
      </c>
      <c r="F39" s="144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5" t="n">
        <v>0.0724</v>
      </c>
      <c r="G40" s="55" t="n">
        <v>36845</v>
      </c>
      <c r="H40" s="145" t="n">
        <v>0.0713</v>
      </c>
    </row>
    <row r="41" customFormat="false" ht="15.75" hidden="false" customHeight="false" outlineLevel="0" collapsed="false">
      <c r="A41" s="0" t="s">
        <v>159</v>
      </c>
      <c r="B41" s="66" t="n">
        <v>71001000</v>
      </c>
      <c r="E41" s="55" t="n">
        <v>36784</v>
      </c>
      <c r="F41" s="145" t="n">
        <v>0.072</v>
      </c>
      <c r="G41" s="55" t="n">
        <v>36875</v>
      </c>
      <c r="H41" s="145" t="n">
        <v>0.0688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36934</v>
      </c>
      <c r="E42" s="55" t="n">
        <v>36814</v>
      </c>
      <c r="F42" s="145" t="n">
        <v>0.0718</v>
      </c>
      <c r="G42" s="55" t="n">
        <v>36906</v>
      </c>
      <c r="H42" s="145" t="n">
        <v>0.0594</v>
      </c>
    </row>
    <row r="43" customFormat="false" ht="15.75" hidden="false" customHeight="false" outlineLevel="0" collapsed="false">
      <c r="A43" s="0" t="s">
        <v>170</v>
      </c>
      <c r="B43" s="26" t="n">
        <f aca="false">+B42-B40</f>
        <v>165</v>
      </c>
      <c r="E43" s="146" t="s">
        <v>171</v>
      </c>
      <c r="F43" s="147" t="n">
        <f aca="false">AVERAGE(F40:F42,H40:H42)</f>
        <v>0.0692833333333333</v>
      </c>
    </row>
    <row r="44" customFormat="false" ht="15.75" hidden="false" customHeight="false" outlineLevel="0" collapsed="false">
      <c r="A44" s="0" t="s">
        <v>172</v>
      </c>
      <c r="B44" s="148" t="n">
        <f aca="false">+B41*(F43+0.0045)/360*B43</f>
        <v>2401066.45625</v>
      </c>
    </row>
    <row r="45" customFormat="false" ht="15.75" hidden="false" customHeight="false" outlineLevel="0" collapsed="false">
      <c r="B45" s="148"/>
    </row>
    <row r="46" customFormat="false" ht="15.75" hidden="false" customHeight="false" outlineLevel="0" collapsed="false">
      <c r="A46" s="0" t="s">
        <v>28</v>
      </c>
      <c r="B46" s="55" t="n">
        <f aca="false">+D8</f>
        <v>36917</v>
      </c>
      <c r="E46" s="55" t="n">
        <v>36906</v>
      </c>
      <c r="F46" s="145" t="n">
        <v>0.0594</v>
      </c>
      <c r="G46" s="55" t="n">
        <v>36996</v>
      </c>
      <c r="H46" s="145"/>
    </row>
    <row r="47" customFormat="false" ht="15.75" hidden="false" customHeight="false" outlineLevel="0" collapsed="false">
      <c r="A47" s="0" t="s">
        <v>159</v>
      </c>
      <c r="B47" s="66" t="n">
        <v>32684999.8516667</v>
      </c>
      <c r="E47" s="55" t="n">
        <v>36937</v>
      </c>
      <c r="F47" s="145"/>
      <c r="G47" s="55" t="n">
        <v>37026</v>
      </c>
      <c r="H47" s="145"/>
    </row>
    <row r="48" customFormat="false" ht="15.75" hidden="false" customHeight="false" outlineLevel="0" collapsed="false">
      <c r="A48" s="0" t="s">
        <v>28</v>
      </c>
      <c r="B48" s="55" t="n">
        <f aca="false">IF(Summary!$C$5&lt;'Cash-Int-Trans'!B46,+'Cash-Int-Trans'!B46,Summary!$C$5)</f>
        <v>36934</v>
      </c>
      <c r="E48" s="55" t="n">
        <v>36965</v>
      </c>
      <c r="F48" s="145"/>
      <c r="G48" s="55" t="n">
        <v>37057</v>
      </c>
      <c r="H48" s="145"/>
    </row>
    <row r="49" customFormat="false" ht="15.75" hidden="false" customHeight="false" outlineLevel="0" collapsed="false">
      <c r="A49" s="0" t="s">
        <v>170</v>
      </c>
      <c r="B49" s="26" t="n">
        <f aca="false">+B48-B46</f>
        <v>17</v>
      </c>
      <c r="E49" s="146" t="s">
        <v>171</v>
      </c>
      <c r="F49" s="147" t="n">
        <f aca="false">AVERAGE(F46:F48,H46:H48)</f>
        <v>0.0594</v>
      </c>
    </row>
    <row r="50" customFormat="false" ht="15.75" hidden="false" customHeight="false" outlineLevel="0" collapsed="false">
      <c r="A50" s="0" t="s">
        <v>172</v>
      </c>
      <c r="B50" s="148" t="n">
        <f aca="false">+B47*(F49+0.0045)/360*B49</f>
        <v>98626.9870524042</v>
      </c>
    </row>
    <row r="52" customFormat="false" ht="16.5" hidden="false" customHeight="false" outlineLevel="0" collapsed="false">
      <c r="A52" s="137" t="s">
        <v>173</v>
      </c>
      <c r="B52" s="137"/>
      <c r="C52" s="137"/>
      <c r="D52" s="137"/>
      <c r="E52" s="137"/>
      <c r="F52" s="137"/>
    </row>
    <row r="53" customFormat="false" ht="15.75" hidden="false" customHeight="false" outlineLevel="0" collapsed="false">
      <c r="A53" s="140" t="s">
        <v>174</v>
      </c>
      <c r="B53" s="141" t="n">
        <f aca="false">+B55+B62</f>
        <v>12854756.7413611</v>
      </c>
    </row>
    <row r="54" customFormat="false" ht="15.75" hidden="false" customHeight="false" outlineLevel="0" collapsed="false">
      <c r="A54" s="142"/>
    </row>
    <row r="55" customFormat="false" ht="15.75" hidden="false" customHeight="false" outlineLevel="0" collapsed="false">
      <c r="A55" s="0" t="s">
        <v>175</v>
      </c>
      <c r="B55" s="26" t="n">
        <f aca="false">+Amort!B61</f>
        <v>12833333.3333333</v>
      </c>
      <c r="E55" s="143"/>
      <c r="F55" s="143"/>
    </row>
    <row r="56" customFormat="false" ht="15.75" hidden="false" customHeight="false" outlineLevel="0" collapsed="false">
      <c r="B56" s="26"/>
      <c r="E56" s="143"/>
      <c r="F56" s="144"/>
    </row>
    <row r="57" customFormat="false" ht="15.75" hidden="false" customHeight="false" outlineLevel="0" collapsed="false">
      <c r="A57" s="0" t="s">
        <v>176</v>
      </c>
      <c r="B57" s="66"/>
      <c r="E57" s="149"/>
      <c r="F57" s="145"/>
    </row>
    <row r="58" customFormat="false" ht="15.75" hidden="false" customHeight="false" outlineLevel="0" collapsed="false">
      <c r="A58" s="0" t="s">
        <v>177</v>
      </c>
      <c r="B58" s="55" t="n">
        <f aca="false">+D9</f>
        <v>36917</v>
      </c>
      <c r="E58" s="149"/>
      <c r="F58" s="145"/>
    </row>
    <row r="59" customFormat="false" ht="15.75" hidden="false" customHeight="false" outlineLevel="0" collapsed="false">
      <c r="A59" s="0" t="s">
        <v>178</v>
      </c>
      <c r="B59" s="26" t="n">
        <f aca="false">+B9</f>
        <v>6481031</v>
      </c>
      <c r="E59" s="149"/>
      <c r="F59" s="145"/>
    </row>
    <row r="60" customFormat="false" ht="15.75" hidden="false" customHeight="false" outlineLevel="0" collapsed="false">
      <c r="A60" s="0" t="s">
        <v>28</v>
      </c>
      <c r="B60" s="55" t="n">
        <f aca="false">IF(Summary!C5&gt;Amort!A43,Amort!A43,Summary!C5)</f>
        <v>36934</v>
      </c>
    </row>
    <row r="61" customFormat="false" ht="15.75" hidden="false" customHeight="false" outlineLevel="0" collapsed="false">
      <c r="A61" s="0" t="s">
        <v>170</v>
      </c>
      <c r="B61" s="26" t="n">
        <f aca="false">+B60-B58</f>
        <v>17</v>
      </c>
    </row>
    <row r="62" customFormat="false" ht="15.75" hidden="false" customHeight="false" outlineLevel="0" collapsed="false">
      <c r="A62" s="0" t="s">
        <v>179</v>
      </c>
      <c r="B62" s="148" t="n">
        <f aca="false">+B59*0.07/360*B61</f>
        <v>21423.4080277778</v>
      </c>
    </row>
    <row r="64" customFormat="false" ht="16.5" hidden="false" customHeight="false" outlineLevel="0" collapsed="false">
      <c r="A64" s="137" t="s">
        <v>180</v>
      </c>
      <c r="B64" s="137"/>
      <c r="C64" s="137"/>
      <c r="D64" s="137"/>
      <c r="E64" s="137"/>
      <c r="F64" s="137"/>
    </row>
    <row r="66" customFormat="false" ht="15.75" hidden="false" customHeight="false" outlineLevel="0" collapsed="false">
      <c r="A66" s="0" t="s">
        <v>36</v>
      </c>
      <c r="B66" s="55" t="n">
        <f aca="false">+Summary!C5</f>
        <v>36934</v>
      </c>
    </row>
    <row r="67" customFormat="false" ht="15.75" hidden="false" customHeight="false" outlineLevel="0" collapsed="false">
      <c r="A67" s="0" t="s">
        <v>181</v>
      </c>
      <c r="B67" s="55" t="n">
        <v>36769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182</v>
      </c>
      <c r="B68" s="55"/>
      <c r="D68" s="15" t="n">
        <f aca="false">IF(B66&gt;(B68-1),0,0)</f>
        <v>0</v>
      </c>
    </row>
    <row r="69" customFormat="false" ht="18" hidden="false" customHeight="false" outlineLevel="0" collapsed="false">
      <c r="A69" s="0" t="s">
        <v>183</v>
      </c>
      <c r="B69" s="55" t="n">
        <f aca="false">+Summary!C5</f>
        <v>36934</v>
      </c>
      <c r="D69" s="150" t="n">
        <f aca="false">IF(B69&gt;B68,+(+B69-B68)/365*0.12*D68,0)</f>
        <v>0</v>
      </c>
    </row>
    <row r="70" customFormat="false" ht="15.75" hidden="false" customHeight="false" outlineLevel="0" collapsed="false">
      <c r="A70" s="0" t="s">
        <v>184</v>
      </c>
      <c r="D70" s="47" t="n">
        <f aca="false">SUM(D67:D69)</f>
        <v>30000000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8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E70" activeCellId="0" sqref="E70:E7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185</v>
      </c>
      <c r="B1" s="69"/>
      <c r="G1" s="134"/>
      <c r="H1" s="134"/>
    </row>
    <row r="2" customFormat="false" ht="15.75" hidden="false" customHeight="false" outlineLevel="0" collapsed="false">
      <c r="B2" s="151" t="s">
        <v>186</v>
      </c>
    </row>
    <row r="3" customFormat="false" ht="15.75" hidden="false" customHeight="false" outlineLevel="0" collapsed="false">
      <c r="A3" s="66" t="s">
        <v>187</v>
      </c>
      <c r="B3" s="152" t="n">
        <v>50000000</v>
      </c>
    </row>
    <row r="4" customFormat="false" ht="15.75" hidden="false" customHeight="false" outlineLevel="0" collapsed="false">
      <c r="A4" s="66" t="s">
        <v>188</v>
      </c>
      <c r="B4" s="153" t="n">
        <v>0.07</v>
      </c>
    </row>
    <row r="5" customFormat="false" ht="15.75" hidden="false" customHeight="false" outlineLevel="0" collapsed="false">
      <c r="A5" s="66" t="s">
        <v>189</v>
      </c>
      <c r="B5" s="154" t="n">
        <f aca="false">5*12</f>
        <v>60</v>
      </c>
    </row>
    <row r="6" customFormat="false" ht="15.75" hidden="false" customHeight="false" outlineLevel="0" collapsed="false">
      <c r="A6" s="66" t="s">
        <v>190</v>
      </c>
      <c r="B6" s="155" t="n">
        <v>2</v>
      </c>
    </row>
    <row r="7" customFormat="false" ht="15.75" hidden="false" customHeight="false" outlineLevel="0" collapsed="false">
      <c r="A7" s="66" t="s">
        <v>191</v>
      </c>
      <c r="B7" s="66" t="n">
        <v>0</v>
      </c>
    </row>
    <row r="9" customFormat="false" ht="25.5" hidden="false" customHeight="false" outlineLevel="0" collapsed="false">
      <c r="A9" s="156"/>
      <c r="B9" s="157" t="s">
        <v>192</v>
      </c>
      <c r="C9" s="158" t="s">
        <v>159</v>
      </c>
      <c r="D9" s="158" t="s">
        <v>191</v>
      </c>
      <c r="E9" s="158" t="s">
        <v>187</v>
      </c>
      <c r="F9" s="158" t="s">
        <v>172</v>
      </c>
      <c r="G9" s="158" t="s">
        <v>167</v>
      </c>
      <c r="H9" s="158" t="s">
        <v>193</v>
      </c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5.75" hidden="false" customHeight="false" outlineLevel="0" collapsed="false">
      <c r="A10" s="55" t="n">
        <f aca="false">+A42</f>
        <v>36769</v>
      </c>
      <c r="B10" s="159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9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9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9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9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9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9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9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9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9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9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60"/>
      <c r="B22" s="16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  <c r="IW22" s="135"/>
    </row>
    <row r="23" customFormat="false" ht="15.75" hidden="false" customHeight="false" outlineLevel="0" collapsed="false">
      <c r="A23" s="161" t="n">
        <f aca="false">+Summary!C5</f>
        <v>36934</v>
      </c>
      <c r="B23" s="161"/>
      <c r="C23" s="135"/>
      <c r="D23" s="135"/>
      <c r="E23" s="135" t="s">
        <v>192</v>
      </c>
      <c r="F23" s="135" t="n">
        <f aca="false">VLOOKUP(+A23,Amort,2)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  <c r="IW23" s="135"/>
    </row>
    <row r="24" customFormat="false" ht="15.75" hidden="false" customHeight="false" outlineLevel="0" collapsed="false">
      <c r="A24" s="135" t="s">
        <v>194</v>
      </c>
      <c r="B24" s="135" t="n">
        <v>0</v>
      </c>
      <c r="C24" s="135"/>
      <c r="D24" s="135"/>
      <c r="E24" s="135" t="s">
        <v>28</v>
      </c>
      <c r="F24" s="160" t="n">
        <f aca="false">VLOOKUP(+A23,Amort,1)</f>
        <v>36769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  <c r="IW24" s="135"/>
    </row>
    <row r="25" customFormat="false" ht="15.75" hidden="false" customHeight="false" outlineLevel="0" collapsed="false">
      <c r="A25" s="135" t="s">
        <v>195</v>
      </c>
      <c r="B25" s="162" t="n">
        <f aca="false">VLOOKUP(+A23,Note,8)</f>
        <v>0</v>
      </c>
      <c r="C25" s="135"/>
      <c r="D25" s="135"/>
      <c r="E25" s="135" t="s">
        <v>196</v>
      </c>
      <c r="F25" s="135" t="n">
        <f aca="false">VLOOKUP(+F23+1,NotePeriod,5)</f>
        <v>1759722.22222222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  <c r="IW25" s="135"/>
    </row>
    <row r="26" customFormat="false" ht="15.75" hidden="false" customHeight="false" outlineLevel="0" collapsed="false">
      <c r="A26" s="160" t="s">
        <v>197</v>
      </c>
      <c r="B26" s="135" t="n">
        <f aca="false">+B24+B25</f>
        <v>0</v>
      </c>
      <c r="C26" s="135"/>
      <c r="D26" s="135"/>
      <c r="E26" s="135" t="s">
        <v>198</v>
      </c>
      <c r="F26" s="160" t="n">
        <f aca="false">VLOOKUP(+F23+1,NotePeriod,8)</f>
        <v>36950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  <c r="IW26" s="135"/>
    </row>
    <row r="27" customFormat="false" ht="15.75" hidden="false" customHeight="false" outlineLevel="0" collapsed="false">
      <c r="A27" s="160" t="s">
        <v>199</v>
      </c>
      <c r="B27" s="135" t="n">
        <f aca="false">A23-F24</f>
        <v>165</v>
      </c>
      <c r="C27" s="135"/>
      <c r="D27" s="135"/>
      <c r="E27" s="160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  <c r="IW27" s="135"/>
    </row>
    <row r="28" customFormat="false" ht="15.75" hidden="false" customHeight="false" outlineLevel="0" collapsed="false">
      <c r="A28" s="160" t="s">
        <v>200</v>
      </c>
      <c r="B28" s="135" t="n">
        <f aca="false">F25*B27/(F26-F24)</f>
        <v>1604166.66666667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  <c r="IW28" s="135"/>
    </row>
    <row r="29" customFormat="false" ht="15.75" hidden="false" customHeight="false" outlineLevel="0" collapsed="false">
      <c r="A29" s="160" t="s">
        <v>201</v>
      </c>
      <c r="B29" s="135" t="n">
        <f aca="false">+B25+B28</f>
        <v>1604166.66666667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  <c r="IW29" s="135"/>
    </row>
    <row r="30" customFormat="false" ht="15.75" hidden="false" customHeight="false" outlineLevel="0" collapsed="false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  <c r="IW30" s="135"/>
    </row>
    <row r="31" customFormat="false" ht="15.75" hidden="false" customHeight="false" outlineLevel="0" collapsed="false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  <c r="IW31" s="135"/>
    </row>
    <row r="32" customFormat="false" ht="15.75" hidden="false" customHeight="false" outlineLevel="0" collapsed="false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  <c r="EP32" s="135"/>
      <c r="EQ32" s="135"/>
      <c r="ER32" s="135"/>
      <c r="ES32" s="135"/>
      <c r="ET32" s="135"/>
      <c r="EU32" s="135"/>
      <c r="EV32" s="135"/>
      <c r="EW32" s="135"/>
      <c r="EX32" s="135"/>
      <c r="EY32" s="135"/>
      <c r="EZ32" s="135"/>
      <c r="FA32" s="135"/>
      <c r="FB32" s="135"/>
      <c r="FC32" s="135"/>
      <c r="FD32" s="135"/>
      <c r="FE32" s="135"/>
      <c r="FF32" s="135"/>
      <c r="FG32" s="135"/>
      <c r="FH32" s="135"/>
      <c r="FI32" s="135"/>
      <c r="FJ32" s="135"/>
      <c r="FK32" s="135"/>
      <c r="FL32" s="135"/>
      <c r="FM32" s="135"/>
      <c r="FN32" s="135"/>
      <c r="FO32" s="135"/>
      <c r="FP32" s="135"/>
      <c r="FQ32" s="135"/>
      <c r="FR32" s="135"/>
      <c r="FS32" s="135"/>
      <c r="FT32" s="135"/>
      <c r="FU32" s="135"/>
      <c r="FV32" s="135"/>
      <c r="FW32" s="135"/>
      <c r="FX32" s="135"/>
      <c r="FY32" s="135"/>
      <c r="FZ32" s="135"/>
      <c r="GA32" s="135"/>
      <c r="GB32" s="135"/>
      <c r="GC32" s="135"/>
      <c r="GD32" s="135"/>
      <c r="GE32" s="135"/>
      <c r="GF32" s="135"/>
      <c r="GG32" s="135"/>
      <c r="GH32" s="135"/>
      <c r="GI32" s="135"/>
      <c r="GJ32" s="135"/>
      <c r="GK32" s="135"/>
      <c r="GL32" s="135"/>
      <c r="GM32" s="135"/>
      <c r="GN32" s="135"/>
      <c r="GO32" s="135"/>
      <c r="GP32" s="135"/>
      <c r="GQ32" s="135"/>
      <c r="GR32" s="135"/>
      <c r="GS32" s="135"/>
      <c r="GT32" s="135"/>
      <c r="GU32" s="135"/>
      <c r="GV32" s="135"/>
      <c r="GW32" s="135"/>
      <c r="GX32" s="135"/>
      <c r="GY32" s="135"/>
      <c r="GZ32" s="135"/>
      <c r="HA32" s="135"/>
      <c r="HB32" s="135"/>
      <c r="HC32" s="135"/>
      <c r="HD32" s="135"/>
      <c r="HE32" s="135"/>
      <c r="HF32" s="135"/>
      <c r="HG32" s="135"/>
      <c r="HH32" s="135"/>
      <c r="HI32" s="135"/>
      <c r="HJ32" s="135"/>
      <c r="HK32" s="135"/>
      <c r="HL32" s="135"/>
      <c r="HM32" s="135"/>
      <c r="HN32" s="135"/>
      <c r="HO32" s="135"/>
      <c r="HP32" s="135"/>
      <c r="HQ32" s="135"/>
      <c r="HR32" s="135"/>
      <c r="HS32" s="135"/>
      <c r="HT32" s="135"/>
      <c r="HU32" s="135"/>
      <c r="HV32" s="135"/>
      <c r="HW32" s="135"/>
      <c r="HX32" s="135"/>
      <c r="HY32" s="135"/>
      <c r="HZ32" s="135"/>
      <c r="IA32" s="135"/>
      <c r="IB32" s="135"/>
      <c r="IC32" s="135"/>
      <c r="ID32" s="135"/>
      <c r="IE32" s="135"/>
      <c r="IF32" s="135"/>
      <c r="IG32" s="135"/>
      <c r="IH32" s="135"/>
      <c r="II32" s="135"/>
      <c r="IJ32" s="135"/>
      <c r="IK32" s="135"/>
      <c r="IL32" s="135"/>
      <c r="IM32" s="135"/>
      <c r="IN32" s="135"/>
      <c r="IO32" s="135"/>
      <c r="IP32" s="135"/>
      <c r="IQ32" s="135"/>
      <c r="IR32" s="135"/>
      <c r="IS32" s="135"/>
      <c r="IT32" s="135"/>
      <c r="IU32" s="135"/>
      <c r="IV32" s="135"/>
      <c r="IW32" s="135"/>
    </row>
    <row r="33" customFormat="false" ht="15.75" hidden="false" customHeight="false" outlineLevel="0" collapsed="false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35"/>
      <c r="CV33" s="135"/>
      <c r="CW33" s="135"/>
      <c r="CX33" s="135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5"/>
      <c r="EW33" s="135"/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5"/>
      <c r="FL33" s="135"/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5"/>
      <c r="GA33" s="135"/>
      <c r="GB33" s="135"/>
      <c r="GC33" s="135"/>
      <c r="GD33" s="135"/>
      <c r="GE33" s="135"/>
      <c r="GF33" s="135"/>
      <c r="GG33" s="135"/>
      <c r="GH33" s="135"/>
      <c r="GI33" s="135"/>
      <c r="GJ33" s="135"/>
      <c r="GK33" s="135"/>
      <c r="GL33" s="135"/>
      <c r="GM33" s="135"/>
      <c r="GN33" s="135"/>
      <c r="GO33" s="135"/>
      <c r="GP33" s="135"/>
      <c r="GQ33" s="135"/>
      <c r="GR33" s="135"/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5"/>
      <c r="HG33" s="135"/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5"/>
      <c r="HV33" s="135"/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5"/>
      <c r="IK33" s="135"/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</row>
    <row r="34" customFormat="false" ht="15.75" hidden="false" customHeight="false" outlineLevel="0" collapsed="false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  <c r="EW34" s="135"/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5"/>
      <c r="FL34" s="135"/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5"/>
      <c r="GA34" s="135"/>
      <c r="GB34" s="135"/>
      <c r="GC34" s="135"/>
      <c r="GD34" s="135"/>
      <c r="GE34" s="135"/>
      <c r="GF34" s="135"/>
      <c r="GG34" s="135"/>
      <c r="GH34" s="135"/>
      <c r="GI34" s="135"/>
      <c r="GJ34" s="135"/>
      <c r="GK34" s="135"/>
      <c r="GL34" s="135"/>
      <c r="GM34" s="135"/>
      <c r="GN34" s="135"/>
      <c r="GO34" s="135"/>
      <c r="GP34" s="135"/>
      <c r="GQ34" s="135"/>
      <c r="GR34" s="135"/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5"/>
      <c r="HG34" s="135"/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5"/>
      <c r="HV34" s="135"/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5"/>
      <c r="IK34" s="135"/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</row>
    <row r="35" customFormat="false" ht="15.75" hidden="false" customHeight="false" outlineLevel="0" collapsed="false">
      <c r="A35" s="69" t="s">
        <v>202</v>
      </c>
      <c r="B35" s="69"/>
      <c r="G35" s="134"/>
      <c r="H35" s="163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/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135"/>
      <c r="II35" s="135"/>
      <c r="IJ35" s="135"/>
      <c r="IK35" s="135"/>
      <c r="IL35" s="135"/>
      <c r="IM35" s="135"/>
      <c r="IN35" s="135"/>
      <c r="IO35" s="135"/>
      <c r="IP35" s="135"/>
      <c r="IQ35" s="135"/>
      <c r="IR35" s="135"/>
      <c r="IS35" s="135"/>
      <c r="IT35" s="135"/>
      <c r="IU35" s="135"/>
      <c r="IV35" s="135"/>
      <c r="IW35" s="135"/>
    </row>
    <row r="36" customFormat="false" ht="15.75" hidden="false" customHeight="false" outlineLevel="0" collapsed="false">
      <c r="B36" s="151" t="s">
        <v>186</v>
      </c>
      <c r="H36" s="163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  <c r="IW36" s="135"/>
    </row>
    <row r="37" customFormat="false" ht="15.75" hidden="false" customHeight="false" outlineLevel="0" collapsed="false">
      <c r="A37" s="66" t="s">
        <v>187</v>
      </c>
      <c r="B37" s="152" t="n">
        <v>400000000</v>
      </c>
      <c r="H37" s="163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  <c r="IW37" s="135"/>
    </row>
    <row r="38" customFormat="false" ht="15.75" hidden="false" customHeight="false" outlineLevel="0" collapsed="false">
      <c r="A38" s="66" t="s">
        <v>188</v>
      </c>
      <c r="B38" s="153" t="n">
        <v>0.07</v>
      </c>
      <c r="H38" s="163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  <c r="IW38" s="135"/>
    </row>
    <row r="39" customFormat="false" ht="15.75" hidden="false" customHeight="false" outlineLevel="0" collapsed="false">
      <c r="A39" s="66" t="s">
        <v>190</v>
      </c>
      <c r="B39" s="155" t="n">
        <v>2</v>
      </c>
      <c r="H39" s="163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  <c r="GY39" s="135"/>
      <c r="GZ39" s="135"/>
      <c r="HA39" s="135"/>
      <c r="HB39" s="135"/>
      <c r="HC39" s="135"/>
      <c r="HD39" s="135"/>
      <c r="HE39" s="135"/>
      <c r="HF39" s="135"/>
      <c r="HG39" s="135"/>
      <c r="HH39" s="135"/>
      <c r="HI39" s="135"/>
      <c r="HJ39" s="135"/>
      <c r="HK39" s="135"/>
      <c r="HL39" s="135"/>
      <c r="HM39" s="135"/>
      <c r="HN39" s="135"/>
      <c r="HO39" s="135"/>
      <c r="HP39" s="135"/>
      <c r="HQ39" s="135"/>
      <c r="HR39" s="135"/>
      <c r="HS39" s="135"/>
      <c r="HT39" s="135"/>
      <c r="HU39" s="135"/>
      <c r="HV39" s="135"/>
      <c r="HW39" s="135"/>
      <c r="HX39" s="135"/>
      <c r="HY39" s="135"/>
      <c r="HZ39" s="135"/>
      <c r="IA39" s="135"/>
      <c r="IB39" s="135"/>
      <c r="IC39" s="135"/>
      <c r="ID39" s="135"/>
      <c r="IE39" s="135"/>
      <c r="IF39" s="135"/>
      <c r="IG39" s="135"/>
      <c r="IH39" s="135"/>
      <c r="II39" s="135"/>
      <c r="IJ39" s="135"/>
      <c r="IK39" s="135"/>
      <c r="IL39" s="135"/>
      <c r="IM39" s="135"/>
      <c r="IN39" s="135"/>
      <c r="IO39" s="135"/>
      <c r="IP39" s="135"/>
      <c r="IQ39" s="135"/>
      <c r="IR39" s="135"/>
      <c r="IS39" s="135"/>
      <c r="IT39" s="135"/>
      <c r="IU39" s="135"/>
      <c r="IV39" s="135"/>
      <c r="IW39" s="135"/>
    </row>
    <row r="40" customFormat="false" ht="15.75" hidden="false" customHeight="false" outlineLevel="0" collapsed="false">
      <c r="H40" s="163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  <c r="IW40" s="135"/>
    </row>
    <row r="41" customFormat="false" ht="26.25" hidden="false" customHeight="false" outlineLevel="0" collapsed="false">
      <c r="A41" s="156"/>
      <c r="B41" s="157" t="s">
        <v>192</v>
      </c>
      <c r="C41" s="158" t="s">
        <v>159</v>
      </c>
      <c r="D41" s="158" t="s">
        <v>203</v>
      </c>
      <c r="E41" s="158" t="s">
        <v>187</v>
      </c>
      <c r="F41" s="158" t="s">
        <v>172</v>
      </c>
      <c r="G41" s="158" t="s">
        <v>167</v>
      </c>
      <c r="H41" s="158" t="s">
        <v>193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  <c r="IW41" s="135"/>
    </row>
    <row r="42" customFormat="false" ht="15.75" hidden="false" customHeight="false" outlineLevel="0" collapsed="false">
      <c r="A42" s="55" t="n">
        <v>36769</v>
      </c>
      <c r="B42" s="159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  <c r="GY42" s="135"/>
      <c r="GZ42" s="135"/>
      <c r="HA42" s="135"/>
      <c r="HB42" s="135"/>
      <c r="HC42" s="135"/>
      <c r="HD42" s="135"/>
      <c r="HE42" s="135"/>
      <c r="HF42" s="135"/>
      <c r="HG42" s="135"/>
      <c r="HH42" s="135"/>
      <c r="HI42" s="135"/>
      <c r="HJ42" s="135"/>
      <c r="HK42" s="135"/>
      <c r="HL42" s="135"/>
      <c r="HM42" s="135"/>
      <c r="HN42" s="135"/>
      <c r="HO42" s="135"/>
      <c r="HP42" s="135"/>
      <c r="HQ42" s="135"/>
      <c r="HR42" s="135"/>
      <c r="HS42" s="135"/>
      <c r="HT42" s="135"/>
      <c r="HU42" s="135"/>
      <c r="HV42" s="135"/>
      <c r="HW42" s="135"/>
      <c r="HX42" s="135"/>
      <c r="HY42" s="135"/>
      <c r="HZ42" s="135"/>
      <c r="IA42" s="135"/>
      <c r="IB42" s="135"/>
      <c r="IC42" s="135"/>
      <c r="ID42" s="135"/>
      <c r="IE42" s="135"/>
      <c r="IF42" s="135"/>
      <c r="IG42" s="135"/>
      <c r="IH42" s="135"/>
      <c r="II42" s="135"/>
      <c r="IJ42" s="135"/>
      <c r="IK42" s="135"/>
      <c r="IL42" s="135"/>
      <c r="IM42" s="135"/>
      <c r="IN42" s="135"/>
      <c r="IO42" s="135"/>
      <c r="IP42" s="135"/>
      <c r="IQ42" s="135"/>
      <c r="IR42" s="135"/>
      <c r="IS42" s="135"/>
      <c r="IT42" s="135"/>
      <c r="IU42" s="135"/>
      <c r="IV42" s="135"/>
      <c r="IW42" s="135"/>
    </row>
    <row r="43" customFormat="false" ht="15.75" hidden="false" customHeight="false" outlineLevel="0" collapsed="false">
      <c r="A43" s="55" t="n">
        <f aca="false">+A42+181</f>
        <v>36950</v>
      </c>
      <c r="B43" s="159" t="n">
        <f aca="false">+B42+1</f>
        <v>1</v>
      </c>
      <c r="C43" s="66" t="n">
        <f aca="false">G42</f>
        <v>400000000</v>
      </c>
      <c r="D43" s="66" t="n">
        <f aca="false">+E66</f>
        <v>6502454.40802778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420580232.185806</v>
      </c>
      <c r="H43" s="66" t="n">
        <f aca="false">+H42+F43</f>
        <v>14077777.7777778</v>
      </c>
      <c r="I43" s="55" t="n">
        <f aca="false">+A43</f>
        <v>36950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5"/>
      <c r="FW43" s="135"/>
      <c r="FX43" s="135"/>
      <c r="FY43" s="135"/>
      <c r="FZ43" s="135"/>
      <c r="GA43" s="135"/>
      <c r="GB43" s="135"/>
      <c r="GC43" s="135"/>
      <c r="GD43" s="135"/>
      <c r="GE43" s="135"/>
      <c r="GF43" s="135"/>
      <c r="GG43" s="135"/>
      <c r="GH43" s="135"/>
      <c r="GI43" s="135"/>
      <c r="GJ43" s="135"/>
      <c r="GK43" s="135"/>
      <c r="GL43" s="135"/>
      <c r="GM43" s="135"/>
      <c r="GN43" s="135"/>
      <c r="GO43" s="135"/>
      <c r="GP43" s="135"/>
      <c r="GQ43" s="135"/>
      <c r="GR43" s="135"/>
      <c r="GS43" s="135"/>
      <c r="GT43" s="135"/>
      <c r="GU43" s="135"/>
      <c r="GV43" s="135"/>
      <c r="GW43" s="135"/>
      <c r="GX43" s="135"/>
      <c r="GY43" s="135"/>
      <c r="GZ43" s="135"/>
      <c r="HA43" s="135"/>
      <c r="HB43" s="135"/>
      <c r="HC43" s="135"/>
      <c r="HD43" s="135"/>
      <c r="HE43" s="135"/>
      <c r="HF43" s="135"/>
      <c r="HG43" s="135"/>
      <c r="HH43" s="135"/>
      <c r="HI43" s="135"/>
      <c r="HJ43" s="135"/>
      <c r="HK43" s="135"/>
      <c r="HL43" s="135"/>
      <c r="HM43" s="135"/>
      <c r="HN43" s="135"/>
      <c r="HO43" s="135"/>
      <c r="HP43" s="135"/>
      <c r="HQ43" s="135"/>
      <c r="HR43" s="135"/>
      <c r="HS43" s="135"/>
      <c r="HT43" s="135"/>
      <c r="HU43" s="135"/>
      <c r="HV43" s="135"/>
      <c r="HW43" s="135"/>
      <c r="HX43" s="135"/>
      <c r="HY43" s="135"/>
      <c r="HZ43" s="135"/>
      <c r="IA43" s="135"/>
      <c r="IB43" s="135"/>
      <c r="IC43" s="135"/>
      <c r="ID43" s="135"/>
      <c r="IE43" s="135"/>
      <c r="IF43" s="135"/>
      <c r="IG43" s="135"/>
      <c r="IH43" s="135"/>
      <c r="II43" s="135"/>
      <c r="IJ43" s="135"/>
      <c r="IK43" s="135"/>
      <c r="IL43" s="135"/>
      <c r="IM43" s="135"/>
      <c r="IN43" s="135"/>
      <c r="IO43" s="135"/>
      <c r="IP43" s="135"/>
      <c r="IQ43" s="135"/>
      <c r="IR43" s="135"/>
      <c r="IS43" s="135"/>
      <c r="IT43" s="135"/>
      <c r="IU43" s="135"/>
      <c r="IV43" s="135"/>
      <c r="IW43" s="135"/>
    </row>
    <row r="44" customFormat="false" ht="15.75" hidden="false" customHeight="false" outlineLevel="0" collapsed="false">
      <c r="A44" s="55" t="n">
        <f aca="false">+A43+184</f>
        <v>37134</v>
      </c>
      <c r="B44" s="159" t="n">
        <f aca="false">+B43+1</f>
        <v>2</v>
      </c>
      <c r="C44" s="66" t="n">
        <f aca="false">G43</f>
        <v>420580232.185806</v>
      </c>
      <c r="D44" s="66" t="n">
        <v>0</v>
      </c>
      <c r="E44" s="66" t="n">
        <v>0</v>
      </c>
      <c r="F44" s="66" t="n">
        <f aca="false">C44*$B$38/360*(A44-A43)</f>
        <v>15047426.0848699</v>
      </c>
      <c r="G44" s="66" t="n">
        <f aca="false">+C44+D44+E44+F44</f>
        <v>435627658.270676</v>
      </c>
      <c r="H44" s="66" t="n">
        <f aca="false">+H43+F44</f>
        <v>29125203.8626477</v>
      </c>
      <c r="I44" s="55" t="n">
        <f aca="false">+A44</f>
        <v>37134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5"/>
      <c r="DF44" s="135"/>
      <c r="DG44" s="135"/>
      <c r="DH44" s="135"/>
      <c r="DI44" s="135"/>
      <c r="DJ44" s="135"/>
      <c r="DK44" s="135"/>
      <c r="DL44" s="135"/>
      <c r="DM44" s="135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5"/>
      <c r="FK44" s="135"/>
      <c r="FL44" s="135"/>
      <c r="FM44" s="135"/>
      <c r="FN44" s="135"/>
      <c r="FO44" s="135"/>
      <c r="FP44" s="135"/>
      <c r="FQ44" s="135"/>
      <c r="FR44" s="135"/>
      <c r="FS44" s="135"/>
      <c r="FT44" s="135"/>
      <c r="FU44" s="135"/>
      <c r="FV44" s="135"/>
      <c r="FW44" s="135"/>
      <c r="FX44" s="135"/>
      <c r="FY44" s="135"/>
      <c r="FZ44" s="135"/>
      <c r="GA44" s="135"/>
      <c r="GB44" s="135"/>
      <c r="GC44" s="135"/>
      <c r="GD44" s="135"/>
      <c r="GE44" s="135"/>
      <c r="GF44" s="135"/>
      <c r="GG44" s="135"/>
      <c r="GH44" s="135"/>
      <c r="GI44" s="135"/>
      <c r="GJ44" s="135"/>
      <c r="GK44" s="135"/>
      <c r="GL44" s="135"/>
      <c r="GM44" s="135"/>
      <c r="GN44" s="135"/>
      <c r="GO44" s="135"/>
      <c r="GP44" s="135"/>
      <c r="GQ44" s="135"/>
      <c r="GR44" s="135"/>
      <c r="GS44" s="135"/>
      <c r="GT44" s="135"/>
      <c r="GU44" s="135"/>
      <c r="GV44" s="135"/>
      <c r="GW44" s="135"/>
      <c r="GX44" s="135"/>
      <c r="GY44" s="135"/>
      <c r="GZ44" s="135"/>
      <c r="HA44" s="135"/>
      <c r="HB44" s="135"/>
      <c r="HC44" s="135"/>
      <c r="HD44" s="135"/>
      <c r="HE44" s="135"/>
      <c r="HF44" s="135"/>
      <c r="HG44" s="135"/>
      <c r="HH44" s="135"/>
      <c r="HI44" s="135"/>
      <c r="HJ44" s="135"/>
      <c r="HK44" s="135"/>
      <c r="HL44" s="135"/>
      <c r="HM44" s="135"/>
      <c r="HN44" s="135"/>
      <c r="HO44" s="135"/>
      <c r="HP44" s="135"/>
      <c r="HQ44" s="135"/>
      <c r="HR44" s="135"/>
      <c r="HS44" s="135"/>
      <c r="HT44" s="135"/>
      <c r="HU44" s="135"/>
      <c r="HV44" s="135"/>
      <c r="HW44" s="135"/>
      <c r="HX44" s="135"/>
      <c r="HY44" s="135"/>
      <c r="HZ44" s="135"/>
      <c r="IA44" s="135"/>
      <c r="IB44" s="135"/>
      <c r="IC44" s="135"/>
      <c r="ID44" s="135"/>
      <c r="IE44" s="135"/>
      <c r="IF44" s="135"/>
      <c r="IG44" s="135"/>
      <c r="IH44" s="135"/>
      <c r="II44" s="135"/>
      <c r="IJ44" s="135"/>
      <c r="IK44" s="135"/>
      <c r="IL44" s="135"/>
      <c r="IM44" s="135"/>
      <c r="IN44" s="135"/>
      <c r="IO44" s="135"/>
      <c r="IP44" s="135"/>
      <c r="IQ44" s="135"/>
      <c r="IR44" s="135"/>
      <c r="IS44" s="135"/>
      <c r="IT44" s="135"/>
      <c r="IU44" s="135"/>
      <c r="IV44" s="135"/>
      <c r="IW44" s="135"/>
    </row>
    <row r="45" customFormat="false" ht="15.75" hidden="false" customHeight="false" outlineLevel="0" collapsed="false">
      <c r="A45" s="55" t="n">
        <f aca="false">+A44+181</f>
        <v>37315</v>
      </c>
      <c r="B45" s="159" t="n">
        <f aca="false">+B44+1</f>
        <v>3</v>
      </c>
      <c r="C45" s="66" t="n">
        <f aca="false">G44</f>
        <v>435627658.270676</v>
      </c>
      <c r="D45" s="66" t="n">
        <v>0</v>
      </c>
      <c r="E45" s="66" t="n">
        <v>0</v>
      </c>
      <c r="F45" s="66" t="n">
        <f aca="false">C45*$B$38/360*(A45-A44)</f>
        <v>15331673.4174707</v>
      </c>
      <c r="G45" s="66" t="n">
        <f aca="false">+C45+D45+E45+F45</f>
        <v>450959331.688146</v>
      </c>
      <c r="H45" s="66" t="n">
        <f aca="false">+H44+F45</f>
        <v>44456877.2801184</v>
      </c>
      <c r="I45" s="55" t="n">
        <f aca="false">+A45</f>
        <v>37315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5"/>
      <c r="FO45" s="135"/>
      <c r="FP45" s="135"/>
      <c r="FQ45" s="135"/>
      <c r="FR45" s="135"/>
      <c r="FS45" s="135"/>
      <c r="FT45" s="135"/>
      <c r="FU45" s="135"/>
      <c r="FV45" s="135"/>
      <c r="FW45" s="135"/>
      <c r="FX45" s="135"/>
      <c r="FY45" s="135"/>
      <c r="FZ45" s="135"/>
      <c r="GA45" s="135"/>
      <c r="GB45" s="135"/>
      <c r="GC45" s="135"/>
      <c r="GD45" s="135"/>
      <c r="GE45" s="135"/>
      <c r="GF45" s="135"/>
      <c r="GG45" s="135"/>
      <c r="GH45" s="135"/>
      <c r="GI45" s="135"/>
      <c r="GJ45" s="135"/>
      <c r="GK45" s="135"/>
      <c r="GL45" s="135"/>
      <c r="GM45" s="135"/>
      <c r="GN45" s="135"/>
      <c r="GO45" s="135"/>
      <c r="GP45" s="135"/>
      <c r="GQ45" s="135"/>
      <c r="GR45" s="135"/>
      <c r="GS45" s="135"/>
      <c r="GT45" s="135"/>
      <c r="GU45" s="135"/>
      <c r="GV45" s="135"/>
      <c r="GW45" s="135"/>
      <c r="GX45" s="135"/>
      <c r="GY45" s="135"/>
      <c r="GZ45" s="135"/>
      <c r="HA45" s="135"/>
      <c r="HB45" s="135"/>
      <c r="HC45" s="135"/>
      <c r="HD45" s="135"/>
      <c r="HE45" s="135"/>
      <c r="HF45" s="135"/>
      <c r="HG45" s="135"/>
      <c r="HH45" s="135"/>
      <c r="HI45" s="135"/>
      <c r="HJ45" s="135"/>
      <c r="HK45" s="135"/>
      <c r="HL45" s="135"/>
      <c r="HM45" s="135"/>
      <c r="HN45" s="135"/>
      <c r="HO45" s="135"/>
      <c r="HP45" s="135"/>
      <c r="HQ45" s="135"/>
      <c r="HR45" s="135"/>
      <c r="HS45" s="135"/>
      <c r="HT45" s="135"/>
      <c r="HU45" s="135"/>
      <c r="HV45" s="135"/>
      <c r="HW45" s="135"/>
      <c r="HX45" s="135"/>
      <c r="HY45" s="135"/>
      <c r="HZ45" s="135"/>
      <c r="IA45" s="135"/>
      <c r="IB45" s="135"/>
      <c r="IC45" s="135"/>
      <c r="ID45" s="135"/>
      <c r="IE45" s="135"/>
      <c r="IF45" s="135"/>
      <c r="IG45" s="135"/>
      <c r="IH45" s="135"/>
      <c r="II45" s="135"/>
      <c r="IJ45" s="135"/>
      <c r="IK45" s="135"/>
      <c r="IL45" s="135"/>
      <c r="IM45" s="135"/>
      <c r="IN45" s="135"/>
      <c r="IO45" s="135"/>
      <c r="IP45" s="135"/>
      <c r="IQ45" s="135"/>
      <c r="IR45" s="135"/>
      <c r="IS45" s="135"/>
      <c r="IT45" s="135"/>
      <c r="IU45" s="135"/>
      <c r="IV45" s="135"/>
      <c r="IW45" s="135"/>
    </row>
    <row r="46" customFormat="false" ht="15.75" hidden="false" customHeight="false" outlineLevel="0" collapsed="false">
      <c r="A46" s="55" t="n">
        <f aca="false">+A45+184</f>
        <v>37499</v>
      </c>
      <c r="B46" s="159" t="n">
        <f aca="false">+B45+1</f>
        <v>4</v>
      </c>
      <c r="C46" s="66" t="n">
        <f aca="false">G45</f>
        <v>450959331.688146</v>
      </c>
      <c r="D46" s="66" t="n">
        <v>0</v>
      </c>
      <c r="E46" s="66" t="n">
        <v>0</v>
      </c>
      <c r="F46" s="66" t="n">
        <f aca="false">C46*$B$38/360*(A46-A45)</f>
        <v>16134322.7559537</v>
      </c>
      <c r="G46" s="66" t="n">
        <f aca="false">+C46+D46+E46+F46</f>
        <v>467093654.4441</v>
      </c>
      <c r="H46" s="66" t="n">
        <f aca="false">+H45+F46</f>
        <v>60591200.0360721</v>
      </c>
      <c r="I46" s="55" t="n">
        <f aca="false">+A46</f>
        <v>37499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135"/>
      <c r="DL46" s="135"/>
      <c r="DM46" s="135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5"/>
      <c r="FK46" s="135"/>
      <c r="FL46" s="135"/>
      <c r="FM46" s="135"/>
      <c r="FN46" s="135"/>
      <c r="FO46" s="135"/>
      <c r="FP46" s="135"/>
      <c r="FQ46" s="135"/>
      <c r="FR46" s="135"/>
      <c r="FS46" s="135"/>
      <c r="FT46" s="135"/>
      <c r="FU46" s="135"/>
      <c r="FV46" s="135"/>
      <c r="FW46" s="135"/>
      <c r="FX46" s="135"/>
      <c r="FY46" s="135"/>
      <c r="FZ46" s="135"/>
      <c r="GA46" s="135"/>
      <c r="GB46" s="135"/>
      <c r="GC46" s="135"/>
      <c r="GD46" s="135"/>
      <c r="GE46" s="135"/>
      <c r="GF46" s="135"/>
      <c r="GG46" s="135"/>
      <c r="GH46" s="135"/>
      <c r="GI46" s="135"/>
      <c r="GJ46" s="135"/>
      <c r="GK46" s="135"/>
      <c r="GL46" s="135"/>
      <c r="GM46" s="135"/>
      <c r="GN46" s="135"/>
      <c r="GO46" s="135"/>
      <c r="GP46" s="135"/>
      <c r="GQ46" s="135"/>
      <c r="GR46" s="135"/>
      <c r="GS46" s="135"/>
      <c r="GT46" s="135"/>
      <c r="GU46" s="135"/>
      <c r="GV46" s="135"/>
      <c r="GW46" s="135"/>
      <c r="GX46" s="135"/>
      <c r="GY46" s="135"/>
      <c r="GZ46" s="135"/>
      <c r="HA46" s="135"/>
      <c r="HB46" s="135"/>
      <c r="HC46" s="135"/>
      <c r="HD46" s="135"/>
      <c r="HE46" s="135"/>
      <c r="HF46" s="135"/>
      <c r="HG46" s="135"/>
      <c r="HH46" s="135"/>
      <c r="HI46" s="135"/>
      <c r="HJ46" s="135"/>
      <c r="HK46" s="135"/>
      <c r="HL46" s="135"/>
      <c r="HM46" s="135"/>
      <c r="HN46" s="135"/>
      <c r="HO46" s="135"/>
      <c r="HP46" s="135"/>
      <c r="HQ46" s="135"/>
      <c r="HR46" s="135"/>
      <c r="HS46" s="135"/>
      <c r="HT46" s="135"/>
      <c r="HU46" s="135"/>
      <c r="HV46" s="135"/>
      <c r="HW46" s="135"/>
      <c r="HX46" s="135"/>
      <c r="HY46" s="135"/>
      <c r="HZ46" s="135"/>
      <c r="IA46" s="135"/>
      <c r="IB46" s="135"/>
      <c r="IC46" s="135"/>
      <c r="ID46" s="135"/>
      <c r="IE46" s="135"/>
      <c r="IF46" s="135"/>
      <c r="IG46" s="135"/>
      <c r="IH46" s="135"/>
      <c r="II46" s="135"/>
      <c r="IJ46" s="135"/>
      <c r="IK46" s="135"/>
      <c r="IL46" s="135"/>
      <c r="IM46" s="135"/>
      <c r="IN46" s="135"/>
      <c r="IO46" s="135"/>
      <c r="IP46" s="135"/>
      <c r="IQ46" s="135"/>
      <c r="IR46" s="135"/>
      <c r="IS46" s="135"/>
      <c r="IT46" s="135"/>
      <c r="IU46" s="135"/>
      <c r="IV46" s="135"/>
      <c r="IW46" s="135"/>
    </row>
    <row r="47" customFormat="false" ht="15.75" hidden="false" customHeight="false" outlineLevel="0" collapsed="false">
      <c r="A47" s="55" t="n">
        <f aca="false">+A46+181</f>
        <v>37680</v>
      </c>
      <c r="B47" s="159" t="n">
        <f aca="false">+B46+1</f>
        <v>5</v>
      </c>
      <c r="C47" s="66" t="n">
        <f aca="false">G46</f>
        <v>467093654.4441</v>
      </c>
      <c r="D47" s="66" t="n">
        <v>0</v>
      </c>
      <c r="E47" s="66" t="n">
        <v>0</v>
      </c>
      <c r="F47" s="66" t="n">
        <f aca="false">C47*$B$38/360*(A47-A46)</f>
        <v>16439101.6716854</v>
      </c>
      <c r="G47" s="66" t="n">
        <f aca="false">+C47+D47+E47+F47</f>
        <v>483532756.115785</v>
      </c>
      <c r="H47" s="66" t="n">
        <f aca="false">+H46+F47</f>
        <v>77030301.7077575</v>
      </c>
      <c r="I47" s="55" t="n">
        <f aca="false">+A47</f>
        <v>37680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5"/>
      <c r="DF47" s="135"/>
      <c r="DG47" s="135"/>
      <c r="DH47" s="135"/>
      <c r="DI47" s="135"/>
      <c r="DJ47" s="135"/>
      <c r="DK47" s="135"/>
      <c r="DL47" s="135"/>
      <c r="DM47" s="135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5"/>
      <c r="FK47" s="135"/>
      <c r="FL47" s="135"/>
      <c r="FM47" s="135"/>
      <c r="FN47" s="135"/>
      <c r="FO47" s="135"/>
      <c r="FP47" s="135"/>
      <c r="FQ47" s="135"/>
      <c r="FR47" s="135"/>
      <c r="FS47" s="135"/>
      <c r="FT47" s="135"/>
      <c r="FU47" s="135"/>
      <c r="FV47" s="135"/>
      <c r="FW47" s="135"/>
      <c r="FX47" s="135"/>
      <c r="FY47" s="135"/>
      <c r="FZ47" s="135"/>
      <c r="GA47" s="135"/>
      <c r="GB47" s="135"/>
      <c r="GC47" s="135"/>
      <c r="GD47" s="135"/>
      <c r="GE47" s="135"/>
      <c r="GF47" s="135"/>
      <c r="GG47" s="135"/>
      <c r="GH47" s="135"/>
      <c r="GI47" s="135"/>
      <c r="GJ47" s="135"/>
      <c r="GK47" s="135"/>
      <c r="GL47" s="135"/>
      <c r="GM47" s="135"/>
      <c r="GN47" s="135"/>
      <c r="GO47" s="135"/>
      <c r="GP47" s="135"/>
      <c r="GQ47" s="135"/>
      <c r="GR47" s="135"/>
      <c r="GS47" s="135"/>
      <c r="GT47" s="135"/>
      <c r="GU47" s="135"/>
      <c r="GV47" s="135"/>
      <c r="GW47" s="135"/>
      <c r="GX47" s="135"/>
      <c r="GY47" s="135"/>
      <c r="GZ47" s="135"/>
      <c r="HA47" s="135"/>
      <c r="HB47" s="135"/>
      <c r="HC47" s="135"/>
      <c r="HD47" s="135"/>
      <c r="HE47" s="135"/>
      <c r="HF47" s="135"/>
      <c r="HG47" s="135"/>
      <c r="HH47" s="135"/>
      <c r="HI47" s="135"/>
      <c r="HJ47" s="135"/>
      <c r="HK47" s="135"/>
      <c r="HL47" s="135"/>
      <c r="HM47" s="135"/>
      <c r="HN47" s="135"/>
      <c r="HO47" s="135"/>
      <c r="HP47" s="135"/>
      <c r="HQ47" s="135"/>
      <c r="HR47" s="135"/>
      <c r="HS47" s="135"/>
      <c r="HT47" s="135"/>
      <c r="HU47" s="135"/>
      <c r="HV47" s="135"/>
      <c r="HW47" s="135"/>
      <c r="HX47" s="135"/>
      <c r="HY47" s="135"/>
      <c r="HZ47" s="135"/>
      <c r="IA47" s="135"/>
      <c r="IB47" s="135"/>
      <c r="IC47" s="135"/>
      <c r="ID47" s="135"/>
      <c r="IE47" s="135"/>
      <c r="IF47" s="135"/>
      <c r="IG47" s="135"/>
      <c r="IH47" s="135"/>
      <c r="II47" s="135"/>
      <c r="IJ47" s="135"/>
      <c r="IK47" s="135"/>
      <c r="IL47" s="135"/>
      <c r="IM47" s="135"/>
      <c r="IN47" s="135"/>
      <c r="IO47" s="135"/>
      <c r="IP47" s="135"/>
      <c r="IQ47" s="135"/>
      <c r="IR47" s="135"/>
      <c r="IS47" s="135"/>
      <c r="IT47" s="135"/>
      <c r="IU47" s="135"/>
      <c r="IV47" s="135"/>
      <c r="IW47" s="135"/>
    </row>
    <row r="48" customFormat="false" ht="15.75" hidden="false" customHeight="false" outlineLevel="0" collapsed="false">
      <c r="A48" s="55" t="n">
        <f aca="false">+A47+184</f>
        <v>37864</v>
      </c>
      <c r="B48" s="159" t="n">
        <f aca="false">+B47+1</f>
        <v>6</v>
      </c>
      <c r="C48" s="66" t="n">
        <f aca="false">G47</f>
        <v>483532756.115785</v>
      </c>
      <c r="D48" s="66" t="n">
        <v>0</v>
      </c>
      <c r="E48" s="66" t="n">
        <v>0</v>
      </c>
      <c r="F48" s="66" t="n">
        <f aca="false">C48*$B$38/360*(A48-A47)</f>
        <v>17299727.496587</v>
      </c>
      <c r="G48" s="66" t="n">
        <f aca="false">+C48+D48+E48+F48</f>
        <v>500832483.612372</v>
      </c>
      <c r="H48" s="66" t="n">
        <f aca="false">+H47+F48</f>
        <v>94330029.2043445</v>
      </c>
      <c r="I48" s="55" t="n">
        <f aca="false">+A48</f>
        <v>37864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5"/>
      <c r="DF48" s="135"/>
      <c r="DG48" s="135"/>
      <c r="DH48" s="135"/>
      <c r="DI48" s="135"/>
      <c r="DJ48" s="135"/>
      <c r="DK48" s="135"/>
      <c r="DL48" s="135"/>
      <c r="DM48" s="135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5"/>
      <c r="FK48" s="135"/>
      <c r="FL48" s="135"/>
      <c r="FM48" s="135"/>
      <c r="FN48" s="135"/>
      <c r="FO48" s="135"/>
      <c r="FP48" s="135"/>
      <c r="FQ48" s="135"/>
      <c r="FR48" s="135"/>
      <c r="FS48" s="135"/>
      <c r="FT48" s="135"/>
      <c r="FU48" s="135"/>
      <c r="FV48" s="135"/>
      <c r="FW48" s="135"/>
      <c r="FX48" s="135"/>
      <c r="FY48" s="135"/>
      <c r="FZ48" s="135"/>
      <c r="GA48" s="135"/>
      <c r="GB48" s="135"/>
      <c r="GC48" s="135"/>
      <c r="GD48" s="135"/>
      <c r="GE48" s="135"/>
      <c r="GF48" s="135"/>
      <c r="GG48" s="135"/>
      <c r="GH48" s="135"/>
      <c r="GI48" s="135"/>
      <c r="GJ48" s="135"/>
      <c r="GK48" s="135"/>
      <c r="GL48" s="135"/>
      <c r="GM48" s="135"/>
      <c r="GN48" s="135"/>
      <c r="GO48" s="135"/>
      <c r="GP48" s="135"/>
      <c r="GQ48" s="135"/>
      <c r="GR48" s="135"/>
      <c r="GS48" s="135"/>
      <c r="GT48" s="135"/>
      <c r="GU48" s="135"/>
      <c r="GV48" s="135"/>
      <c r="GW48" s="135"/>
      <c r="GX48" s="135"/>
      <c r="GY48" s="135"/>
      <c r="GZ48" s="135"/>
      <c r="HA48" s="135"/>
      <c r="HB48" s="135"/>
      <c r="HC48" s="135"/>
      <c r="HD48" s="135"/>
      <c r="HE48" s="135"/>
      <c r="HF48" s="135"/>
      <c r="HG48" s="135"/>
      <c r="HH48" s="135"/>
      <c r="HI48" s="135"/>
      <c r="HJ48" s="135"/>
      <c r="HK48" s="135"/>
      <c r="HL48" s="135"/>
      <c r="HM48" s="135"/>
      <c r="HN48" s="135"/>
      <c r="HO48" s="135"/>
      <c r="HP48" s="135"/>
      <c r="HQ48" s="135"/>
      <c r="HR48" s="135"/>
      <c r="HS48" s="135"/>
      <c r="HT48" s="135"/>
      <c r="HU48" s="135"/>
      <c r="HV48" s="135"/>
      <c r="HW48" s="135"/>
      <c r="HX48" s="135"/>
      <c r="HY48" s="135"/>
      <c r="HZ48" s="135"/>
      <c r="IA48" s="135"/>
      <c r="IB48" s="135"/>
      <c r="IC48" s="135"/>
      <c r="ID48" s="135"/>
      <c r="IE48" s="135"/>
      <c r="IF48" s="135"/>
      <c r="IG48" s="135"/>
      <c r="IH48" s="135"/>
      <c r="II48" s="135"/>
      <c r="IJ48" s="135"/>
      <c r="IK48" s="135"/>
      <c r="IL48" s="135"/>
      <c r="IM48" s="135"/>
      <c r="IN48" s="135"/>
      <c r="IO48" s="135"/>
      <c r="IP48" s="135"/>
      <c r="IQ48" s="135"/>
      <c r="IR48" s="135"/>
      <c r="IS48" s="135"/>
      <c r="IT48" s="135"/>
      <c r="IU48" s="135"/>
      <c r="IV48" s="135"/>
      <c r="IW48" s="135"/>
    </row>
    <row r="49" customFormat="false" ht="15.75" hidden="false" customHeight="false" outlineLevel="0" collapsed="false">
      <c r="A49" s="55" t="n">
        <f aca="false">+A48+182</f>
        <v>38046</v>
      </c>
      <c r="B49" s="159" t="n">
        <f aca="false">+B48+1</f>
        <v>7</v>
      </c>
      <c r="C49" s="66" t="n">
        <f aca="false">G48</f>
        <v>500832483.612372</v>
      </c>
      <c r="D49" s="66" t="n">
        <v>0</v>
      </c>
      <c r="E49" s="66" t="n">
        <v>0</v>
      </c>
      <c r="F49" s="66" t="n">
        <f aca="false">C49*$B$38/360*(A49-A48)</f>
        <v>17723905.1145045</v>
      </c>
      <c r="G49" s="66" t="n">
        <f aca="false">+C49+D49+E49+F49</f>
        <v>518556388.726877</v>
      </c>
      <c r="H49" s="66" t="n">
        <f aca="false">+H48+F49</f>
        <v>112053934.318849</v>
      </c>
      <c r="I49" s="55" t="n">
        <f aca="false">+A49</f>
        <v>38046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  <c r="FX49" s="135"/>
      <c r="FY49" s="135"/>
      <c r="FZ49" s="135"/>
      <c r="GA49" s="135"/>
      <c r="GB49" s="135"/>
      <c r="GC49" s="135"/>
      <c r="GD49" s="135"/>
      <c r="GE49" s="135"/>
      <c r="GF49" s="135"/>
      <c r="GG49" s="135"/>
      <c r="GH49" s="135"/>
      <c r="GI49" s="135"/>
      <c r="GJ49" s="135"/>
      <c r="GK49" s="135"/>
      <c r="GL49" s="135"/>
      <c r="GM49" s="135"/>
      <c r="GN49" s="135"/>
      <c r="GO49" s="135"/>
      <c r="GP49" s="135"/>
      <c r="GQ49" s="135"/>
      <c r="GR49" s="135"/>
      <c r="GS49" s="135"/>
      <c r="GT49" s="135"/>
      <c r="GU49" s="135"/>
      <c r="GV49" s="135"/>
      <c r="GW49" s="135"/>
      <c r="GX49" s="135"/>
      <c r="GY49" s="135"/>
      <c r="GZ49" s="135"/>
      <c r="HA49" s="135"/>
      <c r="HB49" s="135"/>
      <c r="HC49" s="135"/>
      <c r="HD49" s="135"/>
      <c r="HE49" s="135"/>
      <c r="HF49" s="135"/>
      <c r="HG49" s="135"/>
      <c r="HH49" s="135"/>
      <c r="HI49" s="135"/>
      <c r="HJ49" s="135"/>
      <c r="HK49" s="135"/>
      <c r="HL49" s="135"/>
      <c r="HM49" s="135"/>
      <c r="HN49" s="135"/>
      <c r="HO49" s="135"/>
      <c r="HP49" s="135"/>
      <c r="HQ49" s="135"/>
      <c r="HR49" s="135"/>
      <c r="HS49" s="135"/>
      <c r="HT49" s="135"/>
      <c r="HU49" s="135"/>
      <c r="HV49" s="135"/>
      <c r="HW49" s="135"/>
      <c r="HX49" s="135"/>
      <c r="HY49" s="135"/>
      <c r="HZ49" s="135"/>
      <c r="IA49" s="135"/>
      <c r="IB49" s="135"/>
      <c r="IC49" s="135"/>
      <c r="ID49" s="135"/>
      <c r="IE49" s="135"/>
      <c r="IF49" s="135"/>
      <c r="IG49" s="135"/>
      <c r="IH49" s="135"/>
      <c r="II49" s="135"/>
      <c r="IJ49" s="135"/>
      <c r="IK49" s="135"/>
      <c r="IL49" s="135"/>
      <c r="IM49" s="135"/>
      <c r="IN49" s="135"/>
      <c r="IO49" s="135"/>
      <c r="IP49" s="135"/>
      <c r="IQ49" s="135"/>
      <c r="IR49" s="135"/>
      <c r="IS49" s="135"/>
      <c r="IT49" s="135"/>
      <c r="IU49" s="135"/>
      <c r="IV49" s="135"/>
      <c r="IW49" s="135"/>
    </row>
    <row r="50" customFormat="false" ht="15.75" hidden="false" customHeight="false" outlineLevel="0" collapsed="false">
      <c r="A50" s="55" t="n">
        <f aca="false">+A49+184</f>
        <v>38230</v>
      </c>
      <c r="B50" s="159" t="n">
        <f aca="false">+B49+1</f>
        <v>8</v>
      </c>
      <c r="C50" s="66" t="n">
        <f aca="false">G49</f>
        <v>518556388.726877</v>
      </c>
      <c r="D50" s="66" t="n">
        <v>0</v>
      </c>
      <c r="E50" s="66" t="n">
        <v>0</v>
      </c>
      <c r="F50" s="66" t="n">
        <f aca="false">C50*$B$38/360*(A50-A49)</f>
        <v>18552795.2411171</v>
      </c>
      <c r="G50" s="66" t="n">
        <f aca="false">+C50+D50+E50+F50</f>
        <v>537109183.967994</v>
      </c>
      <c r="H50" s="66" t="n">
        <f aca="false">+H49+F50</f>
        <v>130606729.559966</v>
      </c>
      <c r="I50" s="55" t="n">
        <f aca="false">+A50</f>
        <v>38230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5"/>
      <c r="DF50" s="135"/>
      <c r="DG50" s="135"/>
      <c r="DH50" s="135"/>
      <c r="DI50" s="135"/>
      <c r="DJ50" s="135"/>
      <c r="DK50" s="135"/>
      <c r="DL50" s="135"/>
      <c r="DM50" s="135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5"/>
      <c r="FK50" s="135"/>
      <c r="FL50" s="135"/>
      <c r="FM50" s="135"/>
      <c r="FN50" s="135"/>
      <c r="FO50" s="135"/>
      <c r="FP50" s="135"/>
      <c r="FQ50" s="135"/>
      <c r="FR50" s="135"/>
      <c r="FS50" s="135"/>
      <c r="FT50" s="135"/>
      <c r="FU50" s="135"/>
      <c r="FV50" s="135"/>
      <c r="FW50" s="135"/>
      <c r="FX50" s="135"/>
      <c r="FY50" s="135"/>
      <c r="FZ50" s="135"/>
      <c r="GA50" s="135"/>
      <c r="GB50" s="135"/>
      <c r="GC50" s="135"/>
      <c r="GD50" s="135"/>
      <c r="GE50" s="135"/>
      <c r="GF50" s="135"/>
      <c r="GG50" s="135"/>
      <c r="GH50" s="135"/>
      <c r="GI50" s="135"/>
      <c r="GJ50" s="135"/>
      <c r="GK50" s="135"/>
      <c r="GL50" s="135"/>
      <c r="GM50" s="135"/>
      <c r="GN50" s="135"/>
      <c r="GO50" s="135"/>
      <c r="GP50" s="135"/>
      <c r="GQ50" s="135"/>
      <c r="GR50" s="135"/>
      <c r="GS50" s="135"/>
      <c r="GT50" s="135"/>
      <c r="GU50" s="135"/>
      <c r="GV50" s="135"/>
      <c r="GW50" s="135"/>
      <c r="GX50" s="135"/>
      <c r="GY50" s="135"/>
      <c r="GZ50" s="135"/>
      <c r="HA50" s="135"/>
      <c r="HB50" s="135"/>
      <c r="HC50" s="135"/>
      <c r="HD50" s="135"/>
      <c r="HE50" s="135"/>
      <c r="HF50" s="135"/>
      <c r="HG50" s="135"/>
      <c r="HH50" s="135"/>
      <c r="HI50" s="135"/>
      <c r="HJ50" s="135"/>
      <c r="HK50" s="135"/>
      <c r="HL50" s="135"/>
      <c r="HM50" s="135"/>
      <c r="HN50" s="135"/>
      <c r="HO50" s="135"/>
      <c r="HP50" s="135"/>
      <c r="HQ50" s="135"/>
      <c r="HR50" s="135"/>
      <c r="HS50" s="135"/>
      <c r="HT50" s="135"/>
      <c r="HU50" s="135"/>
      <c r="HV50" s="135"/>
      <c r="HW50" s="135"/>
      <c r="HX50" s="135"/>
      <c r="HY50" s="135"/>
      <c r="HZ50" s="135"/>
      <c r="IA50" s="135"/>
      <c r="IB50" s="135"/>
      <c r="IC50" s="135"/>
      <c r="ID50" s="135"/>
      <c r="IE50" s="135"/>
      <c r="IF50" s="135"/>
      <c r="IG50" s="135"/>
      <c r="IH50" s="135"/>
      <c r="II50" s="135"/>
      <c r="IJ50" s="135"/>
      <c r="IK50" s="135"/>
      <c r="IL50" s="135"/>
      <c r="IM50" s="135"/>
      <c r="IN50" s="135"/>
      <c r="IO50" s="135"/>
      <c r="IP50" s="135"/>
      <c r="IQ50" s="135"/>
      <c r="IR50" s="135"/>
      <c r="IS50" s="135"/>
      <c r="IT50" s="135"/>
      <c r="IU50" s="135"/>
      <c r="IV50" s="135"/>
      <c r="IW50" s="135"/>
    </row>
    <row r="51" customFormat="false" ht="15.75" hidden="false" customHeight="false" outlineLevel="0" collapsed="false">
      <c r="A51" s="55" t="n">
        <f aca="false">+A50+181</f>
        <v>38411</v>
      </c>
      <c r="B51" s="159" t="n">
        <f aca="false">+B50+1</f>
        <v>9</v>
      </c>
      <c r="C51" s="66" t="n">
        <f aca="false">G50</f>
        <v>537109183.967994</v>
      </c>
      <c r="D51" s="66" t="n">
        <v>0</v>
      </c>
      <c r="E51" s="66" t="n">
        <v>0</v>
      </c>
      <c r="F51" s="66" t="n">
        <f aca="false">C51*$B$38/360*(A51-A50)</f>
        <v>18903259.3357625</v>
      </c>
      <c r="G51" s="66" t="n">
        <f aca="false">+C51+D51+E51+F51</f>
        <v>556012443.303756</v>
      </c>
      <c r="H51" s="66" t="n">
        <f aca="false">+H50+F51</f>
        <v>149509988.895729</v>
      </c>
      <c r="I51" s="55" t="n">
        <f aca="false">+A51</f>
        <v>38411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  <c r="DL51" s="135"/>
      <c r="DM51" s="135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5"/>
      <c r="FK51" s="135"/>
      <c r="FL51" s="135"/>
      <c r="FM51" s="135"/>
      <c r="FN51" s="135"/>
      <c r="FO51" s="135"/>
      <c r="FP51" s="135"/>
      <c r="FQ51" s="135"/>
      <c r="FR51" s="135"/>
      <c r="FS51" s="135"/>
      <c r="FT51" s="135"/>
      <c r="FU51" s="135"/>
      <c r="FV51" s="135"/>
      <c r="FW51" s="135"/>
      <c r="FX51" s="135"/>
      <c r="FY51" s="135"/>
      <c r="FZ51" s="135"/>
      <c r="GA51" s="135"/>
      <c r="GB51" s="135"/>
      <c r="GC51" s="135"/>
      <c r="GD51" s="135"/>
      <c r="GE51" s="135"/>
      <c r="GF51" s="135"/>
      <c r="GG51" s="135"/>
      <c r="GH51" s="135"/>
      <c r="GI51" s="135"/>
      <c r="GJ51" s="135"/>
      <c r="GK51" s="135"/>
      <c r="GL51" s="135"/>
      <c r="GM51" s="135"/>
      <c r="GN51" s="135"/>
      <c r="GO51" s="135"/>
      <c r="GP51" s="135"/>
      <c r="GQ51" s="135"/>
      <c r="GR51" s="135"/>
      <c r="GS51" s="135"/>
      <c r="GT51" s="135"/>
      <c r="GU51" s="135"/>
      <c r="GV51" s="135"/>
      <c r="GW51" s="135"/>
      <c r="GX51" s="135"/>
      <c r="GY51" s="135"/>
      <c r="GZ51" s="135"/>
      <c r="HA51" s="135"/>
      <c r="HB51" s="135"/>
      <c r="HC51" s="135"/>
      <c r="HD51" s="135"/>
      <c r="HE51" s="135"/>
      <c r="HF51" s="135"/>
      <c r="HG51" s="135"/>
      <c r="HH51" s="135"/>
      <c r="HI51" s="135"/>
      <c r="HJ51" s="135"/>
      <c r="HK51" s="135"/>
      <c r="HL51" s="135"/>
      <c r="HM51" s="135"/>
      <c r="HN51" s="135"/>
      <c r="HO51" s="135"/>
      <c r="HP51" s="135"/>
      <c r="HQ51" s="135"/>
      <c r="HR51" s="135"/>
      <c r="HS51" s="135"/>
      <c r="HT51" s="135"/>
      <c r="HU51" s="135"/>
      <c r="HV51" s="135"/>
      <c r="HW51" s="135"/>
      <c r="HX51" s="135"/>
      <c r="HY51" s="135"/>
      <c r="HZ51" s="135"/>
      <c r="IA51" s="135"/>
      <c r="IB51" s="135"/>
      <c r="IC51" s="135"/>
      <c r="ID51" s="135"/>
      <c r="IE51" s="135"/>
      <c r="IF51" s="135"/>
      <c r="IG51" s="135"/>
      <c r="IH51" s="135"/>
      <c r="II51" s="135"/>
      <c r="IJ51" s="135"/>
      <c r="IK51" s="135"/>
      <c r="IL51" s="135"/>
      <c r="IM51" s="135"/>
      <c r="IN51" s="135"/>
      <c r="IO51" s="135"/>
      <c r="IP51" s="135"/>
      <c r="IQ51" s="135"/>
      <c r="IR51" s="135"/>
      <c r="IS51" s="135"/>
      <c r="IT51" s="135"/>
      <c r="IU51" s="135"/>
      <c r="IV51" s="135"/>
      <c r="IW51" s="135"/>
    </row>
    <row r="52" customFormat="false" ht="15.75" hidden="false" customHeight="false" outlineLevel="0" collapsed="false">
      <c r="A52" s="55" t="n">
        <f aca="false">+A51+184</f>
        <v>38595</v>
      </c>
      <c r="B52" s="159" t="n">
        <f aca="false">+B51+1</f>
        <v>10</v>
      </c>
      <c r="C52" s="66" t="n">
        <f aca="false">G51</f>
        <v>556012443.303756</v>
      </c>
      <c r="D52" s="66" t="n">
        <v>0</v>
      </c>
      <c r="E52" s="66" t="n">
        <v>0</v>
      </c>
      <c r="F52" s="66" t="n">
        <f aca="false">C52*$B$38/360*(A52-A51)</f>
        <v>19892889.6382011</v>
      </c>
      <c r="G52" s="66" t="n">
        <f aca="false">+C52+D52+E52+F52</f>
        <v>575905332.941958</v>
      </c>
      <c r="H52" s="66" t="n">
        <f aca="false">+H51+F52</f>
        <v>169402878.53393</v>
      </c>
      <c r="I52" s="55" t="n">
        <f aca="false">+A52</f>
        <v>38595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5"/>
      <c r="DF52" s="135"/>
      <c r="DG52" s="135"/>
      <c r="DH52" s="135"/>
      <c r="DI52" s="135"/>
      <c r="DJ52" s="135"/>
      <c r="DK52" s="135"/>
      <c r="DL52" s="135"/>
      <c r="DM52" s="135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5"/>
      <c r="FK52" s="135"/>
      <c r="FL52" s="135"/>
      <c r="FM52" s="135"/>
      <c r="FN52" s="135"/>
      <c r="FO52" s="135"/>
      <c r="FP52" s="135"/>
      <c r="FQ52" s="135"/>
      <c r="FR52" s="135"/>
      <c r="FS52" s="135"/>
      <c r="FT52" s="135"/>
      <c r="FU52" s="135"/>
      <c r="FV52" s="135"/>
      <c r="FW52" s="135"/>
      <c r="FX52" s="135"/>
      <c r="FY52" s="135"/>
      <c r="FZ52" s="135"/>
      <c r="GA52" s="135"/>
      <c r="GB52" s="135"/>
      <c r="GC52" s="135"/>
      <c r="GD52" s="135"/>
      <c r="GE52" s="135"/>
      <c r="GF52" s="135"/>
      <c r="GG52" s="135"/>
      <c r="GH52" s="135"/>
      <c r="GI52" s="135"/>
      <c r="GJ52" s="135"/>
      <c r="GK52" s="135"/>
      <c r="GL52" s="135"/>
      <c r="GM52" s="135"/>
      <c r="GN52" s="135"/>
      <c r="GO52" s="135"/>
      <c r="GP52" s="135"/>
      <c r="GQ52" s="135"/>
      <c r="GR52" s="135"/>
      <c r="GS52" s="135"/>
      <c r="GT52" s="135"/>
      <c r="GU52" s="135"/>
      <c r="GV52" s="135"/>
      <c r="GW52" s="135"/>
      <c r="GX52" s="135"/>
      <c r="GY52" s="135"/>
      <c r="GZ52" s="135"/>
      <c r="HA52" s="135"/>
      <c r="HB52" s="135"/>
      <c r="HC52" s="135"/>
      <c r="HD52" s="135"/>
      <c r="HE52" s="135"/>
      <c r="HF52" s="135"/>
      <c r="HG52" s="135"/>
      <c r="HH52" s="135"/>
      <c r="HI52" s="135"/>
      <c r="HJ52" s="135"/>
      <c r="HK52" s="135"/>
      <c r="HL52" s="135"/>
      <c r="HM52" s="135"/>
      <c r="HN52" s="135"/>
      <c r="HO52" s="135"/>
      <c r="HP52" s="135"/>
      <c r="HQ52" s="135"/>
      <c r="HR52" s="135"/>
      <c r="HS52" s="135"/>
      <c r="HT52" s="135"/>
      <c r="HU52" s="135"/>
      <c r="HV52" s="135"/>
      <c r="HW52" s="135"/>
      <c r="HX52" s="135"/>
      <c r="HY52" s="135"/>
      <c r="HZ52" s="135"/>
      <c r="IA52" s="135"/>
      <c r="IB52" s="135"/>
      <c r="IC52" s="135"/>
      <c r="ID52" s="135"/>
      <c r="IE52" s="135"/>
      <c r="IF52" s="135"/>
      <c r="IG52" s="135"/>
      <c r="IH52" s="135"/>
      <c r="II52" s="135"/>
      <c r="IJ52" s="135"/>
      <c r="IK52" s="135"/>
      <c r="IL52" s="135"/>
      <c r="IM52" s="135"/>
      <c r="IN52" s="135"/>
      <c r="IO52" s="135"/>
      <c r="IP52" s="135"/>
      <c r="IQ52" s="135"/>
      <c r="IR52" s="135"/>
      <c r="IS52" s="135"/>
      <c r="IT52" s="135"/>
      <c r="IU52" s="135"/>
      <c r="IV52" s="135"/>
      <c r="IW52" s="135"/>
    </row>
    <row r="53" customFormat="false" ht="16.5" hidden="false" customHeight="false" outlineLevel="0" collapsed="false">
      <c r="A53" s="55"/>
      <c r="B53" s="55"/>
      <c r="D53" s="95" t="n">
        <f aca="false">SUM(D43:D52)</f>
        <v>6502454.40802778</v>
      </c>
      <c r="E53" s="95" t="n">
        <f aca="false">SUM(E43:E52)</f>
        <v>0</v>
      </c>
      <c r="F53" s="95" t="n">
        <f aca="false">SUM(F43:F52)</f>
        <v>169402878.53393</v>
      </c>
      <c r="H53" s="6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5"/>
      <c r="DF53" s="135"/>
      <c r="DG53" s="135"/>
      <c r="DH53" s="135"/>
      <c r="DI53" s="135"/>
      <c r="DJ53" s="135"/>
      <c r="DK53" s="135"/>
      <c r="DL53" s="135"/>
      <c r="DM53" s="135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5"/>
      <c r="FK53" s="135"/>
      <c r="FL53" s="135"/>
      <c r="FM53" s="135"/>
      <c r="FN53" s="135"/>
      <c r="FO53" s="135"/>
      <c r="FP53" s="135"/>
      <c r="FQ53" s="135"/>
      <c r="FR53" s="135"/>
      <c r="FS53" s="135"/>
      <c r="FT53" s="135"/>
      <c r="FU53" s="135"/>
      <c r="FV53" s="135"/>
      <c r="FW53" s="135"/>
      <c r="FX53" s="135"/>
      <c r="FY53" s="135"/>
      <c r="FZ53" s="135"/>
      <c r="GA53" s="135"/>
      <c r="GB53" s="135"/>
      <c r="GC53" s="135"/>
      <c r="GD53" s="135"/>
      <c r="GE53" s="135"/>
      <c r="GF53" s="135"/>
      <c r="GG53" s="135"/>
      <c r="GH53" s="135"/>
      <c r="GI53" s="135"/>
      <c r="GJ53" s="135"/>
      <c r="GK53" s="135"/>
      <c r="GL53" s="135"/>
      <c r="GM53" s="135"/>
      <c r="GN53" s="135"/>
      <c r="GO53" s="135"/>
      <c r="GP53" s="135"/>
      <c r="GQ53" s="135"/>
      <c r="GR53" s="135"/>
      <c r="GS53" s="135"/>
      <c r="GT53" s="135"/>
      <c r="GU53" s="135"/>
      <c r="GV53" s="135"/>
      <c r="GW53" s="135"/>
      <c r="GX53" s="135"/>
      <c r="GY53" s="135"/>
      <c r="GZ53" s="135"/>
      <c r="HA53" s="135"/>
      <c r="HB53" s="135"/>
      <c r="HC53" s="135"/>
      <c r="HD53" s="135"/>
      <c r="HE53" s="135"/>
      <c r="HF53" s="135"/>
      <c r="HG53" s="135"/>
      <c r="HH53" s="135"/>
      <c r="HI53" s="135"/>
      <c r="HJ53" s="135"/>
      <c r="HK53" s="135"/>
      <c r="HL53" s="135"/>
      <c r="HM53" s="135"/>
      <c r="HN53" s="135"/>
      <c r="HO53" s="135"/>
      <c r="HP53" s="135"/>
      <c r="HQ53" s="135"/>
      <c r="HR53" s="135"/>
      <c r="HS53" s="135"/>
      <c r="HT53" s="135"/>
      <c r="HU53" s="135"/>
      <c r="HV53" s="135"/>
      <c r="HW53" s="135"/>
      <c r="HX53" s="135"/>
      <c r="HY53" s="135"/>
      <c r="HZ53" s="135"/>
      <c r="IA53" s="135"/>
      <c r="IB53" s="135"/>
      <c r="IC53" s="135"/>
      <c r="ID53" s="135"/>
      <c r="IE53" s="135"/>
      <c r="IF53" s="135"/>
      <c r="IG53" s="135"/>
      <c r="IH53" s="135"/>
      <c r="II53" s="135"/>
      <c r="IJ53" s="135"/>
      <c r="IK53" s="135"/>
      <c r="IL53" s="135"/>
      <c r="IM53" s="135"/>
      <c r="IN53" s="135"/>
      <c r="IO53" s="135"/>
      <c r="IP53" s="135"/>
      <c r="IQ53" s="135"/>
      <c r="IR53" s="135"/>
      <c r="IS53" s="135"/>
      <c r="IT53" s="135"/>
      <c r="IU53" s="135"/>
      <c r="IV53" s="135"/>
      <c r="IW53" s="135"/>
    </row>
    <row r="54" customFormat="false" ht="16.5" hidden="false" customHeight="false" outlineLevel="0" collapsed="false">
      <c r="A54" s="160"/>
      <c r="B54" s="160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5"/>
      <c r="DF54" s="135"/>
      <c r="DG54" s="135"/>
      <c r="DH54" s="135"/>
      <c r="DI54" s="135"/>
      <c r="DJ54" s="135"/>
      <c r="DK54" s="135"/>
      <c r="DL54" s="135"/>
      <c r="DM54" s="135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5"/>
      <c r="FK54" s="135"/>
      <c r="FL54" s="135"/>
      <c r="FM54" s="135"/>
      <c r="FN54" s="135"/>
      <c r="FO54" s="135"/>
      <c r="FP54" s="135"/>
      <c r="FQ54" s="135"/>
      <c r="FR54" s="135"/>
      <c r="FS54" s="135"/>
      <c r="FT54" s="135"/>
      <c r="FU54" s="135"/>
      <c r="FV54" s="135"/>
      <c r="FW54" s="135"/>
      <c r="FX54" s="135"/>
      <c r="FY54" s="135"/>
      <c r="FZ54" s="135"/>
      <c r="GA54" s="135"/>
      <c r="GB54" s="135"/>
      <c r="GC54" s="135"/>
      <c r="GD54" s="135"/>
      <c r="GE54" s="135"/>
      <c r="GF54" s="135"/>
      <c r="GG54" s="135"/>
      <c r="GH54" s="135"/>
      <c r="GI54" s="135"/>
      <c r="GJ54" s="135"/>
      <c r="GK54" s="135"/>
      <c r="GL54" s="135"/>
      <c r="GM54" s="135"/>
      <c r="GN54" s="135"/>
      <c r="GO54" s="135"/>
      <c r="GP54" s="135"/>
      <c r="GQ54" s="135"/>
      <c r="GR54" s="135"/>
      <c r="GS54" s="135"/>
      <c r="GT54" s="135"/>
      <c r="GU54" s="135"/>
      <c r="GV54" s="135"/>
      <c r="GW54" s="135"/>
      <c r="GX54" s="135"/>
      <c r="GY54" s="135"/>
      <c r="GZ54" s="135"/>
      <c r="HA54" s="135"/>
      <c r="HB54" s="135"/>
      <c r="HC54" s="135"/>
      <c r="HD54" s="135"/>
      <c r="HE54" s="135"/>
      <c r="HF54" s="135"/>
      <c r="HG54" s="135"/>
      <c r="HH54" s="135"/>
      <c r="HI54" s="135"/>
      <c r="HJ54" s="135"/>
      <c r="HK54" s="135"/>
      <c r="HL54" s="135"/>
      <c r="HM54" s="135"/>
      <c r="HN54" s="135"/>
      <c r="HO54" s="135"/>
      <c r="HP54" s="135"/>
      <c r="HQ54" s="135"/>
      <c r="HR54" s="135"/>
      <c r="HS54" s="135"/>
      <c r="HT54" s="135"/>
      <c r="HU54" s="135"/>
      <c r="HV54" s="135"/>
      <c r="HW54" s="135"/>
      <c r="HX54" s="135"/>
      <c r="HY54" s="135"/>
      <c r="HZ54" s="135"/>
      <c r="IA54" s="135"/>
      <c r="IB54" s="135"/>
      <c r="IC54" s="135"/>
      <c r="ID54" s="135"/>
      <c r="IE54" s="135"/>
      <c r="IF54" s="135"/>
      <c r="IG54" s="135"/>
      <c r="IH54" s="135"/>
      <c r="II54" s="135"/>
      <c r="IJ54" s="135"/>
      <c r="IK54" s="135"/>
      <c r="IL54" s="135"/>
      <c r="IM54" s="135"/>
      <c r="IN54" s="135"/>
      <c r="IO54" s="135"/>
      <c r="IP54" s="135"/>
      <c r="IQ54" s="135"/>
      <c r="IR54" s="135"/>
      <c r="IS54" s="135"/>
      <c r="IT54" s="135"/>
      <c r="IU54" s="135"/>
      <c r="IV54" s="135"/>
      <c r="IW54" s="135"/>
    </row>
    <row r="55" customFormat="false" ht="15.75" hidden="false" customHeight="false" outlineLevel="0" collapsed="false">
      <c r="A55" s="161" t="n">
        <f aca="false">+Summary!C5</f>
        <v>36934</v>
      </c>
      <c r="B55" s="161"/>
      <c r="C55" s="135"/>
      <c r="D55" s="135"/>
      <c r="E55" s="135" t="s">
        <v>192</v>
      </c>
      <c r="F55" s="135" t="n">
        <f aca="false">VLOOKUP(+A55,Note,2)</f>
        <v>0</v>
      </c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5"/>
      <c r="DF55" s="135"/>
      <c r="DG55" s="135"/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5"/>
      <c r="FK55" s="135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5"/>
      <c r="GJ55" s="135"/>
      <c r="GK55" s="135"/>
      <c r="GL55" s="135"/>
      <c r="GM55" s="135"/>
      <c r="GN55" s="135"/>
      <c r="GO55" s="135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5"/>
      <c r="HG55" s="135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5"/>
      <c r="IK55" s="135"/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</row>
    <row r="56" customFormat="false" ht="15.75" hidden="false" customHeight="false" outlineLevel="0" collapsed="false">
      <c r="A56" s="135"/>
      <c r="B56" s="135"/>
      <c r="C56" s="135"/>
      <c r="D56" s="135"/>
      <c r="E56" s="135" t="s">
        <v>28</v>
      </c>
      <c r="F56" s="160" t="n">
        <f aca="false">VLOOKUP(+A55,Note,1)</f>
        <v>36769</v>
      </c>
      <c r="G56" s="135"/>
    </row>
    <row r="57" customFormat="false" ht="15.75" hidden="false" customHeight="false" outlineLevel="0" collapsed="false">
      <c r="A57" s="135" t="s">
        <v>204</v>
      </c>
      <c r="B57" s="162" t="n">
        <f aca="false">VLOOKUP(+A55,Loan,8)</f>
        <v>0</v>
      </c>
      <c r="C57" s="135"/>
      <c r="D57" s="135"/>
      <c r="E57" s="135" t="s">
        <v>196</v>
      </c>
      <c r="F57" s="135" t="n">
        <f aca="false">VLOOKUP(+F55+1,LoanPeriod,5)</f>
        <v>14077777.7777778</v>
      </c>
      <c r="G57" s="135"/>
    </row>
    <row r="58" customFormat="false" ht="15.75" hidden="false" customHeight="false" outlineLevel="0" collapsed="false">
      <c r="A58" s="160" t="s">
        <v>6</v>
      </c>
      <c r="B58" s="135" t="n">
        <f aca="false">+B56+B57</f>
        <v>0</v>
      </c>
      <c r="C58" s="135"/>
      <c r="D58" s="135"/>
      <c r="E58" s="135" t="s">
        <v>198</v>
      </c>
      <c r="F58" s="160" t="n">
        <f aca="false">VLOOKUP(+F55+1,NotePeriod,8)</f>
        <v>36950</v>
      </c>
      <c r="G58" s="135"/>
    </row>
    <row r="59" customFormat="false" ht="15.75" hidden="false" customHeight="false" outlineLevel="0" collapsed="false">
      <c r="A59" s="160" t="s">
        <v>199</v>
      </c>
      <c r="B59" s="135" t="n">
        <f aca="false">A55-F56</f>
        <v>165</v>
      </c>
      <c r="C59" s="135"/>
      <c r="D59" s="135"/>
      <c r="E59" s="160"/>
      <c r="F59" s="135"/>
      <c r="G59" s="135"/>
    </row>
    <row r="60" customFormat="false" ht="15.75" hidden="false" customHeight="false" outlineLevel="0" collapsed="false">
      <c r="A60" s="160" t="s">
        <v>205</v>
      </c>
      <c r="B60" s="135" t="n">
        <f aca="false">F57*B59/(F58-F56)</f>
        <v>12833333.3333333</v>
      </c>
      <c r="C60" s="135"/>
      <c r="D60" s="135"/>
      <c r="E60" s="135"/>
      <c r="F60" s="135"/>
      <c r="G60" s="135"/>
    </row>
    <row r="61" customFormat="false" ht="15.75" hidden="false" customHeight="false" outlineLevel="0" collapsed="false">
      <c r="A61" s="160" t="s">
        <v>174</v>
      </c>
      <c r="B61" s="135" t="n">
        <f aca="false">+B57+B60</f>
        <v>12833333.3333333</v>
      </c>
      <c r="C61" s="135"/>
      <c r="D61" s="135"/>
      <c r="E61" s="135"/>
      <c r="F61" s="135"/>
      <c r="G61" s="135"/>
    </row>
    <row r="63" customFormat="false" ht="15.75" hidden="false" customHeight="false" outlineLevel="0" collapsed="false">
      <c r="A63" s="66" t="s">
        <v>206</v>
      </c>
    </row>
    <row r="64" customFormat="false" ht="15.75" hidden="false" customHeight="false" outlineLevel="0" collapsed="false">
      <c r="A64" s="55" t="n">
        <f aca="false">+'Cash-Int-Trans'!B58</f>
        <v>36917</v>
      </c>
      <c r="B64" s="66" t="s">
        <v>207</v>
      </c>
      <c r="E64" s="66" t="n">
        <f aca="false">+'Cash-Int-Trans'!B59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6" t="s">
        <v>208</v>
      </c>
      <c r="C65" s="55"/>
      <c r="D65" s="55" t="n">
        <f aca="false">+'Cash-Int-Trans'!B60</f>
        <v>36934</v>
      </c>
      <c r="E65" s="164" t="n">
        <f aca="false">+'Cash-Int-Trans'!B62</f>
        <v>21423.4080277778</v>
      </c>
    </row>
    <row r="66" customFormat="false" ht="15.75" hidden="false" customHeight="false" outlineLevel="0" collapsed="false">
      <c r="E66" s="66" t="n">
        <f aca="false">SUM(E64:E65)</f>
        <v>6502454.40802778</v>
      </c>
    </row>
    <row r="68" customFormat="false" ht="15.75" hidden="false" customHeight="false" outlineLevel="0" collapsed="false">
      <c r="A68" s="55"/>
      <c r="D68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1.12"/>
    <col collapsed="false" customWidth="true" hidden="false" outlineLevel="0" max="4" min="4" style="0" width="14.74"/>
    <col collapsed="false" customWidth="true" hidden="false" outlineLevel="0" max="5" min="5" style="0" width="15.37"/>
  </cols>
  <sheetData>
    <row r="1" customFormat="false" ht="15.75" hidden="false" customHeight="false" outlineLevel="0" collapsed="false">
      <c r="D1" s="165" t="s">
        <v>209</v>
      </c>
      <c r="E1" s="13" t="s">
        <v>210</v>
      </c>
    </row>
    <row r="2" customFormat="false" ht="15.75" hidden="false" customHeight="false" outlineLevel="0" collapsed="false">
      <c r="A2" s="7" t="s">
        <v>211</v>
      </c>
      <c r="D2" s="25" t="n">
        <f aca="false">+Financials!I5</f>
        <v>79.8</v>
      </c>
    </row>
    <row r="3" customFormat="false" ht="15.75" hidden="false" customHeight="false" outlineLevel="0" collapsed="false">
      <c r="A3" s="0" t="s">
        <v>212</v>
      </c>
      <c r="B3" s="26" t="n">
        <v>50000000</v>
      </c>
      <c r="D3" s="47" t="n">
        <f aca="false">B3*D2</f>
        <v>3990000000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213</v>
      </c>
      <c r="D4" s="16" t="n">
        <f aca="false">1400000000+1027000000</f>
        <v>2427000000</v>
      </c>
      <c r="E4" s="166" t="n">
        <f aca="false">ROUND(D4/D2+0.49,0)</f>
        <v>30413534</v>
      </c>
    </row>
    <row r="5" customFormat="false" ht="15.75" hidden="false" customHeight="false" outlineLevel="0" collapsed="false">
      <c r="A5" s="0" t="s">
        <v>214</v>
      </c>
      <c r="D5" s="15" t="n">
        <f aca="false">D3-D4</f>
        <v>1563000000</v>
      </c>
      <c r="E5" s="148" t="n">
        <f aca="false">E3-E4</f>
        <v>19586466</v>
      </c>
    </row>
    <row r="6" customFormat="false" ht="15.75" hidden="false" customHeight="false" outlineLevel="0" collapsed="false">
      <c r="A6" s="0" t="s">
        <v>215</v>
      </c>
      <c r="D6" s="25"/>
    </row>
    <row r="7" customFormat="false" ht="15.75" hidden="false" customHeight="false" outlineLevel="0" collapsed="false">
      <c r="A7" s="0" t="s">
        <v>216</v>
      </c>
      <c r="B7" s="26" t="n">
        <v>3876755</v>
      </c>
      <c r="D7" s="15" t="n">
        <f aca="false">+B7*D2</f>
        <v>309365049</v>
      </c>
      <c r="E7" s="26" t="n">
        <v>3876755</v>
      </c>
    </row>
    <row r="8" customFormat="false" ht="15.75" hidden="false" customHeight="false" outlineLevel="0" collapsed="false">
      <c r="A8" s="0" t="s">
        <v>217</v>
      </c>
      <c r="B8" s="26" t="n">
        <v>7809790</v>
      </c>
      <c r="D8" s="15" t="n">
        <f aca="false">+B8*D2</f>
        <v>623221242</v>
      </c>
      <c r="E8" s="26" t="n">
        <v>7809790</v>
      </c>
    </row>
    <row r="9" customFormat="false" ht="15.75" hidden="false" customHeight="false" outlineLevel="0" collapsed="false">
      <c r="A9" s="0" t="s">
        <v>218</v>
      </c>
      <c r="B9" s="26" t="n">
        <v>6326045</v>
      </c>
      <c r="D9" s="16" t="n">
        <f aca="false">+B9*D2</f>
        <v>504818391</v>
      </c>
      <c r="E9" s="166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167</v>
      </c>
      <c r="D11" s="17" t="n">
        <f aca="false">D5-SUM(D7:D9)</f>
        <v>125595318</v>
      </c>
      <c r="E11" s="167" t="n">
        <f aca="false">E5-SUM(E7:E9)</f>
        <v>1573876</v>
      </c>
    </row>
    <row r="12" customFormat="false" ht="16.5" hidden="false" customHeight="false" outlineLevel="0" collapsed="false">
      <c r="A12" s="26" t="s">
        <v>219</v>
      </c>
      <c r="D12" s="54" t="n">
        <f aca="false">+D11/(B3-SUM(B7:B9))</f>
        <v>3.92639847990194</v>
      </c>
      <c r="E12" s="148"/>
    </row>
    <row r="13" customFormat="false" ht="15.75" hidden="false" customHeight="false" outlineLevel="0" collapsed="false">
      <c r="D13" s="47"/>
      <c r="E13" s="53"/>
    </row>
    <row r="14" customFormat="false" ht="15.75" hidden="false" customHeight="false" outlineLevel="0" collapsed="false">
      <c r="A14" s="0" t="s">
        <v>220</v>
      </c>
      <c r="B14" s="26" t="n">
        <f aca="false">IF(E11&gt;0,B9,IF(B9+E11&gt;0,+B9+E11,0))</f>
        <v>6326045</v>
      </c>
      <c r="D14" s="47"/>
    </row>
    <row r="17" customFormat="false" ht="15.75" hidden="false" customHeight="false" outlineLevel="0" collapsed="false">
      <c r="A17" s="0" t="s">
        <v>221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222</v>
      </c>
      <c r="D18" s="15" t="n">
        <f aca="false">+Financials!B17</f>
        <v>-186923069.375</v>
      </c>
      <c r="E18" s="168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223</v>
      </c>
      <c r="D20" s="15" t="n">
        <f aca="false">+Financials!I15</f>
        <v>28166489.9058219</v>
      </c>
      <c r="E20" s="168" t="n">
        <f aca="false">(+Financials!H2-Financials!A3)/(3*365)</f>
        <v>0.150684931506849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224</v>
      </c>
      <c r="D21" s="15" t="n">
        <f aca="false">+D19+D20</f>
        <v>378166489.905822</v>
      </c>
      <c r="E21" s="168" t="n">
        <f aca="false">+D21/D17</f>
        <v>0.704321552705908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225</v>
      </c>
      <c r="B23" s="26" t="n">
        <f aca="false">+B14</f>
        <v>6326045</v>
      </c>
      <c r="C23" s="25" t="n">
        <f aca="false">+C17</f>
        <v>84.875</v>
      </c>
      <c r="D23" s="15" t="n">
        <f aca="false">+B23*C23</f>
        <v>536923069.375</v>
      </c>
    </row>
    <row r="24" customFormat="false" ht="15.75" hidden="false" customHeight="false" outlineLevel="0" collapsed="false">
      <c r="A24" s="0" t="s">
        <v>222</v>
      </c>
      <c r="D24" s="15" t="n">
        <f aca="false">D18/D17*D23</f>
        <v>-186923069.375</v>
      </c>
      <c r="E24" s="168" t="n">
        <f aca="false">-D24/D23</f>
        <v>0.348137526652721</v>
      </c>
    </row>
    <row r="25" customFormat="false" ht="15.75" hidden="false" customHeight="false" outlineLevel="0" collapsed="false">
      <c r="D25" s="15" t="n">
        <f aca="false">+D23+D24</f>
        <v>350000000</v>
      </c>
    </row>
    <row r="26" customFormat="false" ht="15.75" hidden="false" customHeight="false" outlineLevel="0" collapsed="false">
      <c r="A26" s="0" t="s">
        <v>223</v>
      </c>
      <c r="D26" s="15" t="n">
        <f aca="false">-D24*E20</f>
        <v>28166489.9058219</v>
      </c>
      <c r="E26" s="168" t="n">
        <f aca="false">+E20</f>
        <v>0.150684931506849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226</v>
      </c>
      <c r="D27" s="15" t="n">
        <f aca="false">+D25+D26</f>
        <v>378166489.905822</v>
      </c>
      <c r="E27" s="168" t="n">
        <f aca="false">+D27/D23</f>
        <v>0.704321552705908</v>
      </c>
    </row>
    <row r="28" customFormat="false" ht="15.75" hidden="false" customHeight="false" outlineLevel="0" collapsed="false">
      <c r="A28" s="0" t="s">
        <v>39</v>
      </c>
      <c r="D28" s="15" t="n">
        <f aca="false">+Financials!M10-D27</f>
        <v>0</v>
      </c>
      <c r="E28" s="168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99</v>
      </c>
      <c r="B30" s="26" t="n">
        <f aca="false">+B17-B23</f>
        <v>0</v>
      </c>
      <c r="D30" s="15" t="n">
        <f aca="false">+D21-D27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2001-02-13T17:42:33Z</dcterms:modified>
  <cp:revision>0</cp:revision>
  <dc:subject/>
  <dc:title>FXHistory</dc:title>
</cp:coreProperties>
</file>