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Shares" sheetId="8" state="visible" r:id="rId10"/>
    <sheet name="MRP Raptor" sheetId="9" state="visible" r:id="rId11"/>
  </sheets>
  <externalReferences>
    <externalReference r:id="rId12"/>
  </externalReference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12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37</xdr:row>
                <xdr:rowOff>18</xdr:rowOff>
              </xdr:from>
              <xdr:to>
                <xdr:col>10</xdr:col>
                <xdr:colOff>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2</xdr:row>
                <xdr:rowOff>11</xdr:rowOff>
              </xdr:from>
              <xdr:to>
                <xdr:col>5</xdr:col>
                <xdr:colOff>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<sst xmlns="http://schemas.openxmlformats.org/spreadsheetml/2006/main" count="314" uniqueCount="227">
  <si>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</si>
  <si>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</si>
  <si>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</si>
  <si>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</si>
  <si>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</si>
  <si>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</si>
  <si>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</si>
  <si>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</si>
  <si>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</si>
  <si>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</si>
  <si>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</si>
  <si>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</si>
  <si>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</si>
  <si>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</si>
  <si>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</si>
  <si>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</si>
  <si>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</si>
  <si>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</si>
  <si>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</si>
  <si>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</si>
  <si>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</si>
  <si>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</si>
  <si>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</si>
  <si>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</si>
  <si>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</si>
  <si>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</si>
  <si>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</si>
  <si>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</si>
  <si>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</si>
  <si>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</si>
  <si>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</si>
  <si>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</si>
  <si>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</si>
  <si>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</si>
  <si>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</si>
  <si>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</si>
  <si>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</si>
  <si>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</si>
  <si>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</si>
  <si>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</si>
  <si>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</si>
  <si>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</si>
  <si>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</si>
  <si>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</si>
  <si>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</si>
  <si>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</si>
  <si>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</si>
  <si>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</si>
  <si>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</si>
  <si>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</si>
  <si>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</si>
  <si>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</si>
  <si>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</si>
  <si>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</si>
  <si>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</si>
  <si>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</si>
  <si>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</si>
  <si>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</si>
  <si>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</si>
  <si>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</si>
  <si>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</si>
  <si>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</si>
  <si>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</si>
  <si>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</si>
  <si>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</si>
  <si>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</si>
  <si>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</si>
  <si>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</si>
  <si>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</si>
  <si>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</si>
  <si>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Swap Obligation</t>
  </si>
  <si>
    <t xml:space="preserve">Income Statement</t>
  </si>
  <si>
    <t xml:space="preserve">Collar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</si>
  <si>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</si>
  <si>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</si>
  <si>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</si>
  <si>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</si>
  <si>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</si>
  <si>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</si>
  <si>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</si>
  <si>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</si>
  <si>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</si>
  <si>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</si>
  <si>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</si>
  <si>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</si>
  <si>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</si>
  <si>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</si>
  <si>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</si>
  <si>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</si>
  <si>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</si>
  <si>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</si>
  <si>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</si>
  <si>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</si>
  <si>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</si>
  <si>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</si>
  <si>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</si>
  <si>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</si>
  <si>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Costs Paid by Enron</t>
  </si>
  <si>
    <t xml:space="preserve">3 Percent Test</t>
  </si>
  <si>
    <t xml:space="preserve">Reserve for Shares</t>
  </si>
  <si>
    <t xml:space="preserve">Put Option Exposure</t>
  </si>
  <si>
    <t xml:space="preserve">Unrealized Gains / (Losses)</t>
  </si>
  <si>
    <t xml:space="preserve">Swap Exposure</t>
  </si>
  <si>
    <t xml:space="preserve">Plus Costs paid by Enron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</si>
  <si>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</si>
  <si>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</si>
  <si>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</si>
  <si>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</si>
  <si>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</si>
  <si>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</si>
  <si>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f</t>
  </si>
  <si>
    <t xml:space="preserve">Required Third Party Capitalization</t>
  </si>
  <si>
    <t xml:space="preserve">     Subtotal</t>
  </si>
  <si>
    <t xml:space="preserve">Net Gain/(Loss)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</si>
  <si>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</si>
  <si>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</si>
  <si>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</si>
  <si>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</si>
  <si>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</si>
  <si>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</si>
  <si>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</si>
  <si>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</si>
  <si>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</si>
  <si>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</si>
  <si>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</si>
  <si>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</si>
  <si>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</si>
  <si>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</si>
  <si>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</si>
  <si>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</si>
  <si>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</si>
  <si>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</si>
  <si>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</si>
  <si>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</si>
  <si>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</si>
  <si>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</si>
  <si>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</si>
  <si>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$83 per share and Call at $112.418 included</t>
  </si>
  <si>
    <t xml:space="preserve">     Ending LJM Capital</t>
  </si>
  <si>
    <t xml:space="preserve">     Ending ENE Capital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</si>
  <si>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</si>
  <si>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</si>
  <si>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</si>
  <si>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</si>
  <si>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Existing Notional</t>
  </si>
  <si>
    <t xml:space="preserve">Realized Losses</t>
  </si>
  <si>
    <t xml:space="preserve">Remaining Notional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</si>
  <si>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</si>
  <si>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</si>
  <si>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</si>
  <si>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</si>
  <si>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</si>
  <si>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</si>
  <si>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</si>
  <si>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</si>
  <si>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</si>
  <si>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</si>
  <si>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</si>
  <si>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</si>
  <si>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</si>
  <si>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</si>
  <si>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</si>
  <si>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</si>
  <si>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</si>
  <si>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</si>
  <si>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</si>
  <si>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</si>
  <si>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</si>
  <si>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</si>
  <si>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</si>
  <si>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</si>
  <si>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</si>
  <si>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</si>
  <si>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</si>
  <si>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</si>
  <si>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</si>
  <si>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</si>
  <si>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</si>
  <si>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</si>
  <si>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</si>
  <si>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</si>
  <si>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</si>
  <si>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</si>
  <si>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</si>
  <si>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</si>
  <si>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</si>
  <si>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</si>
  <si>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</si>
  <si>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</si>
  <si>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</si>
  <si>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</si>
  <si>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</si>
  <si>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</si>
  <si>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</si>
  <si>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</si>
  <si>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</si>
  <si>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</si>
  <si>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</si>
  <si>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</si>
  <si>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</si>
  <si>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</si>
  <si>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</si>
  <si>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</si>
  <si>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</si>
  <si>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</si>
  <si>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</si>
  <si>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</si>
  <si>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</si>
  <si>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</si>
  <si>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</si>
  <si>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</si>
  <si>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</si>
  <si>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</si>
  <si>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</si>
  <si>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</si>
  <si>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</si>
  <si>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</si>
  <si>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</si>
  <si>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</si>
  <si>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Reduction in Share Price available</t>
  </si>
  <si>
    <t xml:space="preserve">Raptor IV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</si>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</sst>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raptor1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MPR Raptor"/>
    </sheetNames>
    <sheetDataSet>
      <sheetData sheetId="0">
        <row r="5">
          <cell r="C5">
            <v>36959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+[1]Summary!$C$5</f>
        <v>36959</v>
      </c>
      <c r="D5" s="10" t="s">
        <v>3</v>
      </c>
      <c r="E5" s="11" t="n">
        <f aca="false">+C5-1</f>
        <v>36958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IF(+Financials!P49&lt;0,"No Capacity Available",+Financials!P49)</f>
        <v>522376483.443709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+Financials!I37</f>
        <v>-36375369.7450164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</row>
    <row r="2" customFormat="false" ht="15" hidden="false" customHeight="true" outlineLevel="0" collapsed="false">
      <c r="A2" s="37" t="s">
        <v>27</v>
      </c>
      <c r="B2" s="38" t="s">
        <v>28</v>
      </c>
      <c r="C2" s="38" t="s">
        <v>28</v>
      </c>
      <c r="D2" s="37" t="s">
        <v>29</v>
      </c>
      <c r="E2" s="39" t="s">
        <v>30</v>
      </c>
      <c r="F2" s="37" t="s">
        <v>31</v>
      </c>
      <c r="G2" s="40" t="s">
        <v>32</v>
      </c>
      <c r="H2" s="41" t="s">
        <v>33</v>
      </c>
      <c r="I2" s="42" t="s">
        <v>34</v>
      </c>
      <c r="J2" s="37" t="s">
        <v>35</v>
      </c>
      <c r="K2" s="38" t="s">
        <v>36</v>
      </c>
      <c r="L2" s="43" t="s">
        <v>37</v>
      </c>
      <c r="M2" s="37" t="s">
        <v>37</v>
      </c>
      <c r="N2" s="44" t="s">
        <v>37</v>
      </c>
      <c r="O2" s="43" t="s">
        <v>7</v>
      </c>
      <c r="P2" s="44" t="s">
        <v>6</v>
      </c>
      <c r="Q2" s="37" t="s">
        <v>35</v>
      </c>
      <c r="R2" s="37" t="s">
        <v>38</v>
      </c>
      <c r="S2" s="44" t="s">
        <v>39</v>
      </c>
      <c r="T2" s="45"/>
    </row>
    <row r="3" customFormat="false" ht="15.75" hidden="false" customHeight="false" outlineLevel="0" collapsed="false">
      <c r="A3" s="46"/>
      <c r="J3" s="15"/>
      <c r="L3" s="15"/>
      <c r="M3" s="15"/>
      <c r="N3" s="47"/>
      <c r="P3" s="15"/>
      <c r="Q3" s="15"/>
      <c r="R3" s="48"/>
      <c r="S3" s="49"/>
    </row>
    <row r="4" customFormat="false" ht="15.75" hidden="false" customHeight="false" outlineLevel="0" collapsed="false">
      <c r="A4" s="46"/>
      <c r="J4" s="15"/>
      <c r="L4" s="15"/>
      <c r="M4" s="15"/>
      <c r="N4" s="47"/>
      <c r="P4" s="15"/>
      <c r="Q4" s="15"/>
      <c r="R4" s="48"/>
      <c r="S4" s="49"/>
    </row>
    <row r="5" customFormat="false" ht="15.75" hidden="false" customHeight="false" outlineLevel="0" collapsed="false">
      <c r="A5" s="46"/>
      <c r="J5" s="15"/>
      <c r="L5" s="15"/>
      <c r="M5" s="15"/>
      <c r="N5" s="47"/>
      <c r="P5" s="15"/>
      <c r="Q5" s="15"/>
      <c r="R5" s="48"/>
      <c r="S5" s="49"/>
    </row>
    <row r="7" customFormat="false" ht="16.5" hidden="false" customHeight="false" outlineLevel="0" collapsed="false">
      <c r="B7" s="50" t="s">
        <v>40</v>
      </c>
      <c r="E7" s="51" t="n">
        <f aca="false">SUM(E3:E6)</f>
        <v>0</v>
      </c>
      <c r="I7" s="52" t="n">
        <f aca="false">SUM(I3:I6)</f>
        <v>0</v>
      </c>
      <c r="L7" s="51" t="n">
        <f aca="false">SUM(L3:L6)</f>
        <v>0</v>
      </c>
      <c r="M7" s="51" t="n">
        <f aca="false">SUM(M3:M6)</f>
        <v>0</v>
      </c>
      <c r="N7" s="51" t="n">
        <f aca="false">SUM(N3:N6)</f>
        <v>0</v>
      </c>
      <c r="O7" s="51" t="n">
        <f aca="false">SUM(O3:O6)</f>
        <v>0</v>
      </c>
      <c r="P7" s="51" t="n">
        <f aca="false">SUM(P3:P6)</f>
        <v>0</v>
      </c>
      <c r="Q7" s="18"/>
      <c r="R7" s="18"/>
      <c r="S7" s="51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7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21" activePane="bottomLeft" state="frozen"/>
      <selection pane="topLeft" activeCell="A1" activeCellId="0" sqref="A1"/>
      <selection pane="bottomLeft" activeCell="A137" activeCellId="0" sqref="A13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7" t="n">
        <v>36815</v>
      </c>
      <c r="B36" s="56" t="n">
        <v>80</v>
      </c>
    </row>
    <row r="37" customFormat="false" ht="15.75" hidden="false" customHeight="false" outlineLevel="0" collapsed="false">
      <c r="A37" s="27" t="n">
        <v>36816</v>
      </c>
      <c r="B37" s="56" t="n">
        <v>79.188</v>
      </c>
    </row>
    <row r="38" customFormat="false" ht="15.75" hidden="false" customHeight="false" outlineLevel="0" collapsed="false">
      <c r="A38" s="27" t="n">
        <v>36817</v>
      </c>
      <c r="B38" s="56" t="n">
        <v>78.75</v>
      </c>
    </row>
    <row r="39" customFormat="false" ht="15.75" hidden="false" customHeight="false" outlineLevel="0" collapsed="false">
      <c r="A39" s="27" t="n">
        <v>36818</v>
      </c>
      <c r="B39" s="56" t="n">
        <v>79</v>
      </c>
    </row>
    <row r="40" customFormat="false" ht="15.75" hidden="false" customHeight="false" outlineLevel="0" collapsed="false">
      <c r="A40" s="27" t="n">
        <v>36819</v>
      </c>
      <c r="B40" s="56" t="n">
        <v>80.5</v>
      </c>
    </row>
    <row r="41" customFormat="false" ht="15.75" hidden="false" customHeight="false" outlineLevel="0" collapsed="false">
      <c r="A41" s="27" t="n">
        <v>36822</v>
      </c>
      <c r="B41" s="56" t="n">
        <v>82</v>
      </c>
    </row>
    <row r="42" customFormat="false" ht="15.75" hidden="false" customHeight="false" outlineLevel="0" collapsed="false">
      <c r="A42" s="27" t="n">
        <v>36823</v>
      </c>
      <c r="B42" s="56" t="n">
        <v>80.1875</v>
      </c>
    </row>
    <row r="43" customFormat="false" ht="15.75" hidden="false" customHeight="false" outlineLevel="0" collapsed="false">
      <c r="A43" s="27" t="n">
        <v>36824</v>
      </c>
      <c r="B43" s="56" t="n">
        <v>76.125</v>
      </c>
    </row>
    <row r="44" customFormat="false" ht="15.75" hidden="false" customHeight="false" outlineLevel="0" collapsed="false">
      <c r="A44" s="27" t="n">
        <v>36825</v>
      </c>
      <c r="B44" s="56" t="n">
        <v>77.5</v>
      </c>
    </row>
    <row r="45" customFormat="false" ht="15.75" hidden="false" customHeight="false" outlineLevel="0" collapsed="false">
      <c r="A45" s="27" t="n">
        <v>36826</v>
      </c>
      <c r="B45" s="56" t="n">
        <v>78.875</v>
      </c>
    </row>
    <row r="46" customFormat="false" ht="15.75" hidden="false" customHeight="false" outlineLevel="0" collapsed="false">
      <c r="A46" s="27" t="n">
        <v>36829</v>
      </c>
      <c r="B46" s="56" t="n">
        <v>80.688</v>
      </c>
    </row>
    <row r="47" customFormat="false" ht="15.75" hidden="false" customHeight="false" outlineLevel="0" collapsed="false">
      <c r="A47" s="27" t="n">
        <v>36830</v>
      </c>
      <c r="B47" s="56" t="n">
        <v>82.063</v>
      </c>
    </row>
    <row r="48" customFormat="false" ht="15.75" hidden="false" customHeight="false" outlineLevel="0" collapsed="false">
      <c r="A48" s="27" t="n">
        <v>36831</v>
      </c>
      <c r="B48" s="56" t="n">
        <v>83.25</v>
      </c>
    </row>
    <row r="49" customFormat="false" ht="15.75" hidden="false" customHeight="false" outlineLevel="0" collapsed="false">
      <c r="A49" s="27" t="n">
        <v>36832</v>
      </c>
      <c r="B49" s="56" t="n">
        <v>81.75</v>
      </c>
    </row>
    <row r="50" customFormat="false" ht="15.75" hidden="false" customHeight="false" outlineLevel="0" collapsed="false">
      <c r="A50" s="27" t="n">
        <v>36833</v>
      </c>
      <c r="B50" s="56" t="n">
        <v>77.375</v>
      </c>
    </row>
    <row r="51" customFormat="false" ht="15.75" hidden="false" customHeight="false" outlineLevel="0" collapsed="false">
      <c r="A51" s="27" t="n">
        <v>36836</v>
      </c>
      <c r="B51" s="56" t="n">
        <v>81.563</v>
      </c>
    </row>
    <row r="52" customFormat="false" ht="15.75" hidden="false" customHeight="false" outlineLevel="0" collapsed="false">
      <c r="A52" s="27" t="n">
        <v>36837</v>
      </c>
      <c r="B52" s="56" t="n">
        <v>81.813</v>
      </c>
    </row>
    <row r="53" customFormat="false" ht="15.75" hidden="false" customHeight="false" outlineLevel="0" collapsed="false">
      <c r="A53" s="27" t="n">
        <v>36838</v>
      </c>
      <c r="B53" s="56" t="n">
        <v>82.125</v>
      </c>
    </row>
    <row r="54" customFormat="false" ht="15.75" hidden="false" customHeight="false" outlineLevel="0" collapsed="false">
      <c r="A54" s="27" t="n">
        <v>36839</v>
      </c>
      <c r="B54" s="56" t="n">
        <v>82.938</v>
      </c>
    </row>
    <row r="55" customFormat="false" ht="15.75" hidden="false" customHeight="false" outlineLevel="0" collapsed="false">
      <c r="A55" s="27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7" t="n">
        <v>36843</v>
      </c>
      <c r="B56" s="56" t="n">
        <v>79.438</v>
      </c>
    </row>
    <row r="57" customFormat="false" ht="15.75" hidden="false" customHeight="false" outlineLevel="0" collapsed="false">
      <c r="A57" s="27" t="n">
        <v>36844</v>
      </c>
      <c r="B57" s="56" t="n">
        <v>79.563</v>
      </c>
    </row>
    <row r="58" customFormat="false" ht="15.75" hidden="false" customHeight="false" outlineLevel="0" collapsed="false">
      <c r="A58" s="27" t="n">
        <v>36845</v>
      </c>
      <c r="B58" s="56" t="n">
        <v>80.375</v>
      </c>
    </row>
    <row r="59" customFormat="false" ht="15.75" hidden="false" customHeight="false" outlineLevel="0" collapsed="false">
      <c r="A59" s="27" t="n">
        <v>36846</v>
      </c>
      <c r="B59" s="56" t="n">
        <v>81.25</v>
      </c>
    </row>
    <row r="60" customFormat="false" ht="15.75" hidden="false" customHeight="false" outlineLevel="0" collapsed="false">
      <c r="A60" s="27" t="n">
        <v>36847</v>
      </c>
      <c r="B60" s="56" t="n">
        <v>81.5</v>
      </c>
    </row>
    <row r="61" customFormat="false" ht="15.75" hidden="false" customHeight="false" outlineLevel="0" collapsed="false">
      <c r="A61" s="27" t="n">
        <v>36850</v>
      </c>
      <c r="B61" s="56" t="n">
        <v>80.25</v>
      </c>
    </row>
    <row r="62" customFormat="false" ht="15.75" hidden="false" customHeight="false" outlineLevel="0" collapsed="false">
      <c r="A62" s="27" t="n">
        <v>36851</v>
      </c>
      <c r="B62" s="56" t="n">
        <v>80.375</v>
      </c>
    </row>
    <row r="63" customFormat="false" ht="15.75" hidden="false" customHeight="false" outlineLevel="0" collapsed="false">
      <c r="A63" s="27" t="n">
        <v>36852</v>
      </c>
      <c r="B63" s="56" t="n">
        <v>75.563</v>
      </c>
    </row>
    <row r="64" customFormat="false" ht="15.75" hidden="false" customHeight="false" outlineLevel="0" collapsed="false">
      <c r="A64" s="27" t="n">
        <v>36854</v>
      </c>
      <c r="B64" s="56" t="n">
        <v>77.75</v>
      </c>
    </row>
    <row r="65" customFormat="false" ht="15.75" hidden="false" customHeight="false" outlineLevel="0" collapsed="false">
      <c r="A65" s="27" t="n">
        <v>36857</v>
      </c>
      <c r="B65" s="56" t="n">
        <v>78.875</v>
      </c>
    </row>
    <row r="66" customFormat="false" ht="15.75" hidden="false" customHeight="false" outlineLevel="0" collapsed="false">
      <c r="A66" s="27" t="n">
        <v>36858</v>
      </c>
      <c r="B66" s="56" t="n">
        <v>78.438</v>
      </c>
    </row>
    <row r="67" customFormat="false" ht="15.75" hidden="false" customHeight="false" outlineLevel="0" collapsed="false">
      <c r="A67" s="27" t="n">
        <v>36859</v>
      </c>
      <c r="B67" s="56" t="n">
        <v>70.25</v>
      </c>
    </row>
    <row r="68" customFormat="false" ht="15.75" hidden="false" customHeight="false" outlineLevel="0" collapsed="false">
      <c r="A68" s="27" t="n">
        <v>36860</v>
      </c>
      <c r="B68" s="56" t="n">
        <v>64.75</v>
      </c>
    </row>
    <row r="69" customFormat="false" ht="15.75" hidden="false" customHeight="false" outlineLevel="0" collapsed="false">
      <c r="A69" s="27" t="n">
        <v>36861</v>
      </c>
      <c r="B69" s="56" t="n">
        <v>65.5</v>
      </c>
    </row>
    <row r="70" customFormat="false" ht="15.75" hidden="false" customHeight="false" outlineLevel="0" collapsed="false">
      <c r="A70" s="27" t="n">
        <v>36864</v>
      </c>
      <c r="B70" s="56" t="n">
        <v>65.938</v>
      </c>
    </row>
    <row r="71" customFormat="false" ht="15.75" hidden="false" customHeight="false" outlineLevel="0" collapsed="false">
      <c r="A71" s="27" t="n">
        <v>36865</v>
      </c>
      <c r="B71" s="56" t="n">
        <v>68.25</v>
      </c>
    </row>
    <row r="72" customFormat="false" ht="15.75" hidden="false" customHeight="false" outlineLevel="0" collapsed="false">
      <c r="A72" s="27" t="n">
        <v>36866</v>
      </c>
      <c r="B72" s="56" t="n">
        <v>71.938</v>
      </c>
    </row>
    <row r="73" customFormat="false" ht="15.75" hidden="false" customHeight="false" outlineLevel="0" collapsed="false">
      <c r="A73" s="27" t="n">
        <v>36867</v>
      </c>
      <c r="B73" s="56" t="n">
        <v>72.875</v>
      </c>
    </row>
    <row r="74" customFormat="false" ht="15.75" hidden="false" customHeight="false" outlineLevel="0" collapsed="false">
      <c r="A74" s="27" t="n">
        <v>36868</v>
      </c>
      <c r="B74" s="56" t="n">
        <v>73.063</v>
      </c>
    </row>
    <row r="75" customFormat="false" ht="15.75" hidden="false" customHeight="false" outlineLevel="0" collapsed="false">
      <c r="A75" s="27" t="n">
        <v>36871</v>
      </c>
      <c r="B75" s="56" t="n">
        <v>76.5</v>
      </c>
    </row>
    <row r="76" customFormat="false" ht="15.75" hidden="false" customHeight="false" outlineLevel="0" collapsed="false">
      <c r="A76" s="27" t="n">
        <v>36872</v>
      </c>
      <c r="B76" s="56" t="n">
        <v>77.188</v>
      </c>
    </row>
    <row r="77" customFormat="false" ht="15.75" hidden="false" customHeight="false" outlineLevel="0" collapsed="false">
      <c r="A77" s="27" t="n">
        <v>36873</v>
      </c>
      <c r="B77" s="56" t="n">
        <v>74.5</v>
      </c>
    </row>
    <row r="78" customFormat="false" ht="15.75" hidden="false" customHeight="false" outlineLevel="0" collapsed="false">
      <c r="A78" s="27" t="n">
        <v>36874</v>
      </c>
      <c r="B78" s="56" t="n">
        <v>76.5</v>
      </c>
    </row>
    <row r="79" customFormat="false" ht="15.75" hidden="false" customHeight="false" outlineLevel="0" collapsed="false">
      <c r="A79" s="27" t="n">
        <v>36875</v>
      </c>
      <c r="B79" s="56" t="n">
        <v>77.563</v>
      </c>
    </row>
    <row r="80" customFormat="false" ht="15.75" hidden="false" customHeight="false" outlineLevel="0" collapsed="false">
      <c r="A80" s="27" t="n">
        <v>36878</v>
      </c>
      <c r="B80" s="56" t="n">
        <v>79.563</v>
      </c>
    </row>
    <row r="81" customFormat="false" ht="15.75" hidden="false" customHeight="false" outlineLevel="0" collapsed="false">
      <c r="A81" s="27" t="n">
        <v>36879</v>
      </c>
      <c r="B81" s="56" t="n">
        <v>79.75</v>
      </c>
    </row>
    <row r="82" customFormat="false" ht="15.75" hidden="false" customHeight="false" outlineLevel="0" collapsed="false">
      <c r="A82" s="27" t="n">
        <v>36880</v>
      </c>
      <c r="B82" s="56" t="n">
        <v>79.75</v>
      </c>
    </row>
    <row r="83" customFormat="false" ht="15.75" hidden="false" customHeight="false" outlineLevel="0" collapsed="false">
      <c r="A83" s="27" t="n">
        <v>36881</v>
      </c>
      <c r="B83" s="56" t="n">
        <v>79.313</v>
      </c>
    </row>
    <row r="84" customFormat="false" ht="15.75" hidden="false" customHeight="false" outlineLevel="0" collapsed="false">
      <c r="A84" s="27" t="n">
        <v>36882</v>
      </c>
      <c r="B84" s="56" t="n">
        <v>81.188</v>
      </c>
    </row>
    <row r="85" customFormat="false" ht="15.75" hidden="false" customHeight="false" outlineLevel="0" collapsed="false">
      <c r="A85" s="27" t="n">
        <v>36886</v>
      </c>
      <c r="B85" s="56" t="n">
        <v>83.5</v>
      </c>
    </row>
    <row r="86" customFormat="false" ht="15.75" hidden="false" customHeight="false" outlineLevel="0" collapsed="false">
      <c r="A86" s="27" t="n">
        <v>36887</v>
      </c>
      <c r="B86" s="56" t="n">
        <v>82.813</v>
      </c>
    </row>
    <row r="87" customFormat="false" ht="15.75" hidden="false" customHeight="false" outlineLevel="0" collapsed="false">
      <c r="A87" s="27" t="n">
        <v>36888</v>
      </c>
      <c r="B87" s="56" t="n">
        <v>84.625</v>
      </c>
    </row>
    <row r="88" customFormat="false" ht="15.75" hidden="false" customHeight="false" outlineLevel="0" collapsed="false">
      <c r="A88" s="27" t="n">
        <v>36889</v>
      </c>
      <c r="B88" s="56" t="n">
        <v>83.125</v>
      </c>
    </row>
    <row r="89" customFormat="false" ht="15.75" hidden="false" customHeight="false" outlineLevel="0" collapsed="false">
      <c r="A89" s="27" t="n">
        <v>36893</v>
      </c>
      <c r="B89" s="56" t="n">
        <v>79.875</v>
      </c>
    </row>
    <row r="90" customFormat="false" ht="15.75" hidden="false" customHeight="false" outlineLevel="0" collapsed="false">
      <c r="A90" s="27" t="n">
        <v>36894</v>
      </c>
      <c r="B90" s="56" t="n">
        <v>75.063</v>
      </c>
    </row>
    <row r="91" customFormat="false" ht="15.75" hidden="false" customHeight="false" outlineLevel="0" collapsed="false">
      <c r="A91" s="27" t="n">
        <v>36895</v>
      </c>
      <c r="B91" s="56" t="n">
        <v>72</v>
      </c>
    </row>
    <row r="92" customFormat="false" ht="15.75" hidden="false" customHeight="false" outlineLevel="0" collapsed="false">
      <c r="A92" s="27" t="n">
        <v>36896</v>
      </c>
      <c r="B92" s="56" t="n">
        <v>71.375</v>
      </c>
    </row>
    <row r="93" customFormat="false" ht="15.75" hidden="false" customHeight="false" outlineLevel="0" collapsed="false">
      <c r="A93" s="27" t="n">
        <v>36899</v>
      </c>
      <c r="B93" s="56" t="n">
        <v>71.25</v>
      </c>
    </row>
    <row r="94" customFormat="false" ht="15.75" hidden="false" customHeight="false" outlineLevel="0" collapsed="false">
      <c r="A94" s="27" t="n">
        <v>36900</v>
      </c>
      <c r="B94" s="56" t="n">
        <v>68.625</v>
      </c>
    </row>
    <row r="95" customFormat="false" ht="15.75" hidden="false" customHeight="false" outlineLevel="0" collapsed="false">
      <c r="A95" s="27" t="n">
        <v>36901</v>
      </c>
      <c r="B95" s="56" t="n">
        <v>68.938</v>
      </c>
    </row>
    <row r="96" customFormat="false" ht="15.75" hidden="false" customHeight="false" outlineLevel="0" collapsed="false">
      <c r="A96" s="27" t="n">
        <v>36902</v>
      </c>
      <c r="B96" s="56" t="n">
        <v>69.438</v>
      </c>
    </row>
    <row r="97" customFormat="false" ht="15.75" hidden="false" customHeight="false" outlineLevel="0" collapsed="false">
      <c r="A97" s="27" t="n">
        <v>36903</v>
      </c>
      <c r="B97" s="56" t="n">
        <v>70.438</v>
      </c>
    </row>
    <row r="98" customFormat="false" ht="15.75" hidden="false" customHeight="false" outlineLevel="0" collapsed="false">
      <c r="A98" s="27" t="n">
        <v>36907</v>
      </c>
      <c r="B98" s="56" t="n">
        <v>68.438</v>
      </c>
    </row>
    <row r="99" customFormat="false" ht="15.75" hidden="false" customHeight="false" outlineLevel="0" collapsed="false">
      <c r="A99" s="27" t="n">
        <v>36908</v>
      </c>
      <c r="B99" s="56" t="n">
        <v>71.125</v>
      </c>
    </row>
    <row r="100" customFormat="false" ht="15.75" hidden="false" customHeight="false" outlineLevel="0" collapsed="false">
      <c r="A100" s="27" t="n">
        <v>36909</v>
      </c>
      <c r="B100" s="56" t="n">
        <v>72.063</v>
      </c>
    </row>
    <row r="101" customFormat="false" ht="15.75" hidden="false" customHeight="false" outlineLevel="0" collapsed="false">
      <c r="A101" s="27" t="n">
        <v>36910</v>
      </c>
      <c r="B101" s="56" t="n">
        <v>70.875</v>
      </c>
    </row>
    <row r="102" customFormat="false" ht="15.75" hidden="false" customHeight="false" outlineLevel="0" collapsed="false">
      <c r="A102" s="27" t="n">
        <v>36913</v>
      </c>
      <c r="B102" s="56" t="n">
        <v>75.0625</v>
      </c>
    </row>
    <row r="103" customFormat="false" ht="15.75" hidden="false" customHeight="false" outlineLevel="0" collapsed="false">
      <c r="A103" s="27" t="n">
        <v>36914</v>
      </c>
      <c r="B103" s="56" t="n">
        <v>78.563</v>
      </c>
    </row>
    <row r="104" customFormat="false" ht="15.75" hidden="false" customHeight="false" outlineLevel="0" collapsed="false">
      <c r="A104" s="27" t="n">
        <v>36915</v>
      </c>
      <c r="B104" s="56" t="n">
        <v>79.75</v>
      </c>
    </row>
    <row r="105" customFormat="false" ht="15.75" hidden="false" customHeight="false" outlineLevel="0" collapsed="false">
      <c r="A105" s="27" t="n">
        <v>36916</v>
      </c>
      <c r="B105" s="56" t="n">
        <v>82</v>
      </c>
    </row>
    <row r="106" customFormat="false" ht="15.75" hidden="false" customHeight="false" outlineLevel="0" collapsed="false">
      <c r="A106" s="27" t="n">
        <v>36917</v>
      </c>
      <c r="B106" s="56" t="n">
        <v>82</v>
      </c>
    </row>
    <row r="107" customFormat="false" ht="15.75" hidden="false" customHeight="false" outlineLevel="0" collapsed="false">
      <c r="A107" s="27" t="n">
        <v>36920</v>
      </c>
      <c r="B107" s="56" t="n">
        <v>80.77</v>
      </c>
    </row>
    <row r="108" customFormat="false" ht="15.75" hidden="false" customHeight="false" outlineLevel="0" collapsed="false">
      <c r="A108" s="27" t="n">
        <v>36921</v>
      </c>
      <c r="B108" s="56" t="n">
        <v>78.5</v>
      </c>
    </row>
    <row r="109" customFormat="false" ht="15.75" hidden="false" customHeight="false" outlineLevel="0" collapsed="false">
      <c r="A109" s="27" t="n">
        <v>36922</v>
      </c>
      <c r="B109" s="56" t="n">
        <v>80</v>
      </c>
    </row>
    <row r="110" customFormat="false" ht="15.75" hidden="false" customHeight="false" outlineLevel="0" collapsed="false">
      <c r="A110" s="27" t="n">
        <v>36923</v>
      </c>
      <c r="B110" s="56" t="n">
        <v>78.79</v>
      </c>
    </row>
    <row r="111" customFormat="false" ht="15.75" hidden="false" customHeight="false" outlineLevel="0" collapsed="false">
      <c r="A111" s="27" t="n">
        <v>36924</v>
      </c>
      <c r="B111" s="56" t="n">
        <v>79.98</v>
      </c>
    </row>
    <row r="112" customFormat="false" ht="15.75" hidden="false" customHeight="false" outlineLevel="0" collapsed="false">
      <c r="A112" s="27" t="n">
        <v>36927</v>
      </c>
      <c r="B112" s="56" t="n">
        <v>81.81</v>
      </c>
    </row>
    <row r="113" customFormat="false" ht="15.75" hidden="false" customHeight="false" outlineLevel="0" collapsed="false">
      <c r="A113" s="27" t="n">
        <v>36928</v>
      </c>
      <c r="B113" s="56" t="n">
        <v>80.15</v>
      </c>
    </row>
    <row r="114" customFormat="false" ht="15.75" hidden="false" customHeight="false" outlineLevel="0" collapsed="false">
      <c r="A114" s="27" t="n">
        <v>36929</v>
      </c>
      <c r="B114" s="56" t="n">
        <v>80.35</v>
      </c>
    </row>
    <row r="115" customFormat="false" ht="15.75" hidden="false" customHeight="false" outlineLevel="0" collapsed="false">
      <c r="A115" s="27" t="n">
        <v>36930</v>
      </c>
      <c r="B115" s="56" t="n">
        <v>80</v>
      </c>
    </row>
    <row r="116" customFormat="false" ht="15.75" hidden="false" customHeight="false" outlineLevel="0" collapsed="false">
      <c r="A116" s="27" t="n">
        <v>36931</v>
      </c>
      <c r="B116" s="56" t="n">
        <v>80.2</v>
      </c>
    </row>
    <row r="117" customFormat="false" ht="15.75" hidden="false" customHeight="false" outlineLevel="0" collapsed="false">
      <c r="A117" s="27" t="n">
        <v>36934</v>
      </c>
      <c r="B117" s="56" t="n">
        <f aca="false">79.8</f>
        <v>79.8</v>
      </c>
    </row>
    <row r="118" customFormat="false" ht="15.75" hidden="false" customHeight="false" outlineLevel="0" collapsed="false">
      <c r="A118" s="27" t="n">
        <v>36935</v>
      </c>
      <c r="B118" s="56" t="n">
        <v>81.15</v>
      </c>
    </row>
    <row r="119" customFormat="false" ht="15.75" hidden="false" customHeight="false" outlineLevel="0" collapsed="false">
      <c r="A119" s="27" t="n">
        <v>36936</v>
      </c>
      <c r="B119" s="56" t="n">
        <v>80</v>
      </c>
    </row>
    <row r="120" customFormat="false" ht="15.75" hidden="false" customHeight="false" outlineLevel="0" collapsed="false">
      <c r="A120" s="27" t="n">
        <v>36937</v>
      </c>
      <c r="B120" s="56" t="n">
        <v>77.9</v>
      </c>
    </row>
    <row r="121" customFormat="false" ht="15.75" hidden="false" customHeight="false" outlineLevel="0" collapsed="false">
      <c r="A121" s="27" t="n">
        <v>36938</v>
      </c>
      <c r="B121" s="56" t="n">
        <v>76.19</v>
      </c>
    </row>
    <row r="122" customFormat="false" ht="15.75" hidden="false" customHeight="false" outlineLevel="0" collapsed="false">
      <c r="A122" s="27" t="n">
        <v>36942</v>
      </c>
      <c r="B122" s="56" t="n">
        <v>75.09</v>
      </c>
    </row>
    <row r="123" customFormat="false" ht="15.75" hidden="false" customHeight="false" outlineLevel="0" collapsed="false">
      <c r="A123" s="27" t="n">
        <v>36943</v>
      </c>
      <c r="B123" s="56" t="n">
        <v>73.09</v>
      </c>
    </row>
    <row r="124" customFormat="false" ht="15.75" hidden="false" customHeight="false" outlineLevel="0" collapsed="false">
      <c r="A124" s="27" t="n">
        <v>36944</v>
      </c>
      <c r="B124" s="56" t="n">
        <f aca="false">72.15</f>
        <v>72.15</v>
      </c>
    </row>
    <row r="125" customFormat="false" ht="15.75" hidden="false" customHeight="false" outlineLevel="0" collapsed="false">
      <c r="A125" s="27" t="n">
        <v>36945</v>
      </c>
      <c r="B125" s="56" t="n">
        <v>71</v>
      </c>
    </row>
    <row r="126" customFormat="false" ht="15.75" hidden="false" customHeight="false" outlineLevel="0" collapsed="false">
      <c r="A126" s="27" t="n">
        <v>36948</v>
      </c>
      <c r="B126" s="56" t="n">
        <v>70.56</v>
      </c>
    </row>
    <row r="127" customFormat="false" ht="15.75" hidden="false" customHeight="false" outlineLevel="0" collapsed="false">
      <c r="A127" s="27" t="n">
        <v>36949</v>
      </c>
      <c r="B127" s="56" t="n">
        <v>70.04</v>
      </c>
    </row>
    <row r="128" customFormat="false" ht="15.75" hidden="false" customHeight="false" outlineLevel="0" collapsed="false">
      <c r="A128" s="27" t="n">
        <v>36950</v>
      </c>
      <c r="B128" s="56" t="n">
        <v>68.5</v>
      </c>
    </row>
    <row r="129" customFormat="false" ht="15.75" hidden="false" customHeight="false" outlineLevel="0" collapsed="false">
      <c r="A129" s="27" t="n">
        <v>36951</v>
      </c>
      <c r="B129" s="56" t="n">
        <v>68.68</v>
      </c>
    </row>
    <row r="130" customFormat="false" ht="15.75" hidden="false" customHeight="false" outlineLevel="0" collapsed="false">
      <c r="A130" s="27" t="n">
        <v>36952</v>
      </c>
      <c r="B130" s="56" t="n">
        <v>70.19</v>
      </c>
    </row>
    <row r="131" customFormat="false" ht="15.75" hidden="false" customHeight="false" outlineLevel="0" collapsed="false">
      <c r="A131" s="27" t="n">
        <v>36955</v>
      </c>
      <c r="B131" s="56" t="n">
        <v>70.11</v>
      </c>
    </row>
    <row r="132" customFormat="false" ht="15.75" hidden="false" customHeight="false" outlineLevel="0" collapsed="false">
      <c r="A132" s="27" t="n">
        <v>36956</v>
      </c>
      <c r="B132" s="56" t="n">
        <v>68.87</v>
      </c>
    </row>
    <row r="133" customFormat="false" ht="15.75" hidden="false" customHeight="false" outlineLevel="0" collapsed="false">
      <c r="A133" s="27" t="n">
        <v>36957</v>
      </c>
      <c r="B133" s="56" t="n">
        <v>70</v>
      </c>
    </row>
    <row r="134" customFormat="false" ht="15.75" hidden="false" customHeight="false" outlineLevel="0" collapsed="false">
      <c r="A134" s="27" t="n">
        <v>36958</v>
      </c>
      <c r="B134" s="56" t="n">
        <v>70.59</v>
      </c>
    </row>
    <row r="135" customFormat="false" ht="15.75" hidden="false" customHeight="false" outlineLevel="0" collapsed="false">
      <c r="A135" s="27" t="n">
        <v>36959</v>
      </c>
      <c r="B135" s="56" t="n">
        <v>68.84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G3" colorId="64" zoomScale="100" zoomScaleNormal="100" zoomScalePageLayoutView="100" workbookViewId="0">
      <selection pane="topLeft" activeCell="H3" activeCellId="0" sqref="H3:I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36959</v>
      </c>
      <c r="I2" s="70"/>
      <c r="J2" s="71"/>
      <c r="L2" s="70" t="n">
        <f aca="false">H2</f>
        <v>36959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68.84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0.0692833333333333</v>
      </c>
      <c r="J6" s="67"/>
      <c r="L6" s="82" t="s">
        <v>59</v>
      </c>
      <c r="M6" s="83" t="n">
        <f aca="false">H2</f>
        <v>36959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35299569.3002831</v>
      </c>
      <c r="O8" s="66" t="s">
        <v>67</v>
      </c>
      <c r="P8" s="66" t="n">
        <f aca="false">+E6-'Cash-Int-Trans'!B4+'Cash-Int-Trans'!B8</f>
        <v>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  <c r="O9" s="66" t="s">
        <v>70</v>
      </c>
      <c r="P9" s="66" t="n">
        <f aca="false">IF(I21&gt;0,0,-I21)</f>
        <v>-0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71</v>
      </c>
      <c r="I10" s="93"/>
      <c r="J10" s="67"/>
      <c r="L10" s="66" t="s">
        <v>63</v>
      </c>
      <c r="M10" s="66" t="n">
        <f aca="false">B8+I15+I20</f>
        <v>184416216.929664</v>
      </c>
      <c r="N10" s="87"/>
      <c r="O10" s="66" t="s">
        <v>72</v>
      </c>
      <c r="P10" s="66" t="n">
        <f aca="false">IF(I19&lt;0,-I19,0)</f>
        <v>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73</v>
      </c>
      <c r="D11" s="94" t="s">
        <v>6</v>
      </c>
      <c r="E11" s="95" t="n">
        <f aca="false">SUM(E6:E10)</f>
        <v>471001000</v>
      </c>
      <c r="F11" s="90"/>
      <c r="H11" s="97" t="s">
        <v>74</v>
      </c>
      <c r="I11" s="98" t="n">
        <f aca="false">H2</f>
        <v>36959</v>
      </c>
      <c r="J11" s="67"/>
      <c r="L11" s="66" t="s">
        <v>75</v>
      </c>
      <c r="M11" s="66" t="n">
        <f aca="false">+Amort!B28</f>
        <v>87500</v>
      </c>
      <c r="O11" s="66" t="s">
        <v>61</v>
      </c>
      <c r="P11" s="66" t="n">
        <f aca="false">E7-I16+'Cash-Int-Trans'!B9</f>
        <v>421336446.0853</v>
      </c>
      <c r="R11" s="26"/>
    </row>
    <row r="12" customFormat="false" ht="16.5" hidden="false" customHeight="false" outlineLevel="0" collapsed="false">
      <c r="H12" s="67" t="s">
        <v>76</v>
      </c>
      <c r="I12" s="92" t="n">
        <f aca="false">+'Cash-Int-Trans'!B6</f>
        <v>34518969</v>
      </c>
      <c r="J12" s="99" t="s">
        <v>77</v>
      </c>
    </row>
    <row r="13" customFormat="false" ht="15.75" hidden="false" customHeight="false" outlineLevel="0" collapsed="false">
      <c r="A13" s="100" t="s">
        <v>78</v>
      </c>
      <c r="D13" s="101" t="s">
        <v>79</v>
      </c>
      <c r="E13" s="101" t="s">
        <v>32</v>
      </c>
      <c r="F13" s="102"/>
      <c r="H13" s="67" t="s">
        <v>80</v>
      </c>
      <c r="I13" s="92" t="n">
        <f aca="false">+'Cash-Int-Trans'!B38</f>
        <v>3008531.07806084</v>
      </c>
      <c r="J13" s="99"/>
      <c r="L13" s="66" t="s">
        <v>81</v>
      </c>
      <c r="M13" s="66" t="n">
        <f aca="false">IF(I19&gt;0,I19,0)</f>
        <v>89576797.2</v>
      </c>
      <c r="O13" s="66" t="s">
        <v>68</v>
      </c>
      <c r="P13" s="66" t="n">
        <f aca="false">IF(+I25+I36+'Cash-Int-Trans'!D70-'Cash-Int-Trans'!D69&gt;'Cash-Int-Trans'!D70,'Cash-Int-Trans'!D70,IF(+I25+I36+'Cash-Int-Trans'!D70&lt;0,0,+I25+I36+'Cash-Int-Trans'!D70-'Cash-Int-Trans'!D69))</f>
        <v>0</v>
      </c>
      <c r="Q13" s="103" t="s">
        <v>82</v>
      </c>
    </row>
    <row r="14" customFormat="false" ht="15.75" hidden="false" customHeight="false" outlineLevel="0" collapsed="false">
      <c r="D14" s="104"/>
      <c r="E14" s="105"/>
      <c r="H14" s="67" t="s">
        <v>83</v>
      </c>
      <c r="I14" s="92" t="n">
        <f aca="false">+Amort!B29</f>
        <v>1847222.22222222</v>
      </c>
      <c r="J14" s="67"/>
      <c r="L14" s="66" t="s">
        <v>84</v>
      </c>
      <c r="M14" s="66" t="n">
        <f aca="false">IF(I21&gt;0,I21,0)</f>
        <v>0</v>
      </c>
      <c r="O14" s="66" t="s">
        <v>43</v>
      </c>
      <c r="P14" s="66" t="n">
        <f aca="false">M15-SUM(P8:P13)</f>
        <v>-61956362.6553521</v>
      </c>
    </row>
    <row r="15" customFormat="false" ht="16.5" hidden="false" customHeight="false" outlineLevel="0" collapsed="false">
      <c r="A15" s="66" t="s">
        <v>85</v>
      </c>
      <c r="B15" s="106" t="n">
        <f aca="false">D15*E15</f>
        <v>536923069.375</v>
      </c>
      <c r="D15" s="107" t="n">
        <v>6326045</v>
      </c>
      <c r="E15" s="105" t="n">
        <v>84.875</v>
      </c>
      <c r="H15" s="67" t="s">
        <v>86</v>
      </c>
      <c r="I15" s="92" t="n">
        <f aca="false">-B17*(H2-A3)/(3*365)</f>
        <v>32434139.8915525</v>
      </c>
      <c r="J15" s="108" t="s">
        <v>87</v>
      </c>
      <c r="L15" s="94" t="s">
        <v>6</v>
      </c>
      <c r="M15" s="95" t="n">
        <f aca="false">SUM(M8:M14)</f>
        <v>359380083.429947</v>
      </c>
      <c r="N15" s="96"/>
      <c r="O15" s="94" t="s">
        <v>6</v>
      </c>
      <c r="P15" s="95" t="n">
        <f aca="false">SUM(P8:P14)</f>
        <v>359380083.429947</v>
      </c>
      <c r="Q15" s="109" t="s">
        <v>88</v>
      </c>
    </row>
    <row r="16" customFormat="false" ht="16.5" hidden="false" customHeight="false" outlineLevel="0" collapsed="false">
      <c r="A16" s="66" t="s">
        <v>89</v>
      </c>
      <c r="B16" s="66" t="n">
        <f aca="false">SUM(B14:B15)</f>
        <v>536923069.375</v>
      </c>
      <c r="H16" s="67" t="s">
        <v>90</v>
      </c>
      <c r="I16" s="110" t="n">
        <f aca="false">-'Cash-Int-Trans'!B53</f>
        <v>-14855415.0852995</v>
      </c>
      <c r="J16" s="67"/>
      <c r="P16" s="66" t="n">
        <f aca="false">M15-P15</f>
        <v>0</v>
      </c>
      <c r="Q16" s="90" t="str">
        <f aca="false">IF(ROUND(P16,0)=0,"","8/31/00 Balance Sheet does not Balance!")</f>
        <v/>
      </c>
    </row>
    <row r="17" customFormat="false" ht="15.75" hidden="false" customHeight="false" outlineLevel="0" collapsed="false">
      <c r="A17" s="66" t="s">
        <v>91</v>
      </c>
      <c r="B17" s="66" t="n">
        <f aca="false">350000000-B16</f>
        <v>-186923069.375</v>
      </c>
      <c r="C17" s="111" t="s">
        <v>92</v>
      </c>
      <c r="D17" s="112" t="n">
        <f aca="false">1-350000000/B16</f>
        <v>0.348137526652721</v>
      </c>
      <c r="I17" s="66" t="n">
        <f aca="false">SUM(I12:I16)</f>
        <v>56953447.1065361</v>
      </c>
      <c r="L17" s="113" t="s">
        <v>93</v>
      </c>
      <c r="M17" s="93"/>
      <c r="N17" s="93"/>
      <c r="O17" s="93"/>
      <c r="P17" s="93"/>
      <c r="Q17" s="92"/>
    </row>
    <row r="18" customFormat="false" ht="16.5" hidden="false" customHeight="false" outlineLevel="0" collapsed="false">
      <c r="A18" s="66" t="s">
        <v>94</v>
      </c>
      <c r="B18" s="95" t="n">
        <f aca="false">B16+B17</f>
        <v>350000000</v>
      </c>
      <c r="C18" s="87" t="s">
        <v>64</v>
      </c>
      <c r="I18" s="66"/>
      <c r="L18" s="114" t="s">
        <v>95</v>
      </c>
      <c r="M18" s="114"/>
      <c r="P18" s="66" t="n">
        <f aca="false">M15</f>
        <v>359380083.429947</v>
      </c>
      <c r="Q18" s="109" t="s">
        <v>88</v>
      </c>
    </row>
    <row r="19" customFormat="false" ht="16.5" hidden="false" customHeight="false" outlineLevel="0" collapsed="false">
      <c r="H19" s="66" t="s">
        <v>96</v>
      </c>
      <c r="I19" s="66" t="n">
        <f aca="false">IF(I5&lt;83,(83-I5)*(D14+D15),IF(I5&gt;112.418,(112.418-I5)*(+D14+D15),0))</f>
        <v>89576797.2</v>
      </c>
      <c r="L19" s="66" t="s">
        <v>97</v>
      </c>
      <c r="P19" s="66" t="n">
        <v>1000000</v>
      </c>
      <c r="T19" s="115"/>
    </row>
    <row r="20" customFormat="false" ht="16.5" hidden="false" customHeight="false" outlineLevel="0" collapsed="false">
      <c r="A20" s="116" t="s">
        <v>98</v>
      </c>
      <c r="B20" s="116"/>
      <c r="C20" s="116"/>
      <c r="D20" s="116"/>
      <c r="E20" s="116"/>
      <c r="H20" s="66" t="s">
        <v>99</v>
      </c>
      <c r="I20" s="68" t="n">
        <f aca="false">-Shares!D30</f>
        <v>-198017922.961888</v>
      </c>
      <c r="J20" s="67"/>
      <c r="L20" s="66" t="s">
        <v>100</v>
      </c>
      <c r="M20" s="117" t="n">
        <f aca="false">IF(P8=0,0,+D23*D24)</f>
        <v>0</v>
      </c>
      <c r="N20" s="117"/>
      <c r="O20" s="117" t="n">
        <f aca="false">-P8</f>
        <v>-0</v>
      </c>
      <c r="P20" s="66" t="n">
        <f aca="false">+M20+O20</f>
        <v>0</v>
      </c>
    </row>
    <row r="21" customFormat="false" ht="15.75" hidden="false" customHeight="false" outlineLevel="0" collapsed="false">
      <c r="A21" s="118" t="s">
        <v>95</v>
      </c>
      <c r="B21" s="118"/>
      <c r="E21" s="66" t="n">
        <f aca="false">B11</f>
        <v>471001000</v>
      </c>
      <c r="F21" s="119" t="s">
        <v>73</v>
      </c>
      <c r="H21" s="66" t="s">
        <v>101</v>
      </c>
      <c r="I21" s="66" t="n">
        <f aca="false">+'Daily Position'!L7</f>
        <v>0</v>
      </c>
      <c r="K21" s="66"/>
      <c r="L21" s="66" t="s">
        <v>102</v>
      </c>
      <c r="M21" s="117"/>
      <c r="N21" s="117"/>
      <c r="O21" s="117"/>
      <c r="P21" s="106" t="n">
        <f aca="false">+M21+O21</f>
        <v>0</v>
      </c>
    </row>
    <row r="22" customFormat="false" ht="15.75" hidden="false" customHeight="false" outlineLevel="0" collapsed="false">
      <c r="A22" s="66" t="s">
        <v>103</v>
      </c>
      <c r="E22" s="66" t="n">
        <v>1000000</v>
      </c>
      <c r="H22" s="66" t="s">
        <v>104</v>
      </c>
      <c r="I22" s="106" t="n">
        <f aca="false">+'Daily Position'!M7</f>
        <v>0</v>
      </c>
      <c r="J22" s="67"/>
      <c r="K22" s="66"/>
      <c r="L22" s="66" t="s">
        <v>105</v>
      </c>
      <c r="P22" s="66" t="n">
        <f aca="false">SUM(P18:P21)</f>
        <v>360380083.429947</v>
      </c>
    </row>
    <row r="23" customFormat="false" ht="15.75" hidden="false" customHeight="false" outlineLevel="0" collapsed="false">
      <c r="A23" s="66" t="s">
        <v>106</v>
      </c>
      <c r="B23" s="66" t="s">
        <v>79</v>
      </c>
      <c r="D23" s="66" t="n">
        <v>7120901</v>
      </c>
      <c r="H23" s="0"/>
      <c r="I23" s="120" t="n">
        <f aca="false">SUM(I19:I22)</f>
        <v>-108441125.761888</v>
      </c>
      <c r="J23" s="67"/>
      <c r="L23" s="66" t="s">
        <v>107</v>
      </c>
      <c r="P23" s="121" t="n">
        <f aca="false">E28</f>
        <v>0.0302</v>
      </c>
    </row>
    <row r="24" customFormat="false" ht="15.75" hidden="false" customHeight="false" outlineLevel="0" collapsed="false">
      <c r="A24" s="66" t="s">
        <v>108</v>
      </c>
      <c r="B24" s="66" t="s">
        <v>109</v>
      </c>
      <c r="D24" s="105" t="n">
        <f aca="false">78+0.6953125</f>
        <v>78.6953125</v>
      </c>
      <c r="E24" s="106" t="n">
        <f aca="false">D23*D24</f>
        <v>560381529.476563</v>
      </c>
      <c r="H24" s="122"/>
      <c r="I24" s="123"/>
      <c r="J24" s="124" t="s">
        <v>110</v>
      </c>
      <c r="L24" s="66" t="s">
        <v>111</v>
      </c>
      <c r="P24" s="66" t="n">
        <f aca="false">P22*P23</f>
        <v>10883478.5195844</v>
      </c>
    </row>
    <row r="25" customFormat="false" ht="16.5" hidden="false" customHeight="false" outlineLevel="0" collapsed="false">
      <c r="A25" s="66" t="s">
        <v>112</v>
      </c>
      <c r="E25" s="26" t="n">
        <f aca="false">SUM(E21:E24)</f>
        <v>1032382529.47656</v>
      </c>
      <c r="H25" s="125" t="s">
        <v>113</v>
      </c>
      <c r="I25" s="126" t="n">
        <f aca="false">I23+I17</f>
        <v>-51487678.6553521</v>
      </c>
      <c r="J25" s="67"/>
      <c r="L25" s="66" t="s">
        <v>114</v>
      </c>
      <c r="P25" s="66" t="n">
        <f aca="false">P13</f>
        <v>0</v>
      </c>
      <c r="Q25" s="103" t="s">
        <v>82</v>
      </c>
    </row>
    <row r="26" customFormat="false" ht="16.5" hidden="false" customHeight="false" outlineLevel="0" collapsed="false">
      <c r="A26" s="66" t="s">
        <v>115</v>
      </c>
      <c r="E26" s="106" t="n">
        <f aca="false">E6</f>
        <v>41000000</v>
      </c>
      <c r="F26" s="80" t="s">
        <v>57</v>
      </c>
      <c r="H26" s="93" t="s">
        <v>116</v>
      </c>
      <c r="I26" s="93"/>
      <c r="J26" s="67"/>
      <c r="K26" s="66"/>
      <c r="L26" s="127" t="s">
        <v>117</v>
      </c>
      <c r="M26" s="120"/>
      <c r="N26" s="120"/>
      <c r="O26" s="120"/>
      <c r="P26" s="128" t="str">
        <f aca="false">IF(P25&gt;=P24,"Test Passed","Test Failed")</f>
        <v>Test Failed</v>
      </c>
      <c r="Q26" s="103"/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118</v>
      </c>
      <c r="I27" s="92"/>
      <c r="J27" s="91" t="s">
        <v>69</v>
      </c>
      <c r="L27" s="67" t="s">
        <v>119</v>
      </c>
      <c r="M27" s="67"/>
      <c r="N27" s="67"/>
      <c r="O27" s="67"/>
      <c r="P27" s="67" t="n">
        <f aca="false">P25-P24</f>
        <v>-10883478.5195844</v>
      </c>
    </row>
    <row r="28" customFormat="false" ht="15.75" hidden="false" customHeight="false" outlineLevel="0" collapsed="false">
      <c r="A28" s="66" t="s">
        <v>107</v>
      </c>
      <c r="E28" s="121" t="n">
        <v>0.0302</v>
      </c>
      <c r="H28" s="67" t="s">
        <v>120</v>
      </c>
      <c r="I28" s="92" t="n">
        <f aca="false">E9</f>
        <v>30000000</v>
      </c>
      <c r="J28" s="129" t="s">
        <v>92</v>
      </c>
      <c r="L28" s="125" t="s">
        <v>121</v>
      </c>
      <c r="M28" s="125"/>
      <c r="N28" s="125"/>
      <c r="O28" s="125"/>
      <c r="P28" s="125" t="n">
        <f aca="false">IF(P27&lt;0,0,P27/P23)</f>
        <v>0</v>
      </c>
    </row>
    <row r="29" customFormat="false" ht="15.75" hidden="false" customHeight="false" outlineLevel="0" collapsed="false">
      <c r="A29" s="66" t="s">
        <v>111</v>
      </c>
      <c r="E29" s="66" t="n">
        <f aca="false">E27*E28</f>
        <v>29939752.3901922</v>
      </c>
      <c r="H29" s="67" t="s">
        <v>122</v>
      </c>
      <c r="I29" s="110" t="n">
        <f aca="false">-B17</f>
        <v>186923069.375</v>
      </c>
      <c r="J29" s="67"/>
    </row>
    <row r="30" customFormat="false" ht="15.75" hidden="false" customHeight="false" outlineLevel="0" collapsed="false">
      <c r="A30" s="66" t="s">
        <v>114</v>
      </c>
      <c r="E30" s="66" t="n">
        <f aca="false">E9</f>
        <v>30000000</v>
      </c>
      <c r="F30" s="91" t="s">
        <v>69</v>
      </c>
      <c r="H30" s="67" t="s">
        <v>123</v>
      </c>
      <c r="I30" s="92" t="n">
        <f aca="false">SUM(I28:I29)</f>
        <v>216923069.375</v>
      </c>
      <c r="J30" s="67"/>
      <c r="L30" s="130" t="s">
        <v>124</v>
      </c>
      <c r="M30" s="130"/>
    </row>
    <row r="31" customFormat="false" ht="15.75" hidden="false" customHeight="false" outlineLevel="0" collapsed="false">
      <c r="A31" s="127" t="s">
        <v>117</v>
      </c>
      <c r="B31" s="120"/>
      <c r="C31" s="120"/>
      <c r="D31" s="120"/>
      <c r="E31" s="128" t="str">
        <f aca="false">IF(E30&gt;=E29,"Test Passed","Test Failed")</f>
        <v>Test Passed</v>
      </c>
      <c r="H31" s="67"/>
      <c r="I31" s="92"/>
      <c r="J31" s="124" t="s">
        <v>110</v>
      </c>
      <c r="L31" s="66" t="s">
        <v>125</v>
      </c>
    </row>
    <row r="32" customFormat="false" ht="15.75" hidden="false" customHeight="false" outlineLevel="0" collapsed="false">
      <c r="H32" s="67" t="s">
        <v>126</v>
      </c>
      <c r="I32" s="92" t="n">
        <f aca="false">I25</f>
        <v>-51487678.6553521</v>
      </c>
      <c r="J32" s="124"/>
      <c r="L32" s="66" t="s">
        <v>127</v>
      </c>
      <c r="M32" s="66" t="n">
        <f aca="false">E9+'Cash-Int-Trans'!B13</f>
        <v>30000000</v>
      </c>
    </row>
    <row r="33" customFormat="false" ht="15.75" hidden="false" customHeight="false" outlineLevel="0" collapsed="false">
      <c r="A33" s="0"/>
      <c r="B33" s="0"/>
      <c r="C33" s="0"/>
      <c r="E33" s="0"/>
      <c r="H33" s="67" t="s">
        <v>128</v>
      </c>
      <c r="I33" s="92" t="n">
        <f aca="false">(+D15-Shares!B30)*(I5-E15)</f>
        <v>-48915184.41</v>
      </c>
      <c r="L33" s="66" t="s">
        <v>129</v>
      </c>
      <c r="M33" s="106" t="n">
        <f aca="false">E10</f>
        <v>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6" t="s">
        <v>130</v>
      </c>
      <c r="I34" s="68" t="n">
        <f aca="false">+'Cash-Int-Trans'!B13</f>
        <v>0</v>
      </c>
      <c r="J34" s="108" t="s">
        <v>87</v>
      </c>
      <c r="M34" s="66" t="n">
        <f aca="false">SUM(M32:M33)</f>
        <v>30001000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131</v>
      </c>
      <c r="I35" s="92" t="n">
        <f aca="false">-I29-Shares!D24-Shares!D26</f>
        <v>-112425892.054664</v>
      </c>
      <c r="J35" s="131"/>
      <c r="L35" s="66" t="s">
        <v>132</v>
      </c>
      <c r="M35" s="66" t="n">
        <f aca="false">I25</f>
        <v>-51487678.6553521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67" t="s">
        <v>133</v>
      </c>
      <c r="I36" s="92" t="n">
        <f aca="false">+'Cash-Int-Trans'!B12</f>
        <v>-40469684</v>
      </c>
      <c r="J36" s="67"/>
      <c r="L36" s="66" t="s">
        <v>134</v>
      </c>
      <c r="M36" s="106" t="n">
        <f aca="false">I36</f>
        <v>-40469684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25" t="s">
        <v>135</v>
      </c>
      <c r="I37" s="132" t="n">
        <f aca="false">SUM(I30:I36)</f>
        <v>-36375369.7450164</v>
      </c>
      <c r="K37" s="66"/>
      <c r="L37" s="66" t="s">
        <v>136</v>
      </c>
      <c r="M37" s="66" t="n">
        <f aca="false">SUM(M34:M36)</f>
        <v>-61956362.6553521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66" t="s">
        <v>137</v>
      </c>
      <c r="I38" s="26"/>
      <c r="K38" s="66"/>
      <c r="L38" s="66" t="s">
        <v>138</v>
      </c>
      <c r="M38" s="66" t="n">
        <f aca="false">P13</f>
        <v>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54"/>
      <c r="K39" s="66"/>
      <c r="L39" s="66" t="s">
        <v>139</v>
      </c>
      <c r="M39" s="106" t="n">
        <f aca="false">P14</f>
        <v>-61956362.6553521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49"/>
      <c r="M40" s="66" t="n">
        <f aca="false">M37-M38-M39</f>
        <v>0</v>
      </c>
      <c r="N40" s="133" t="str">
        <f aca="false">IF(ROUND(M40,0)=0,"OK","Not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  <c r="L42" s="113" t="s">
        <v>93</v>
      </c>
      <c r="M42" s="93"/>
      <c r="N42" s="93"/>
      <c r="O42" s="93"/>
      <c r="P42" s="93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14" t="s">
        <v>140</v>
      </c>
      <c r="M43" s="66" t="n">
        <f aca="false">+E9+I34</f>
        <v>30000000</v>
      </c>
      <c r="N43" s="66" t="s">
        <v>141</v>
      </c>
      <c r="P43" s="66" t="n">
        <f aca="false">+M43/0.0302</f>
        <v>993377483.443709</v>
      </c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4"/>
      <c r="M44" s="117"/>
      <c r="N44" s="135" t="s">
        <v>142</v>
      </c>
      <c r="O44" s="117"/>
      <c r="P44" s="106" t="n">
        <f aca="false">-B11</f>
        <v>-471001000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  <c r="M45" s="117"/>
      <c r="N45" s="135" t="s">
        <v>143</v>
      </c>
      <c r="O45" s="117"/>
      <c r="P45" s="67" t="n">
        <f aca="false">+P43+P44</f>
        <v>522376483.443709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  <c r="N46" s="66" t="s">
        <v>144</v>
      </c>
      <c r="P46" s="66" t="n">
        <f aca="false">+'Daily Position'!I7</f>
        <v>0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  <c r="N47" s="66" t="s">
        <v>145</v>
      </c>
      <c r="P47" s="136" t="n">
        <v>0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  <c r="P48" s="67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  <c r="N49" s="66" t="s">
        <v>146</v>
      </c>
      <c r="P49" s="66" t="n">
        <f aca="false">+P45+P46+P47</f>
        <v>522376483.443709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7" t="s">
        <v>147</v>
      </c>
      <c r="B1" s="137"/>
    </row>
    <row r="3" customFormat="false" ht="15.75" hidden="false" customHeight="false" outlineLevel="0" collapsed="false">
      <c r="A3" s="67" t="s">
        <v>148</v>
      </c>
      <c r="B3" s="68"/>
      <c r="C3" s="66"/>
      <c r="E3" s="138"/>
      <c r="F3" s="138"/>
      <c r="G3" s="138"/>
    </row>
    <row r="4" customFormat="false" ht="15.75" hidden="false" customHeight="false" outlineLevel="0" collapsed="false">
      <c r="A4" s="134" t="s">
        <v>149</v>
      </c>
      <c r="B4" s="92" t="n">
        <f aca="false">41000000-6481031</f>
        <v>34518969</v>
      </c>
      <c r="C4" s="66"/>
      <c r="D4" s="55" t="n">
        <v>36917</v>
      </c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150</v>
      </c>
      <c r="B6" s="139" t="n">
        <f aca="false">SUM(B3:B5)</f>
        <v>34518969</v>
      </c>
      <c r="C6" s="99" t="s">
        <v>77</v>
      </c>
      <c r="F6" s="66"/>
    </row>
    <row r="7" customFormat="false" ht="16.5" hidden="false" customHeight="false" outlineLevel="0" collapsed="false">
      <c r="A7" s="66"/>
      <c r="B7" s="68"/>
      <c r="C7" s="66"/>
      <c r="F7" s="26"/>
    </row>
    <row r="8" customFormat="false" ht="15.75" hidden="false" customHeight="false" outlineLevel="0" collapsed="false">
      <c r="A8" s="66" t="s">
        <v>151</v>
      </c>
      <c r="B8" s="68" t="n">
        <f aca="false">IF(Summary!C5&lt;'Cash-Int-Trans'!D8,0,-Financials!E6+'Cash-Int-Trans'!B4)</f>
        <v>-6481031</v>
      </c>
      <c r="C8" s="66"/>
      <c r="D8" s="55" t="n">
        <f aca="false">+D4</f>
        <v>36917</v>
      </c>
    </row>
    <row r="9" customFormat="false" ht="15.75" hidden="false" customHeight="false" outlineLevel="0" collapsed="false">
      <c r="A9" s="66" t="s">
        <v>152</v>
      </c>
      <c r="B9" s="68" t="n">
        <f aca="false">-B8</f>
        <v>6481031</v>
      </c>
      <c r="C9" s="66"/>
      <c r="D9" s="55" t="n">
        <f aca="false">+D8</f>
        <v>36917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153</v>
      </c>
      <c r="B11" s="68"/>
      <c r="C11" s="66"/>
    </row>
    <row r="12" customFormat="false" ht="15.75" hidden="false" customHeight="false" outlineLevel="0" collapsed="false">
      <c r="A12" s="66" t="s">
        <v>154</v>
      </c>
      <c r="B12" s="68" t="n">
        <v>-40469684</v>
      </c>
      <c r="C12" s="66"/>
      <c r="D12" s="55" t="n">
        <f aca="false">+D8</f>
        <v>36917</v>
      </c>
    </row>
    <row r="13" customFormat="false" ht="15.75" hidden="false" customHeight="false" outlineLevel="0" collapsed="false">
      <c r="A13" s="66" t="s">
        <v>155</v>
      </c>
      <c r="B13" s="68" t="n">
        <f aca="false">IF(Summary!$C$5&lt;'Cash-Int-Trans'!D13,0,0)</f>
        <v>0</v>
      </c>
      <c r="C13" s="66"/>
      <c r="D13" s="55" t="n">
        <f aca="false">+D12</f>
        <v>36917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156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157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7" t="s">
        <v>158</v>
      </c>
      <c r="B18" s="137"/>
    </row>
    <row r="20" customFormat="false" ht="15.75" hidden="false" customHeight="false" outlineLevel="0" collapsed="false">
      <c r="A20" s="0" t="s">
        <v>159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160</v>
      </c>
      <c r="B22" s="66" t="n">
        <f aca="false">+Financials!I25</f>
        <v>-51487678.6553521</v>
      </c>
    </row>
    <row r="23" customFormat="false" ht="15.75" hidden="false" customHeight="false" outlineLevel="0" collapsed="false">
      <c r="A23" s="0" t="s">
        <v>161</v>
      </c>
      <c r="B23" s="66" t="n">
        <f aca="false">-Financials!I15</f>
        <v>-32434139.8915525</v>
      </c>
    </row>
    <row r="24" customFormat="false" ht="15.75" hidden="false" customHeight="false" outlineLevel="0" collapsed="false">
      <c r="A24" s="66" t="str">
        <f aca="false">+Financials!H21</f>
        <v>Unrealized Gains / (Losses)</v>
      </c>
      <c r="B24" s="66" t="n">
        <f aca="false">-Financials!I21-Financials!I20-Financials!I19</f>
        <v>108441125.761888</v>
      </c>
    </row>
    <row r="26" customFormat="false" ht="15.75" hidden="false" customHeight="false" outlineLevel="0" collapsed="false">
      <c r="A26" s="0" t="s">
        <v>162</v>
      </c>
    </row>
    <row r="27" customFormat="false" ht="15.75" hidden="false" customHeight="false" outlineLevel="0" collapsed="false">
      <c r="A27" s="0" t="s">
        <v>163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75</v>
      </c>
      <c r="B28" s="66" t="n">
        <f aca="false">0-Financials!M11</f>
        <v>-87500</v>
      </c>
    </row>
    <row r="29" customFormat="false" ht="15.75" hidden="false" customHeight="false" outlineLevel="0" collapsed="false">
      <c r="A29" s="0" t="s">
        <v>164</v>
      </c>
      <c r="B29" s="66" t="n">
        <f aca="false">-Financials!E7+Financials!P11</f>
        <v>21336446.0852995</v>
      </c>
    </row>
    <row r="30" customFormat="false" ht="15.75" hidden="false" customHeight="false" outlineLevel="0" collapsed="false">
      <c r="A30" s="0" t="s">
        <v>165</v>
      </c>
      <c r="B30" s="66" t="n">
        <f aca="false">-Financials!E6+Financials!P8</f>
        <v>-41000000</v>
      </c>
      <c r="E30" s="66"/>
    </row>
    <row r="32" customFormat="false" ht="15.75" hidden="false" customHeight="false" outlineLevel="0" collapsed="false">
      <c r="A32" s="0" t="s">
        <v>153</v>
      </c>
      <c r="B32" s="66" t="n">
        <f aca="false">+B12</f>
        <v>-40469684</v>
      </c>
    </row>
    <row r="33" customFormat="false" ht="15.75" hidden="false" customHeight="false" outlineLevel="0" collapsed="false">
      <c r="A33" s="0" t="s">
        <v>166</v>
      </c>
      <c r="B33" s="66" t="n">
        <f aca="false">+B13</f>
        <v>0</v>
      </c>
    </row>
    <row r="35" customFormat="false" ht="16.5" hidden="false" customHeight="false" outlineLevel="0" collapsed="false">
      <c r="A35" s="0" t="s">
        <v>167</v>
      </c>
      <c r="B35" s="95" t="n">
        <f aca="false">SUM(B20:B34)</f>
        <v>35299569.3002831</v>
      </c>
      <c r="D35" s="66" t="n">
        <f aca="false">+B20+B12+B13+B38+B16</f>
        <v>33539847.0780608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7" t="s">
        <v>168</v>
      </c>
      <c r="B37" s="137"/>
      <c r="C37" s="137"/>
      <c r="D37" s="137"/>
      <c r="E37" s="137"/>
      <c r="F37" s="137"/>
    </row>
    <row r="38" customFormat="false" ht="15.75" hidden="false" customHeight="false" outlineLevel="0" collapsed="false">
      <c r="A38" s="140" t="s">
        <v>80</v>
      </c>
      <c r="B38" s="141" t="n">
        <f aca="false">+B44+B50</f>
        <v>3008531.07806084</v>
      </c>
    </row>
    <row r="39" customFormat="false" ht="15.75" hidden="false" customHeight="false" outlineLevel="0" collapsed="false">
      <c r="A39" s="142"/>
      <c r="E39" s="143" t="s">
        <v>169</v>
      </c>
      <c r="F39" s="144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5" t="n">
        <v>0.0724</v>
      </c>
      <c r="G40" s="55" t="n">
        <v>36845</v>
      </c>
      <c r="H40" s="145" t="n">
        <v>0.0713</v>
      </c>
    </row>
    <row r="41" customFormat="false" ht="15.75" hidden="false" customHeight="false" outlineLevel="0" collapsed="false">
      <c r="A41" s="0" t="s">
        <v>159</v>
      </c>
      <c r="B41" s="66" t="n">
        <v>71001000</v>
      </c>
      <c r="E41" s="55" t="n">
        <v>36784</v>
      </c>
      <c r="F41" s="145" t="n">
        <v>0.072</v>
      </c>
      <c r="G41" s="55" t="n">
        <v>36875</v>
      </c>
      <c r="H41" s="145" t="n">
        <v>0.0688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36959</v>
      </c>
      <c r="E42" s="55" t="n">
        <v>36814</v>
      </c>
      <c r="F42" s="145" t="n">
        <v>0.0718</v>
      </c>
      <c r="G42" s="55" t="n">
        <v>36906</v>
      </c>
      <c r="H42" s="145" t="n">
        <v>0.0594</v>
      </c>
    </row>
    <row r="43" customFormat="false" ht="15.75" hidden="false" customHeight="false" outlineLevel="0" collapsed="false">
      <c r="A43" s="0" t="s">
        <v>170</v>
      </c>
      <c r="B43" s="26" t="n">
        <f aca="false">+B42-B40</f>
        <v>190</v>
      </c>
      <c r="E43" s="146" t="s">
        <v>171</v>
      </c>
      <c r="F43" s="147" t="n">
        <f aca="false">AVERAGE(F40:F42,H40:H42)</f>
        <v>0.0692833333333333</v>
      </c>
    </row>
    <row r="44" customFormat="false" ht="15.75" hidden="false" customHeight="false" outlineLevel="0" collapsed="false">
      <c r="A44" s="0" t="s">
        <v>172</v>
      </c>
      <c r="B44" s="148" t="n">
        <f aca="false">+B41*(F43+0.0045)/360*B43</f>
        <v>2764864.40416667</v>
      </c>
    </row>
    <row r="45" customFormat="false" ht="15.75" hidden="false" customHeight="false" outlineLevel="0" collapsed="false">
      <c r="B45" s="148"/>
    </row>
    <row r="46" customFormat="false" ht="15.75" hidden="false" customHeight="false" outlineLevel="0" collapsed="false">
      <c r="A46" s="0" t="s">
        <v>28</v>
      </c>
      <c r="B46" s="55" t="n">
        <f aca="false">+D8</f>
        <v>36917</v>
      </c>
      <c r="E46" s="55" t="n">
        <v>36906</v>
      </c>
      <c r="F46" s="145" t="n">
        <v>0.0594</v>
      </c>
      <c r="G46" s="55" t="n">
        <v>36996</v>
      </c>
      <c r="H46" s="145"/>
    </row>
    <row r="47" customFormat="false" ht="15.75" hidden="false" customHeight="false" outlineLevel="0" collapsed="false">
      <c r="A47" s="0" t="s">
        <v>159</v>
      </c>
      <c r="B47" s="66" t="n">
        <v>32684999.8516667</v>
      </c>
      <c r="E47" s="55" t="n">
        <v>36937</v>
      </c>
      <c r="F47" s="145"/>
      <c r="G47" s="55" t="n">
        <v>37026</v>
      </c>
      <c r="H47" s="145"/>
    </row>
    <row r="48" customFormat="false" ht="15.75" hidden="false" customHeight="false" outlineLevel="0" collapsed="false">
      <c r="A48" s="0" t="s">
        <v>28</v>
      </c>
      <c r="B48" s="55" t="n">
        <f aca="false">IF(Summary!$C$5&lt;'Cash-Int-Trans'!B46,+'Cash-Int-Trans'!B46,Summary!$C$5)</f>
        <v>36959</v>
      </c>
      <c r="E48" s="55" t="n">
        <v>36965</v>
      </c>
      <c r="F48" s="145"/>
      <c r="G48" s="55" t="n">
        <v>37057</v>
      </c>
      <c r="H48" s="145"/>
    </row>
    <row r="49" customFormat="false" ht="15.75" hidden="false" customHeight="false" outlineLevel="0" collapsed="false">
      <c r="A49" s="0" t="s">
        <v>170</v>
      </c>
      <c r="B49" s="26" t="n">
        <f aca="false">+B48-B46</f>
        <v>42</v>
      </c>
      <c r="E49" s="146" t="s">
        <v>171</v>
      </c>
      <c r="F49" s="147" t="n">
        <f aca="false">AVERAGE(F46:F48,H46:H48)</f>
        <v>0.0594</v>
      </c>
    </row>
    <row r="50" customFormat="false" ht="15.75" hidden="false" customHeight="false" outlineLevel="0" collapsed="false">
      <c r="A50" s="0" t="s">
        <v>172</v>
      </c>
      <c r="B50" s="148" t="n">
        <f aca="false">+B47*(F49+0.0045)/360*B49</f>
        <v>243666.673894175</v>
      </c>
    </row>
    <row r="52" customFormat="false" ht="16.5" hidden="false" customHeight="false" outlineLevel="0" collapsed="false">
      <c r="A52" s="137" t="s">
        <v>173</v>
      </c>
      <c r="B52" s="137"/>
      <c r="C52" s="137"/>
      <c r="D52" s="137"/>
      <c r="E52" s="137"/>
      <c r="F52" s="137"/>
    </row>
    <row r="53" customFormat="false" ht="15.75" hidden="false" customHeight="false" outlineLevel="0" collapsed="false">
      <c r="A53" s="140" t="s">
        <v>174</v>
      </c>
      <c r="B53" s="141" t="n">
        <f aca="false">+B55+B62</f>
        <v>14855415.0852995</v>
      </c>
    </row>
    <row r="54" customFormat="false" ht="15.75" hidden="false" customHeight="false" outlineLevel="0" collapsed="false">
      <c r="A54" s="142"/>
    </row>
    <row r="55" customFormat="false" ht="15.75" hidden="false" customHeight="false" outlineLevel="0" collapsed="false">
      <c r="A55" s="0" t="s">
        <v>175</v>
      </c>
      <c r="B55" s="26" t="n">
        <f aca="false">+Amort!B61</f>
        <v>14813828.4697162</v>
      </c>
      <c r="E55" s="143"/>
      <c r="F55" s="143"/>
    </row>
    <row r="56" customFormat="false" ht="15.75" hidden="false" customHeight="false" outlineLevel="0" collapsed="false">
      <c r="B56" s="26"/>
      <c r="E56" s="143"/>
      <c r="F56" s="144"/>
    </row>
    <row r="57" customFormat="false" ht="15.75" hidden="false" customHeight="false" outlineLevel="0" collapsed="false">
      <c r="A57" s="0" t="s">
        <v>176</v>
      </c>
      <c r="B57" s="66"/>
      <c r="E57" s="149"/>
      <c r="F57" s="145"/>
    </row>
    <row r="58" customFormat="false" ht="15.75" hidden="false" customHeight="false" outlineLevel="0" collapsed="false">
      <c r="A58" s="0" t="s">
        <v>177</v>
      </c>
      <c r="B58" s="55" t="n">
        <f aca="false">+D9</f>
        <v>36917</v>
      </c>
      <c r="E58" s="149"/>
      <c r="F58" s="145"/>
    </row>
    <row r="59" customFormat="false" ht="15.75" hidden="false" customHeight="false" outlineLevel="0" collapsed="false">
      <c r="A59" s="0" t="s">
        <v>178</v>
      </c>
      <c r="B59" s="26" t="n">
        <f aca="false">+B9</f>
        <v>6481031</v>
      </c>
      <c r="E59" s="149"/>
      <c r="F59" s="145"/>
    </row>
    <row r="60" customFormat="false" ht="15.75" hidden="false" customHeight="false" outlineLevel="0" collapsed="false">
      <c r="A60" s="0" t="s">
        <v>28</v>
      </c>
      <c r="B60" s="55" t="n">
        <f aca="false">IF(Summary!C5&gt;Amort!A43,Amort!A43,Summary!C5)</f>
        <v>36950</v>
      </c>
    </row>
    <row r="61" customFormat="false" ht="15.75" hidden="false" customHeight="false" outlineLevel="0" collapsed="false">
      <c r="A61" s="0" t="s">
        <v>170</v>
      </c>
      <c r="B61" s="26" t="n">
        <f aca="false">+B60-B58</f>
        <v>33</v>
      </c>
    </row>
    <row r="62" customFormat="false" ht="15.75" hidden="false" customHeight="false" outlineLevel="0" collapsed="false">
      <c r="A62" s="0" t="s">
        <v>179</v>
      </c>
      <c r="B62" s="148" t="n">
        <f aca="false">+B59*0.07/360*B61</f>
        <v>41586.6155833333</v>
      </c>
    </row>
    <row r="64" customFormat="false" ht="16.5" hidden="false" customHeight="false" outlineLevel="0" collapsed="false">
      <c r="A64" s="137" t="s">
        <v>180</v>
      </c>
      <c r="B64" s="137"/>
      <c r="C64" s="137"/>
      <c r="D64" s="137"/>
      <c r="E64" s="137"/>
      <c r="F64" s="137"/>
    </row>
    <row r="66" customFormat="false" ht="15.75" hidden="false" customHeight="false" outlineLevel="0" collapsed="false">
      <c r="A66" s="0" t="s">
        <v>36</v>
      </c>
      <c r="B66" s="55" t="n">
        <f aca="false">+Summary!C5</f>
        <v>36959</v>
      </c>
    </row>
    <row r="67" customFormat="false" ht="15.75" hidden="false" customHeight="false" outlineLevel="0" collapsed="false">
      <c r="A67" s="0" t="s">
        <v>181</v>
      </c>
      <c r="B67" s="55" t="n">
        <v>36769</v>
      </c>
      <c r="D67" s="15" t="n">
        <f aca="false">IF(B66&gt;(B67-1),30000000,0)</f>
        <v>30000000</v>
      </c>
    </row>
    <row r="68" customFormat="false" ht="15.75" hidden="false" customHeight="false" outlineLevel="0" collapsed="false">
      <c r="A68" s="0" t="s">
        <v>182</v>
      </c>
      <c r="B68" s="55"/>
      <c r="D68" s="15" t="n">
        <f aca="false">IF(B66&gt;(B68-1),0,0)</f>
        <v>0</v>
      </c>
    </row>
    <row r="69" customFormat="false" ht="18" hidden="false" customHeight="false" outlineLevel="0" collapsed="false">
      <c r="A69" s="0" t="s">
        <v>183</v>
      </c>
      <c r="B69" s="55" t="n">
        <f aca="false">+Summary!C5</f>
        <v>36959</v>
      </c>
      <c r="D69" s="150" t="n">
        <f aca="false">IF(B69&gt;B68,+(+B69-B68)/365*0.12*D68,0)</f>
        <v>0</v>
      </c>
    </row>
    <row r="70" customFormat="false" ht="15.75" hidden="false" customHeight="false" outlineLevel="0" collapsed="false">
      <c r="A70" s="0" t="s">
        <v>184</v>
      </c>
      <c r="D70" s="47" t="n">
        <f aca="false">SUM(D67:D69)</f>
        <v>30000000</v>
      </c>
    </row>
  </sheetData>
  <mergeCells count="6">
    <mergeCell ref="A1:B1"/>
    <mergeCell ref="A18:B18"/>
    <mergeCell ref="A37:F37"/>
    <mergeCell ref="A52:F52"/>
    <mergeCell ref="E55:F55"/>
    <mergeCell ref="A64:F6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185</v>
      </c>
      <c r="B1" s="69"/>
      <c r="G1" s="134"/>
      <c r="H1" s="134"/>
    </row>
    <row r="2" customFormat="false" ht="15.75" hidden="false" customHeight="false" outlineLevel="0" collapsed="false">
      <c r="B2" s="151" t="s">
        <v>186</v>
      </c>
    </row>
    <row r="3" customFormat="false" ht="15.75" hidden="false" customHeight="false" outlineLevel="0" collapsed="false">
      <c r="A3" s="66" t="s">
        <v>187</v>
      </c>
      <c r="B3" s="152" t="n">
        <v>50000000</v>
      </c>
    </row>
    <row r="4" customFormat="false" ht="15.75" hidden="false" customHeight="false" outlineLevel="0" collapsed="false">
      <c r="A4" s="66" t="s">
        <v>188</v>
      </c>
      <c r="B4" s="153" t="n">
        <v>0.07</v>
      </c>
    </row>
    <row r="5" customFormat="false" ht="15.75" hidden="false" customHeight="false" outlineLevel="0" collapsed="false">
      <c r="A5" s="66" t="s">
        <v>189</v>
      </c>
      <c r="B5" s="154" t="n">
        <f aca="false">5*12</f>
        <v>60</v>
      </c>
    </row>
    <row r="6" customFormat="false" ht="15.75" hidden="false" customHeight="false" outlineLevel="0" collapsed="false">
      <c r="A6" s="66" t="s">
        <v>190</v>
      </c>
      <c r="B6" s="155" t="n">
        <v>2</v>
      </c>
    </row>
    <row r="7" customFormat="false" ht="15.75" hidden="false" customHeight="false" outlineLevel="0" collapsed="false">
      <c r="A7" s="66" t="s">
        <v>191</v>
      </c>
      <c r="B7" s="66" t="n">
        <v>0</v>
      </c>
    </row>
    <row r="9" customFormat="false" ht="25.5" hidden="false" customHeight="false" outlineLevel="0" collapsed="false">
      <c r="A9" s="156"/>
      <c r="B9" s="157" t="s">
        <v>192</v>
      </c>
      <c r="C9" s="158" t="s">
        <v>159</v>
      </c>
      <c r="D9" s="158" t="s">
        <v>191</v>
      </c>
      <c r="E9" s="158" t="s">
        <v>187</v>
      </c>
      <c r="F9" s="158" t="s">
        <v>172</v>
      </c>
      <c r="G9" s="158" t="s">
        <v>167</v>
      </c>
      <c r="H9" s="158" t="s">
        <v>193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</row>
    <row r="10" customFormat="false" ht="15.75" hidden="false" customHeight="false" outlineLevel="0" collapsed="false">
      <c r="A10" s="55" t="n">
        <f aca="false">+A42</f>
        <v>36769</v>
      </c>
      <c r="B10" s="159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9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9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9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9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9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9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9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9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9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9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60"/>
      <c r="B22" s="16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  <c r="IW22" s="135"/>
    </row>
    <row r="23" customFormat="false" ht="15.75" hidden="false" customHeight="false" outlineLevel="0" collapsed="false">
      <c r="A23" s="161" t="n">
        <f aca="false">+Summary!C5</f>
        <v>36959</v>
      </c>
      <c r="B23" s="161"/>
      <c r="C23" s="135"/>
      <c r="D23" s="135"/>
      <c r="E23" s="135" t="s">
        <v>192</v>
      </c>
      <c r="F23" s="135" t="n">
        <f aca="false">VLOOKUP(+A23,Amort,2)</f>
        <v>1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  <c r="IW23" s="135"/>
    </row>
    <row r="24" customFormat="false" ht="15.75" hidden="false" customHeight="false" outlineLevel="0" collapsed="false">
      <c r="A24" s="135" t="s">
        <v>194</v>
      </c>
      <c r="B24" s="135" t="n">
        <v>0</v>
      </c>
      <c r="C24" s="135"/>
      <c r="D24" s="135"/>
      <c r="E24" s="135" t="s">
        <v>28</v>
      </c>
      <c r="F24" s="160" t="n">
        <f aca="false">VLOOKUP(+A23,Amort,1)</f>
        <v>36950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  <c r="IW24" s="135"/>
    </row>
    <row r="25" customFormat="false" ht="15.75" hidden="false" customHeight="false" outlineLevel="0" collapsed="false">
      <c r="A25" s="135" t="s">
        <v>195</v>
      </c>
      <c r="B25" s="162" t="n">
        <f aca="false">VLOOKUP(+A23,Note,8)</f>
        <v>1759722.22222222</v>
      </c>
      <c r="C25" s="135"/>
      <c r="D25" s="135"/>
      <c r="E25" s="135" t="s">
        <v>196</v>
      </c>
      <c r="F25" s="135" t="n">
        <f aca="false">VLOOKUP(+F23+1,NotePeriod,5)</f>
        <v>1788888.88888889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  <c r="IW25" s="135"/>
    </row>
    <row r="26" customFormat="false" ht="15.75" hidden="false" customHeight="false" outlineLevel="0" collapsed="false">
      <c r="A26" s="160" t="s">
        <v>197</v>
      </c>
      <c r="B26" s="135" t="n">
        <f aca="false">+B24+B25</f>
        <v>1759722.22222222</v>
      </c>
      <c r="C26" s="135"/>
      <c r="D26" s="135"/>
      <c r="E26" s="135" t="s">
        <v>198</v>
      </c>
      <c r="F26" s="160" t="n">
        <f aca="false">VLOOKUP(+F23+1,NotePeriod,8)</f>
        <v>37134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  <c r="IW26" s="135"/>
    </row>
    <row r="27" customFormat="false" ht="15.75" hidden="false" customHeight="false" outlineLevel="0" collapsed="false">
      <c r="A27" s="160" t="s">
        <v>199</v>
      </c>
      <c r="B27" s="135" t="n">
        <f aca="false">A23-F24</f>
        <v>9</v>
      </c>
      <c r="C27" s="135"/>
      <c r="D27" s="135"/>
      <c r="E27" s="16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</row>
    <row r="28" customFormat="false" ht="15.75" hidden="false" customHeight="false" outlineLevel="0" collapsed="false">
      <c r="A28" s="160" t="s">
        <v>200</v>
      </c>
      <c r="B28" s="135" t="n">
        <f aca="false">F25*B27/(F26-F24)</f>
        <v>87500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  <c r="IW28" s="135"/>
    </row>
    <row r="29" customFormat="false" ht="15.75" hidden="false" customHeight="false" outlineLevel="0" collapsed="false">
      <c r="A29" s="160" t="s">
        <v>201</v>
      </c>
      <c r="B29" s="135" t="n">
        <f aca="false">+B25+B28</f>
        <v>1847222.22222222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  <c r="IW29" s="135"/>
    </row>
    <row r="30" customFormat="false" ht="15.75" hidden="false" customHeight="false" outlineLevel="0" collapsed="false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  <c r="IW30" s="135"/>
    </row>
    <row r="31" customFormat="false" ht="15.75" hidden="false" customHeight="false" outlineLevel="0" collapsed="false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</row>
    <row r="32" customFormat="false" ht="15.75" hidden="false" customHeight="false" outlineLevel="0" collapsed="false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</row>
    <row r="33" customFormat="false" ht="15.75" hidden="false" customHeight="false" outlineLevel="0" collapsed="false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</row>
    <row r="34" customFormat="false" ht="15.75" hidden="false" customHeight="false" outlineLevel="0" collapsed="false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</row>
    <row r="35" customFormat="false" ht="15.75" hidden="false" customHeight="false" outlineLevel="0" collapsed="false">
      <c r="A35" s="69" t="s">
        <v>202</v>
      </c>
      <c r="B35" s="69"/>
      <c r="G35" s="134"/>
      <c r="H35" s="163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  <c r="IW35" s="135"/>
    </row>
    <row r="36" customFormat="false" ht="15.75" hidden="false" customHeight="false" outlineLevel="0" collapsed="false">
      <c r="B36" s="151" t="s">
        <v>186</v>
      </c>
      <c r="H36" s="163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</row>
    <row r="37" customFormat="false" ht="15.75" hidden="false" customHeight="false" outlineLevel="0" collapsed="false">
      <c r="A37" s="66" t="s">
        <v>187</v>
      </c>
      <c r="B37" s="152" t="n">
        <v>400000000</v>
      </c>
      <c r="H37" s="163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</row>
    <row r="38" customFormat="false" ht="15.75" hidden="false" customHeight="false" outlineLevel="0" collapsed="false">
      <c r="A38" s="66" t="s">
        <v>188</v>
      </c>
      <c r="B38" s="153" t="n">
        <v>0.07</v>
      </c>
      <c r="H38" s="163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  <c r="IW38" s="135"/>
    </row>
    <row r="39" customFormat="false" ht="15.75" hidden="false" customHeight="false" outlineLevel="0" collapsed="false">
      <c r="A39" s="66" t="s">
        <v>190</v>
      </c>
      <c r="B39" s="155" t="n">
        <v>2</v>
      </c>
      <c r="H39" s="163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  <c r="GY39" s="135"/>
      <c r="GZ39" s="135"/>
      <c r="HA39" s="135"/>
      <c r="HB39" s="135"/>
      <c r="HC39" s="135"/>
      <c r="HD39" s="135"/>
      <c r="HE39" s="135"/>
      <c r="HF39" s="135"/>
      <c r="HG39" s="135"/>
      <c r="HH39" s="135"/>
      <c r="HI39" s="135"/>
      <c r="HJ39" s="135"/>
      <c r="HK39" s="135"/>
      <c r="HL39" s="135"/>
      <c r="HM39" s="135"/>
      <c r="HN39" s="135"/>
      <c r="HO39" s="135"/>
      <c r="HP39" s="135"/>
      <c r="HQ39" s="135"/>
      <c r="HR39" s="135"/>
      <c r="HS39" s="135"/>
      <c r="HT39" s="135"/>
      <c r="HU39" s="135"/>
      <c r="HV39" s="135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5"/>
      <c r="II39" s="135"/>
      <c r="IJ39" s="135"/>
      <c r="IK39" s="135"/>
      <c r="IL39" s="135"/>
      <c r="IM39" s="135"/>
      <c r="IN39" s="135"/>
      <c r="IO39" s="135"/>
      <c r="IP39" s="135"/>
      <c r="IQ39" s="135"/>
      <c r="IR39" s="135"/>
      <c r="IS39" s="135"/>
      <c r="IT39" s="135"/>
      <c r="IU39" s="135"/>
      <c r="IV39" s="135"/>
      <c r="IW39" s="135"/>
    </row>
    <row r="40" customFormat="false" ht="15.75" hidden="false" customHeight="false" outlineLevel="0" collapsed="false">
      <c r="H40" s="163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  <c r="IW40" s="135"/>
    </row>
    <row r="41" customFormat="false" ht="26.25" hidden="false" customHeight="false" outlineLevel="0" collapsed="false">
      <c r="A41" s="156"/>
      <c r="B41" s="157" t="s">
        <v>192</v>
      </c>
      <c r="C41" s="158" t="s">
        <v>159</v>
      </c>
      <c r="D41" s="158" t="s">
        <v>203</v>
      </c>
      <c r="E41" s="158" t="s">
        <v>187</v>
      </c>
      <c r="F41" s="158" t="s">
        <v>172</v>
      </c>
      <c r="G41" s="158" t="s">
        <v>167</v>
      </c>
      <c r="H41" s="158" t="s">
        <v>193</v>
      </c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</row>
    <row r="42" customFormat="false" ht="15.75" hidden="false" customHeight="false" outlineLevel="0" collapsed="false">
      <c r="A42" s="55" t="n">
        <v>36769</v>
      </c>
      <c r="B42" s="159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  <c r="GY42" s="135"/>
      <c r="GZ42" s="135"/>
      <c r="HA42" s="135"/>
      <c r="HB42" s="135"/>
      <c r="HC42" s="135"/>
      <c r="HD42" s="135"/>
      <c r="HE42" s="135"/>
      <c r="HF42" s="135"/>
      <c r="HG42" s="135"/>
      <c r="HH42" s="135"/>
      <c r="HI42" s="135"/>
      <c r="HJ42" s="135"/>
      <c r="HK42" s="135"/>
      <c r="HL42" s="135"/>
      <c r="HM42" s="135"/>
      <c r="HN42" s="135"/>
      <c r="HO42" s="135"/>
      <c r="HP42" s="135"/>
      <c r="HQ42" s="135"/>
      <c r="HR42" s="135"/>
      <c r="HS42" s="135"/>
      <c r="HT42" s="135"/>
      <c r="HU42" s="135"/>
      <c r="HV42" s="135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5"/>
      <c r="II42" s="135"/>
      <c r="IJ42" s="135"/>
      <c r="IK42" s="135"/>
      <c r="IL42" s="135"/>
      <c r="IM42" s="135"/>
      <c r="IN42" s="135"/>
      <c r="IO42" s="135"/>
      <c r="IP42" s="135"/>
      <c r="IQ42" s="135"/>
      <c r="IR42" s="135"/>
      <c r="IS42" s="135"/>
      <c r="IT42" s="135"/>
      <c r="IU42" s="135"/>
      <c r="IV42" s="135"/>
      <c r="IW42" s="135"/>
    </row>
    <row r="43" customFormat="false" ht="15.75" hidden="false" customHeight="false" outlineLevel="0" collapsed="false">
      <c r="A43" s="55" t="n">
        <f aca="false">+A42+181</f>
        <v>36950</v>
      </c>
      <c r="B43" s="159" t="n">
        <f aca="false">+B42+1</f>
        <v>1</v>
      </c>
      <c r="C43" s="66" t="n">
        <f aca="false">G42</f>
        <v>400000000</v>
      </c>
      <c r="D43" s="66" t="n">
        <f aca="false">+E66</f>
        <v>6522617.61558333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420600395.393361</v>
      </c>
      <c r="H43" s="66" t="n">
        <f aca="false">+H42+F43</f>
        <v>14077777.7777778</v>
      </c>
      <c r="I43" s="55" t="n">
        <f aca="false">+A43</f>
        <v>36950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  <c r="GG43" s="135"/>
      <c r="GH43" s="135"/>
      <c r="GI43" s="135"/>
      <c r="GJ43" s="135"/>
      <c r="GK43" s="135"/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  <c r="GV43" s="135"/>
      <c r="GW43" s="135"/>
      <c r="GX43" s="135"/>
      <c r="GY43" s="135"/>
      <c r="GZ43" s="135"/>
      <c r="HA43" s="135"/>
      <c r="HB43" s="135"/>
      <c r="HC43" s="135"/>
      <c r="HD43" s="135"/>
      <c r="HE43" s="135"/>
      <c r="HF43" s="135"/>
      <c r="HG43" s="135"/>
      <c r="HH43" s="135"/>
      <c r="HI43" s="135"/>
      <c r="HJ43" s="135"/>
      <c r="HK43" s="135"/>
      <c r="HL43" s="135"/>
      <c r="HM43" s="135"/>
      <c r="HN43" s="135"/>
      <c r="HO43" s="135"/>
      <c r="HP43" s="135"/>
      <c r="HQ43" s="135"/>
      <c r="HR43" s="135"/>
      <c r="HS43" s="135"/>
      <c r="HT43" s="135"/>
      <c r="HU43" s="135"/>
      <c r="HV43" s="135"/>
      <c r="HW43" s="135"/>
      <c r="HX43" s="135"/>
      <c r="HY43" s="135"/>
      <c r="HZ43" s="135"/>
      <c r="IA43" s="135"/>
      <c r="IB43" s="135"/>
      <c r="IC43" s="135"/>
      <c r="ID43" s="135"/>
      <c r="IE43" s="135"/>
      <c r="IF43" s="135"/>
      <c r="IG43" s="135"/>
      <c r="IH43" s="135"/>
      <c r="II43" s="135"/>
      <c r="IJ43" s="135"/>
      <c r="IK43" s="135"/>
      <c r="IL43" s="135"/>
      <c r="IM43" s="135"/>
      <c r="IN43" s="135"/>
      <c r="IO43" s="135"/>
      <c r="IP43" s="135"/>
      <c r="IQ43" s="135"/>
      <c r="IR43" s="135"/>
      <c r="IS43" s="135"/>
      <c r="IT43" s="135"/>
      <c r="IU43" s="135"/>
      <c r="IV43" s="135"/>
      <c r="IW43" s="135"/>
    </row>
    <row r="44" customFormat="false" ht="15.75" hidden="false" customHeight="false" outlineLevel="0" collapsed="false">
      <c r="A44" s="55" t="n">
        <f aca="false">+A43+184</f>
        <v>37134</v>
      </c>
      <c r="B44" s="159" t="n">
        <f aca="false">+B43+1</f>
        <v>2</v>
      </c>
      <c r="C44" s="66" t="n">
        <f aca="false">G43</f>
        <v>420600395.393361</v>
      </c>
      <c r="D44" s="66" t="n">
        <v>0</v>
      </c>
      <c r="E44" s="66" t="n">
        <v>0</v>
      </c>
      <c r="F44" s="66" t="n">
        <f aca="false">C44*$B$38/360*(A44-A43)</f>
        <v>15048147.4796291</v>
      </c>
      <c r="G44" s="66" t="n">
        <f aca="false">+C44+D44+E44+F44</f>
        <v>435648542.87299</v>
      </c>
      <c r="H44" s="66" t="n">
        <f aca="false">+H43+F44</f>
        <v>29125925.2574069</v>
      </c>
      <c r="I44" s="55" t="n">
        <f aca="false">+A44</f>
        <v>37134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  <c r="IR44" s="135"/>
      <c r="IS44" s="135"/>
      <c r="IT44" s="135"/>
      <c r="IU44" s="135"/>
      <c r="IV44" s="135"/>
      <c r="IW44" s="135"/>
    </row>
    <row r="45" customFormat="false" ht="15.75" hidden="false" customHeight="false" outlineLevel="0" collapsed="false">
      <c r="A45" s="55" t="n">
        <f aca="false">+A44+181</f>
        <v>37315</v>
      </c>
      <c r="B45" s="159" t="n">
        <f aca="false">+B44+1</f>
        <v>3</v>
      </c>
      <c r="C45" s="66" t="n">
        <f aca="false">G44</f>
        <v>435648542.87299</v>
      </c>
      <c r="D45" s="66" t="n">
        <v>0</v>
      </c>
      <c r="E45" s="66" t="n">
        <v>0</v>
      </c>
      <c r="F45" s="66" t="n">
        <f aca="false">C45*$B$38/360*(A45-A44)</f>
        <v>15332408.4394466</v>
      </c>
      <c r="G45" s="66" t="n">
        <f aca="false">+C45+D45+E45+F45</f>
        <v>450980951.312437</v>
      </c>
      <c r="H45" s="66" t="n">
        <f aca="false">+H44+F45</f>
        <v>44458333.6968536</v>
      </c>
      <c r="I45" s="55" t="n">
        <f aca="false">+A45</f>
        <v>37315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</row>
    <row r="46" customFormat="false" ht="15.75" hidden="false" customHeight="false" outlineLevel="0" collapsed="false">
      <c r="A46" s="55" t="n">
        <f aca="false">+A45+184</f>
        <v>37499</v>
      </c>
      <c r="B46" s="159" t="n">
        <f aca="false">+B45+1</f>
        <v>4</v>
      </c>
      <c r="C46" s="66" t="n">
        <f aca="false">G45</f>
        <v>450980951.312437</v>
      </c>
      <c r="D46" s="66" t="n">
        <v>0</v>
      </c>
      <c r="E46" s="66" t="n">
        <v>0</v>
      </c>
      <c r="F46" s="66" t="n">
        <f aca="false">C46*$B$38/360*(A46-A45)</f>
        <v>16135096.2580672</v>
      </c>
      <c r="G46" s="66" t="n">
        <f aca="false">+C46+D46+E46+F46</f>
        <v>467116047.570504</v>
      </c>
      <c r="H46" s="66" t="n">
        <f aca="false">+H45+F46</f>
        <v>60593429.9549208</v>
      </c>
      <c r="I46" s="55" t="n">
        <f aca="false">+A46</f>
        <v>37499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5"/>
      <c r="GI46" s="135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  <c r="GV46" s="135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5"/>
      <c r="HI46" s="135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5"/>
      <c r="HV46" s="135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5"/>
      <c r="II46" s="135"/>
      <c r="IJ46" s="135"/>
      <c r="IK46" s="135"/>
      <c r="IL46" s="135"/>
      <c r="IM46" s="135"/>
      <c r="IN46" s="135"/>
      <c r="IO46" s="135"/>
      <c r="IP46" s="135"/>
      <c r="IQ46" s="135"/>
      <c r="IR46" s="135"/>
      <c r="IS46" s="135"/>
      <c r="IT46" s="135"/>
      <c r="IU46" s="135"/>
      <c r="IV46" s="135"/>
      <c r="IW46" s="135"/>
    </row>
    <row r="47" customFormat="false" ht="15.75" hidden="false" customHeight="false" outlineLevel="0" collapsed="false">
      <c r="A47" s="55" t="n">
        <f aca="false">+A46+181</f>
        <v>37680</v>
      </c>
      <c r="B47" s="159" t="n">
        <f aca="false">+B46+1</f>
        <v>5</v>
      </c>
      <c r="C47" s="66" t="n">
        <f aca="false">G46</f>
        <v>467116047.570504</v>
      </c>
      <c r="D47" s="66" t="n">
        <v>0</v>
      </c>
      <c r="E47" s="66" t="n">
        <v>0</v>
      </c>
      <c r="F47" s="66" t="n">
        <f aca="false">C47*$B$38/360*(A47-A46)</f>
        <v>16439889.7853286</v>
      </c>
      <c r="G47" s="66" t="n">
        <f aca="false">+C47+D47+E47+F47</f>
        <v>483555937.355833</v>
      </c>
      <c r="H47" s="66" t="n">
        <f aca="false">+H46+F47</f>
        <v>77033319.7402493</v>
      </c>
      <c r="I47" s="55" t="n">
        <f aca="false">+A47</f>
        <v>37680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  <c r="GV47" s="135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5"/>
      <c r="HI47" s="135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5"/>
      <c r="HV47" s="135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5"/>
      <c r="II47" s="135"/>
      <c r="IJ47" s="135"/>
      <c r="IK47" s="135"/>
      <c r="IL47" s="135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  <c r="IW47" s="135"/>
    </row>
    <row r="48" customFormat="false" ht="15.75" hidden="false" customHeight="false" outlineLevel="0" collapsed="false">
      <c r="A48" s="55" t="n">
        <f aca="false">+A47+184</f>
        <v>37864</v>
      </c>
      <c r="B48" s="159" t="n">
        <f aca="false">+B47+1</f>
        <v>6</v>
      </c>
      <c r="C48" s="66" t="n">
        <f aca="false">G47</f>
        <v>483555937.355833</v>
      </c>
      <c r="D48" s="66" t="n">
        <v>0</v>
      </c>
      <c r="E48" s="66" t="n">
        <v>0</v>
      </c>
      <c r="F48" s="66" t="n">
        <f aca="false">C48*$B$38/360*(A48-A47)</f>
        <v>17300556.869842</v>
      </c>
      <c r="G48" s="66" t="n">
        <f aca="false">+C48+D48+E48+F48</f>
        <v>500856494.225675</v>
      </c>
      <c r="H48" s="66" t="n">
        <f aca="false">+H47+F48</f>
        <v>94333876.6100913</v>
      </c>
      <c r="I48" s="55" t="n">
        <f aca="false">+A48</f>
        <v>37864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15.75" hidden="false" customHeight="false" outlineLevel="0" collapsed="false">
      <c r="A49" s="55" t="n">
        <f aca="false">+A48+182</f>
        <v>38046</v>
      </c>
      <c r="B49" s="159" t="n">
        <f aca="false">+B48+1</f>
        <v>7</v>
      </c>
      <c r="C49" s="66" t="n">
        <f aca="false">G48</f>
        <v>500856494.225675</v>
      </c>
      <c r="D49" s="66" t="n">
        <v>0</v>
      </c>
      <c r="E49" s="66" t="n">
        <v>0</v>
      </c>
      <c r="F49" s="66" t="n">
        <f aca="false">C49*$B$38/360*(A49-A48)</f>
        <v>17724754.8234308</v>
      </c>
      <c r="G49" s="66" t="n">
        <f aca="false">+C49+D49+E49+F49</f>
        <v>518581249.049106</v>
      </c>
      <c r="H49" s="66" t="n">
        <f aca="false">+H48+F49</f>
        <v>112058631.433522</v>
      </c>
      <c r="I49" s="55" t="n">
        <f aca="false">+A49</f>
        <v>38046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5.75" hidden="false" customHeight="false" outlineLevel="0" collapsed="false">
      <c r="A50" s="55" t="n">
        <f aca="false">+A49+184</f>
        <v>38230</v>
      </c>
      <c r="B50" s="159" t="n">
        <f aca="false">+B49+1</f>
        <v>8</v>
      </c>
      <c r="C50" s="66" t="n">
        <f aca="false">G49</f>
        <v>518581249.049106</v>
      </c>
      <c r="D50" s="66" t="n">
        <v>0</v>
      </c>
      <c r="E50" s="66" t="n">
        <v>0</v>
      </c>
      <c r="F50" s="66" t="n">
        <f aca="false">C50*$B$38/360*(A50-A49)</f>
        <v>18553684.6882013</v>
      </c>
      <c r="G50" s="66" t="n">
        <f aca="false">+C50+D50+E50+F50</f>
        <v>537134933.737307</v>
      </c>
      <c r="H50" s="66" t="n">
        <f aca="false">+H49+F50</f>
        <v>130612316.121723</v>
      </c>
      <c r="I50" s="55" t="n">
        <f aca="false">+A50</f>
        <v>38230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</row>
    <row r="51" customFormat="false" ht="15.75" hidden="false" customHeight="false" outlineLevel="0" collapsed="false">
      <c r="A51" s="55" t="n">
        <f aca="false">+A50+181</f>
        <v>38411</v>
      </c>
      <c r="B51" s="159" t="n">
        <f aca="false">+B50+1</f>
        <v>9</v>
      </c>
      <c r="C51" s="66" t="n">
        <f aca="false">G50</f>
        <v>537134933.737307</v>
      </c>
      <c r="D51" s="66" t="n">
        <v>0</v>
      </c>
      <c r="E51" s="66" t="n">
        <v>0</v>
      </c>
      <c r="F51" s="66" t="n">
        <f aca="false">C51*$B$38/360*(A51-A50)</f>
        <v>18904165.584588</v>
      </c>
      <c r="G51" s="66" t="n">
        <f aca="false">+C51+D51+E51+F51</f>
        <v>556039099.321895</v>
      </c>
      <c r="H51" s="66" t="n">
        <f aca="false">+H50+F51</f>
        <v>149516481.706312</v>
      </c>
      <c r="I51" s="55" t="n">
        <f aca="false">+A51</f>
        <v>38411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</row>
    <row r="52" customFormat="false" ht="15.75" hidden="false" customHeight="false" outlineLevel="0" collapsed="false">
      <c r="A52" s="55" t="n">
        <f aca="false">+A51+184</f>
        <v>38595</v>
      </c>
      <c r="B52" s="159" t="n">
        <f aca="false">+B51+1</f>
        <v>10</v>
      </c>
      <c r="C52" s="66" t="n">
        <f aca="false">G51</f>
        <v>556039099.321895</v>
      </c>
      <c r="D52" s="66" t="n">
        <v>0</v>
      </c>
      <c r="E52" s="66" t="n">
        <v>0</v>
      </c>
      <c r="F52" s="66" t="n">
        <f aca="false">C52*$B$38/360*(A52-A51)</f>
        <v>19893843.3312945</v>
      </c>
      <c r="G52" s="66" t="n">
        <f aca="false">+C52+D52+E52+F52</f>
        <v>575932942.653189</v>
      </c>
      <c r="H52" s="66" t="n">
        <f aca="false">+H51+F52</f>
        <v>169410325.037606</v>
      </c>
      <c r="I52" s="55" t="n">
        <f aca="false">+A52</f>
        <v>38595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</row>
    <row r="53" customFormat="false" ht="16.5" hidden="false" customHeight="false" outlineLevel="0" collapsed="false">
      <c r="A53" s="55"/>
      <c r="B53" s="55"/>
      <c r="D53" s="95" t="n">
        <f aca="false">SUM(D43:D52)</f>
        <v>6522617.61558333</v>
      </c>
      <c r="E53" s="95" t="n">
        <f aca="false">SUM(E43:E52)</f>
        <v>0</v>
      </c>
      <c r="F53" s="95" t="n">
        <f aca="false">SUM(F43:F52)</f>
        <v>169410325.037606</v>
      </c>
      <c r="H53" s="67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</row>
    <row r="54" customFormat="false" ht="16.5" hidden="false" customHeight="false" outlineLevel="0" collapsed="false">
      <c r="A54" s="160"/>
      <c r="B54" s="160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</row>
    <row r="55" customFormat="false" ht="15.75" hidden="false" customHeight="false" outlineLevel="0" collapsed="false">
      <c r="A55" s="161" t="n">
        <f aca="false">+Summary!C5</f>
        <v>36959</v>
      </c>
      <c r="B55" s="161"/>
      <c r="C55" s="135"/>
      <c r="D55" s="135"/>
      <c r="E55" s="135" t="s">
        <v>192</v>
      </c>
      <c r="F55" s="135" t="n">
        <f aca="false">VLOOKUP(+A55,Note,2)</f>
        <v>1</v>
      </c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35"/>
      <c r="GO55" s="135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5"/>
      <c r="HG55" s="135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5"/>
      <c r="IK55" s="135"/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</row>
    <row r="56" customFormat="false" ht="15.75" hidden="false" customHeight="false" outlineLevel="0" collapsed="false">
      <c r="A56" s="135"/>
      <c r="B56" s="135"/>
      <c r="C56" s="135"/>
      <c r="D56" s="135"/>
      <c r="E56" s="135" t="s">
        <v>28</v>
      </c>
      <c r="F56" s="160" t="n">
        <f aca="false">VLOOKUP(+A55,Note,1)</f>
        <v>36950</v>
      </c>
      <c r="G56" s="135"/>
    </row>
    <row r="57" customFormat="false" ht="15.75" hidden="false" customHeight="false" outlineLevel="0" collapsed="false">
      <c r="A57" s="135" t="s">
        <v>204</v>
      </c>
      <c r="B57" s="162" t="n">
        <f aca="false">VLOOKUP(+A55,Loan,8)</f>
        <v>14077777.7777778</v>
      </c>
      <c r="C57" s="135"/>
      <c r="D57" s="135"/>
      <c r="E57" s="135" t="s">
        <v>196</v>
      </c>
      <c r="F57" s="135" t="n">
        <f aca="false">VLOOKUP(+F55+1,LoanPeriod,5)</f>
        <v>15048147.4796291</v>
      </c>
      <c r="G57" s="135"/>
    </row>
    <row r="58" customFormat="false" ht="15.75" hidden="false" customHeight="false" outlineLevel="0" collapsed="false">
      <c r="A58" s="160" t="s">
        <v>6</v>
      </c>
      <c r="B58" s="135" t="n">
        <f aca="false">+B56+B57</f>
        <v>14077777.7777778</v>
      </c>
      <c r="C58" s="135"/>
      <c r="D58" s="135"/>
      <c r="E58" s="135" t="s">
        <v>198</v>
      </c>
      <c r="F58" s="160" t="n">
        <f aca="false">VLOOKUP(+F55+1,NotePeriod,8)</f>
        <v>37134</v>
      </c>
      <c r="G58" s="135"/>
    </row>
    <row r="59" customFormat="false" ht="15.75" hidden="false" customHeight="false" outlineLevel="0" collapsed="false">
      <c r="A59" s="160" t="s">
        <v>199</v>
      </c>
      <c r="B59" s="135" t="n">
        <f aca="false">A55-F56</f>
        <v>9</v>
      </c>
      <c r="C59" s="135"/>
      <c r="D59" s="135"/>
      <c r="E59" s="160"/>
      <c r="F59" s="135"/>
      <c r="G59" s="135"/>
    </row>
    <row r="60" customFormat="false" ht="15.75" hidden="false" customHeight="false" outlineLevel="0" collapsed="false">
      <c r="A60" s="160" t="s">
        <v>205</v>
      </c>
      <c r="B60" s="135" t="n">
        <f aca="false">F57*B59/(F58-F56)</f>
        <v>736050.691938382</v>
      </c>
      <c r="C60" s="135"/>
      <c r="D60" s="135"/>
      <c r="E60" s="135"/>
      <c r="F60" s="135"/>
      <c r="G60" s="135"/>
    </row>
    <row r="61" customFormat="false" ht="15.75" hidden="false" customHeight="false" outlineLevel="0" collapsed="false">
      <c r="A61" s="160" t="s">
        <v>174</v>
      </c>
      <c r="B61" s="135" t="n">
        <f aca="false">+B57+B60</f>
        <v>14813828.4697162</v>
      </c>
      <c r="C61" s="135"/>
      <c r="D61" s="135"/>
      <c r="E61" s="135"/>
      <c r="F61" s="135"/>
      <c r="G61" s="135"/>
    </row>
    <row r="63" customFormat="false" ht="15.75" hidden="false" customHeight="false" outlineLevel="0" collapsed="false">
      <c r="A63" s="66" t="s">
        <v>206</v>
      </c>
    </row>
    <row r="64" customFormat="false" ht="15.75" hidden="false" customHeight="false" outlineLevel="0" collapsed="false">
      <c r="A64" s="55" t="n">
        <f aca="false">+'Cash-Int-Trans'!B58</f>
        <v>36917</v>
      </c>
      <c r="B64" s="66" t="s">
        <v>207</v>
      </c>
      <c r="E64" s="66" t="n">
        <f aca="false">+'Cash-Int-Trans'!B59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6" t="s">
        <v>208</v>
      </c>
      <c r="C65" s="55"/>
      <c r="D65" s="55" t="n">
        <f aca="false">+'Cash-Int-Trans'!B60</f>
        <v>36950</v>
      </c>
      <c r="E65" s="164" t="n">
        <f aca="false">+'Cash-Int-Trans'!B62</f>
        <v>41586.6155833333</v>
      </c>
    </row>
    <row r="66" customFormat="false" ht="15.75" hidden="false" customHeight="false" outlineLevel="0" collapsed="false">
      <c r="E66" s="66" t="n">
        <f aca="false">SUM(E64:E65)</f>
        <v>6522617.61558333</v>
      </c>
    </row>
    <row r="68" customFormat="false" ht="15.75" hidden="false" customHeight="false" outlineLevel="0" collapsed="false">
      <c r="A68" s="55"/>
      <c r="D68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4" min="4" style="0" width="14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65" t="s">
        <v>209</v>
      </c>
      <c r="E1" s="13" t="s">
        <v>210</v>
      </c>
    </row>
    <row r="2" customFormat="false" ht="15.75" hidden="false" customHeight="false" outlineLevel="0" collapsed="false">
      <c r="A2" s="7" t="s">
        <v>211</v>
      </c>
      <c r="C2" s="53"/>
      <c r="D2" s="25" t="n">
        <f aca="false">+Financials!I5</f>
        <v>68.84</v>
      </c>
    </row>
    <row r="3" customFormat="false" ht="15.75" hidden="false" customHeight="false" outlineLevel="0" collapsed="false">
      <c r="A3" s="0" t="s">
        <v>212</v>
      </c>
      <c r="B3" s="26" t="n">
        <v>50000000</v>
      </c>
      <c r="D3" s="47" t="n">
        <f aca="false">B3*D2</f>
        <v>3442000000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213</v>
      </c>
      <c r="D4" s="16" t="n">
        <f aca="false">1400000000+1027000000+500000</f>
        <v>2427500000</v>
      </c>
      <c r="E4" s="166" t="n">
        <f aca="false">ROUND(D4/D2+0.49,0)</f>
        <v>35262929</v>
      </c>
    </row>
    <row r="5" customFormat="false" ht="15.75" hidden="false" customHeight="false" outlineLevel="0" collapsed="false">
      <c r="A5" s="0" t="s">
        <v>214</v>
      </c>
      <c r="D5" s="15" t="n">
        <f aca="false">D3-D4</f>
        <v>1014500000</v>
      </c>
      <c r="E5" s="148" t="n">
        <f aca="false">E3-E4</f>
        <v>14737071</v>
      </c>
    </row>
    <row r="6" customFormat="false" ht="15.75" hidden="false" customHeight="false" outlineLevel="0" collapsed="false">
      <c r="A6" s="0" t="s">
        <v>215</v>
      </c>
      <c r="D6" s="25"/>
    </row>
    <row r="7" customFormat="false" ht="15.75" hidden="false" customHeight="false" outlineLevel="0" collapsed="false">
      <c r="A7" s="0" t="s">
        <v>216</v>
      </c>
      <c r="B7" s="26" t="n">
        <v>3876755</v>
      </c>
      <c r="D7" s="15" t="n">
        <f aca="false">+B7*D2</f>
        <v>266875814.2</v>
      </c>
      <c r="E7" s="26" t="n">
        <v>3876755</v>
      </c>
    </row>
    <row r="8" customFormat="false" ht="15.75" hidden="false" customHeight="false" outlineLevel="0" collapsed="false">
      <c r="A8" s="0" t="s">
        <v>217</v>
      </c>
      <c r="B8" s="26" t="n">
        <v>7809790</v>
      </c>
      <c r="D8" s="15" t="n">
        <f aca="false">+B8*D2</f>
        <v>537625943.6</v>
      </c>
      <c r="E8" s="26" t="n">
        <v>7809790</v>
      </c>
    </row>
    <row r="9" customFormat="false" ht="15.75" hidden="false" customHeight="false" outlineLevel="0" collapsed="false">
      <c r="A9" s="0" t="s">
        <v>218</v>
      </c>
      <c r="B9" s="26" t="n">
        <v>6326045</v>
      </c>
      <c r="D9" s="16" t="n">
        <f aca="false">+B9*D2</f>
        <v>435484937.8</v>
      </c>
      <c r="E9" s="166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167</v>
      </c>
      <c r="D11" s="17" t="n">
        <f aca="false">D5-SUM(D7:D9)</f>
        <v>-225486695.6</v>
      </c>
      <c r="E11" s="167" t="n">
        <f aca="false">E5-SUM(E7:E9)</f>
        <v>-3275519</v>
      </c>
    </row>
    <row r="12" customFormat="false" ht="16.5" hidden="false" customHeight="false" outlineLevel="0" collapsed="false">
      <c r="A12" s="26" t="s">
        <v>219</v>
      </c>
      <c r="D12" s="54" t="n">
        <f aca="false">+D11/(B3-SUM(B7:B9))</f>
        <v>-7.0492326699786</v>
      </c>
      <c r="E12" s="148"/>
      <c r="F12" s="26"/>
    </row>
    <row r="13" customFormat="false" ht="15.75" hidden="false" customHeight="false" outlineLevel="0" collapsed="false">
      <c r="D13" s="47"/>
      <c r="E13" s="53"/>
      <c r="F13" s="26"/>
    </row>
    <row r="14" customFormat="false" ht="15.75" hidden="false" customHeight="false" outlineLevel="0" collapsed="false">
      <c r="A14" s="0" t="s">
        <v>220</v>
      </c>
      <c r="B14" s="26" t="n">
        <f aca="false">IF(E11&gt;0,B9,IF(B9+E11&gt;0,+B9+E11,0))</f>
        <v>3050526</v>
      </c>
      <c r="D14" s="47"/>
      <c r="F14" s="26"/>
    </row>
    <row r="17" customFormat="false" ht="15.75" hidden="false" customHeight="false" outlineLevel="0" collapsed="false">
      <c r="A17" s="0" t="s">
        <v>221</v>
      </c>
      <c r="B17" s="26" t="n">
        <f aca="false">+Financials!D15</f>
        <v>6326045</v>
      </c>
      <c r="C17" s="25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222</v>
      </c>
      <c r="D18" s="15" t="n">
        <f aca="false">+Financials!B17</f>
        <v>-186923069.375</v>
      </c>
      <c r="E18" s="168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223</v>
      </c>
      <c r="D20" s="15" t="n">
        <f aca="false">+Financials!I15</f>
        <v>32434139.8915525</v>
      </c>
      <c r="E20" s="168" t="n">
        <f aca="false">(+Financials!H2-Financials!A3)/(3*365)</f>
        <v>0.17351598173516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224</v>
      </c>
      <c r="D21" s="15" t="n">
        <f aca="false">+D19+D20</f>
        <v>382434139.891553</v>
      </c>
      <c r="E21" s="168" t="n">
        <f aca="false">+D21/D17</f>
        <v>0.712269898063276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225</v>
      </c>
      <c r="B23" s="26" t="n">
        <f aca="false">+B14</f>
        <v>3050526</v>
      </c>
      <c r="C23" s="25" t="n">
        <f aca="false">+C17</f>
        <v>84.875</v>
      </c>
      <c r="D23" s="15" t="n">
        <f aca="false">+B23*C23</f>
        <v>258913394.25</v>
      </c>
    </row>
    <row r="24" customFormat="false" ht="15.75" hidden="false" customHeight="false" outlineLevel="0" collapsed="false">
      <c r="A24" s="0" t="s">
        <v>222</v>
      </c>
      <c r="D24" s="15" t="n">
        <f aca="false">D18/D17*D23</f>
        <v>-90137468.6914559</v>
      </c>
      <c r="E24" s="168" t="n">
        <f aca="false">-D24/D23</f>
        <v>0.348137526652721</v>
      </c>
    </row>
    <row r="25" customFormat="false" ht="15.75" hidden="false" customHeight="false" outlineLevel="0" collapsed="false">
      <c r="D25" s="15" t="n">
        <f aca="false">+D23+D24</f>
        <v>168775925.558544</v>
      </c>
    </row>
    <row r="26" customFormat="false" ht="15.75" hidden="false" customHeight="false" outlineLevel="0" collapsed="false">
      <c r="A26" s="0" t="s">
        <v>223</v>
      </c>
      <c r="D26" s="15" t="n">
        <f aca="false">-D24*E20</f>
        <v>15640291.3711202</v>
      </c>
      <c r="E26" s="168" t="n">
        <f aca="false">+E20</f>
        <v>0.17351598173516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226</v>
      </c>
      <c r="D27" s="15" t="n">
        <f aca="false">+D25+D26</f>
        <v>184416216.929664</v>
      </c>
      <c r="E27" s="168" t="n">
        <f aca="false">+D27/D23</f>
        <v>0.712269898063276</v>
      </c>
    </row>
    <row r="28" customFormat="false" ht="15.75" hidden="false" customHeight="false" outlineLevel="0" collapsed="false">
      <c r="A28" s="0" t="s">
        <v>39</v>
      </c>
      <c r="D28" s="15" t="n">
        <f aca="false">+Financials!M10-D27</f>
        <v>0</v>
      </c>
      <c r="E28" s="168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99</v>
      </c>
      <c r="B30" s="26" t="n">
        <f aca="false">+B17-B23</f>
        <v>3275519</v>
      </c>
      <c r="D30" s="15" t="n">
        <f aca="false">+D21-D27</f>
        <v>198017922.961888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2000-09-06T11:19:45Z</cp:lastPrinted>
  <dcterms:modified xsi:type="dcterms:W3CDTF">2001-03-12T19:08:34Z</dcterms:modified>
  <cp:revision>0</cp:revision>
  <dc:subject/>
  <dc:title>FXHistory</dc:title>
</cp:coreProperties>
</file>