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<sst xmlns="http://schemas.openxmlformats.org/spreadsheetml/2006/main" count="285" uniqueCount="211">
  <si>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</si>
  <si>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</si>
  <si>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</si>
  <si>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</si>
  <si>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</si>
  <si>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</si>
  <si>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</si>
  <si>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</si>
  <si>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</si>
  <si>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</si>
  <si>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</si>
  <si>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</si>
  <si>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</si>
  <si>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</si>
  <si>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</si>
  <si>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</si>
  <si>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</si>
  <si>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</si>
  <si>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</si>
  <si>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</si>
  <si>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</si>
  <si>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</si>
  <si>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</si>
  <si>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</si>
  <si>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</si>
  <si>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</si>
  <si>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</si>
  <si>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</si>
  <si>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</si>
  <si>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</si>
  <si>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</si>
  <si>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</si>
  <si>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</si>
  <si>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</si>
  <si>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</si>
  <si>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</si>
  <si>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</si>
  <si>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</si>
  <si>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</si>
  <si>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</si>
  <si>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</si>
  <si>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</si>
  <si>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</si>
  <si>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</si>
  <si>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</si>
  <si>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</si>
  <si>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</si>
  <si>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</si>
  <si>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</si>
  <si>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</si>
  <si>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</si>
  <si>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</si>
  <si>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</si>
  <si>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</si>
  <si>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</si>
  <si>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</si>
  <si>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</si>
  <si>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</si>
  <si>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</si>
  <si>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</si>
  <si>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</si>
  <si>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</si>
  <si>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</si>
  <si>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</si>
  <si>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</si>
  <si>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</si>
  <si>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</si>
  <si>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</si>
  <si>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</si>
  <si>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</si>
  <si>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</si>
  <si>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</si>
  <si>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</si>
  <si>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</si>
  <si>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</si>
  <si>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</si>
  <si>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</si>
  <si>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</si>
  <si>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</si>
  <si>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</si>
  <si>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</si>
  <si>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</si>
  <si>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</si>
  <si>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</si>
  <si>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</si>
  <si>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</si>
  <si>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</si>
  <si>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</si>
  <si>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</si>
  <si>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</si>
  <si>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</si>
  <si>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</si>
  <si>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</si>
  <si>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</si>
  <si>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</si>
  <si>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</si>
  <si>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</si>
  <si>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</si>
  <si>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</si>
  <si>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</si>
  <si>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</si>
  <si>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</si>
  <si>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</si>
  <si>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</si>
  <si>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Put Option Exposure</t>
  </si>
  <si>
    <t xml:space="preserve">3 Percent Test</t>
  </si>
  <si>
    <t xml:space="preserve">Unrealized Gains / (Losses)</t>
  </si>
  <si>
    <t xml:space="preserve">Swap Exposure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</si>
  <si>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</si>
  <si>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</si>
  <si>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</si>
  <si>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</si>
  <si>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</si>
  <si>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</si>
  <si>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</si>
  <si>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</si>
  <si>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Required Third Party Capitalization</t>
  </si>
  <si>
    <t xml:space="preserve">     Subtotal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</si>
  <si>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</si>
  <si>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</si>
  <si>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</si>
  <si>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</si>
  <si>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</si>
  <si>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</si>
  <si>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</si>
  <si>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</si>
  <si>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</si>
  <si>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</si>
  <si>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</si>
  <si>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</si>
  <si>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</si>
  <si>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</si>
  <si>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</si>
  <si>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$68.75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</si>
  <si>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</si>
  <si>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</si>
  <si>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</si>
  <si>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</si>
  <si>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</si>
  <si>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</si>
  <si>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</si>
  <si>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</si>
  <si>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</si>
  <si>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</si>
  <si>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</si>
  <si>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$78.875 per share and Call at $111.8633 included</t>
  </si>
  <si>
    <t xml:space="preserve">     Ending LJM Capital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</si>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</sst>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36880</v>
      </c>
      <c r="D5" s="10" t="s">
        <v>3</v>
      </c>
      <c r="E5" s="11" t="n">
        <f aca="false">+C5-1</f>
        <v>36879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IF(+Financials!P27=0,"No Capacity Available",+Financials!P27)</f>
        <v>105699311.112589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287911243.819181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36880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48" activePane="bottomLeft" state="frozen"/>
      <selection pane="topLeft" activeCell="A1" activeCellId="0" sqref="A1"/>
      <selection pane="bottomLeft" activeCell="A69" activeCellId="0" sqref="A6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49" customFormat="false" ht="15.75" hidden="false" customHeight="false" outlineLevel="0" collapsed="false">
      <c r="A49" s="26" t="n">
        <v>36851</v>
      </c>
      <c r="B49" s="57" t="n">
        <v>80.375</v>
      </c>
    </row>
    <row r="50" customFormat="false" ht="15.75" hidden="false" customHeight="false" outlineLevel="0" collapsed="false">
      <c r="A50" s="26" t="n">
        <v>36852</v>
      </c>
      <c r="B50" s="57" t="n">
        <v>75.563</v>
      </c>
    </row>
    <row r="51" customFormat="false" ht="15.75" hidden="false" customHeight="false" outlineLevel="0" collapsed="false">
      <c r="A51" s="26" t="n">
        <v>36854</v>
      </c>
      <c r="B51" s="57" t="n">
        <v>77.75</v>
      </c>
    </row>
    <row r="52" customFormat="false" ht="15.75" hidden="false" customHeight="false" outlineLevel="0" collapsed="false">
      <c r="A52" s="26" t="n">
        <v>36857</v>
      </c>
      <c r="B52" s="57" t="n">
        <v>78.875</v>
      </c>
    </row>
    <row r="53" customFormat="false" ht="15.75" hidden="false" customHeight="false" outlineLevel="0" collapsed="false">
      <c r="A53" s="26" t="n">
        <v>36858</v>
      </c>
      <c r="B53" s="57" t="n">
        <v>78.438</v>
      </c>
    </row>
    <row r="54" customFormat="false" ht="15.75" hidden="false" customHeight="false" outlineLevel="0" collapsed="false">
      <c r="A54" s="26" t="n">
        <v>36859</v>
      </c>
      <c r="B54" s="57" t="n">
        <v>70.25</v>
      </c>
    </row>
    <row r="55" customFormat="false" ht="15.75" hidden="false" customHeight="false" outlineLevel="0" collapsed="false">
      <c r="A55" s="26" t="n">
        <v>36860</v>
      </c>
      <c r="B55" s="57" t="n">
        <v>64.75</v>
      </c>
    </row>
    <row r="56" customFormat="false" ht="15.75" hidden="false" customHeight="false" outlineLevel="0" collapsed="false">
      <c r="A56" s="26" t="n">
        <v>36861</v>
      </c>
      <c r="B56" s="57" t="n">
        <v>65.5</v>
      </c>
    </row>
    <row r="57" customFormat="false" ht="15.75" hidden="false" customHeight="false" outlineLevel="0" collapsed="false">
      <c r="A57" s="26" t="n">
        <v>36864</v>
      </c>
      <c r="B57" s="57" t="n">
        <v>65.938</v>
      </c>
    </row>
    <row r="58" customFormat="false" ht="15.75" hidden="false" customHeight="false" outlineLevel="0" collapsed="false">
      <c r="A58" s="26" t="n">
        <v>36865</v>
      </c>
      <c r="B58" s="57" t="n">
        <v>68.25</v>
      </c>
    </row>
    <row r="59" customFormat="false" ht="15.75" hidden="false" customHeight="false" outlineLevel="0" collapsed="false">
      <c r="A59" s="26" t="n">
        <v>36866</v>
      </c>
      <c r="B59" s="57" t="n">
        <v>71.938</v>
      </c>
    </row>
    <row r="60" customFormat="false" ht="15.75" hidden="false" customHeight="false" outlineLevel="0" collapsed="false">
      <c r="A60" s="26" t="n">
        <v>36867</v>
      </c>
      <c r="B60" s="57" t="n">
        <v>72.875</v>
      </c>
    </row>
    <row r="61" customFormat="false" ht="15.75" hidden="false" customHeight="false" outlineLevel="0" collapsed="false">
      <c r="A61" s="26" t="n">
        <v>36868</v>
      </c>
      <c r="B61" s="57" t="n">
        <v>73.063</v>
      </c>
    </row>
    <row r="62" customFormat="false" ht="15.75" hidden="false" customHeight="false" outlineLevel="0" collapsed="false">
      <c r="A62" s="26" t="n">
        <v>36871</v>
      </c>
      <c r="B62" s="57" t="n">
        <v>76.5</v>
      </c>
    </row>
    <row r="63" customFormat="false" ht="15.75" hidden="false" customHeight="false" outlineLevel="0" collapsed="false">
      <c r="A63" s="26" t="n">
        <v>36872</v>
      </c>
      <c r="B63" s="57" t="n">
        <v>77.188</v>
      </c>
    </row>
    <row r="64" customFormat="false" ht="15.75" hidden="false" customHeight="false" outlineLevel="0" collapsed="false">
      <c r="A64" s="26" t="n">
        <v>36873</v>
      </c>
      <c r="B64" s="57" t="n">
        <v>74.5</v>
      </c>
    </row>
    <row r="65" customFormat="false" ht="15.75" hidden="false" customHeight="false" outlineLevel="0" collapsed="false">
      <c r="A65" s="26" t="n">
        <v>36874</v>
      </c>
      <c r="B65" s="57" t="n">
        <v>76.5</v>
      </c>
    </row>
    <row r="66" customFormat="false" ht="15.75" hidden="false" customHeight="false" outlineLevel="0" collapsed="false">
      <c r="A66" s="26" t="n">
        <v>36875</v>
      </c>
      <c r="B66" s="57" t="n">
        <v>77.563</v>
      </c>
    </row>
    <row r="67" customFormat="false" ht="15.75" hidden="false" customHeight="false" outlineLevel="0" collapsed="false">
      <c r="A67" s="26" t="n">
        <v>36878</v>
      </c>
      <c r="B67" s="57" t="n">
        <v>79.563</v>
      </c>
    </row>
    <row r="68" customFormat="false" ht="15.75" hidden="false" customHeight="false" outlineLevel="0" collapsed="false">
      <c r="A68" s="26" t="n">
        <v>36879</v>
      </c>
      <c r="B68" s="57" t="n">
        <v>79.75</v>
      </c>
    </row>
    <row r="69" customFormat="false" ht="15.75" hidden="false" customHeight="false" outlineLevel="0" collapsed="false">
      <c r="A69" s="26" t="n">
        <v>36880</v>
      </c>
      <c r="B69" s="57" t="n">
        <v>79.75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I16" colorId="64" zoomScale="100" zoomScaleNormal="100" zoomScalePageLayoutView="100" workbookViewId="0">
      <selection pane="topLeft" activeCell="P1" activeCellId="0" sqref="P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36880</v>
      </c>
      <c r="I2" s="68"/>
      <c r="J2" s="69"/>
      <c r="L2" s="68" t="n">
        <f aca="false">H2</f>
        <v>36880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79.75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36880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33773275.484375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379702842.808219</v>
      </c>
      <c r="N10" s="85"/>
      <c r="O10" s="64" t="s">
        <v>77</v>
      </c>
      <c r="P10" s="64" t="n">
        <f aca="false">IF(I20&gt;0,0,-I20)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36880</v>
      </c>
      <c r="J11" s="65"/>
      <c r="L11" s="64" t="s">
        <v>80</v>
      </c>
      <c r="M11" s="64" t="n">
        <f aca="false">+Amort!B28</f>
        <v>1691666.66666667</v>
      </c>
      <c r="O11" s="64" t="s">
        <v>81</v>
      </c>
      <c r="P11" s="64" t="n">
        <f aca="false">IF(I19&lt;0,-I19,0)</f>
        <v>0</v>
      </c>
      <c r="R11" s="25"/>
    </row>
    <row r="12" customFormat="false" ht="16.5" hidden="false" customHeight="false" outlineLevel="0" collapsed="false">
      <c r="H12" s="65" t="s">
        <v>82</v>
      </c>
      <c r="I12" s="90" t="n">
        <f aca="false">+'Cash-Int-Trans'!B6</f>
        <v>34266411</v>
      </c>
      <c r="J12" s="97" t="s">
        <v>83</v>
      </c>
      <c r="O12" s="64" t="s">
        <v>67</v>
      </c>
      <c r="P12" s="64" t="n">
        <f aca="false">E7-I16+'Cash-Int-Trans'!B9</f>
        <v>420383450.831861</v>
      </c>
    </row>
    <row r="13" customFormat="false" ht="15.75" hidden="false" customHeight="false" outlineLevel="0" collapsed="false">
      <c r="A13" s="98" t="s">
        <v>84</v>
      </c>
      <c r="D13" s="99" t="s">
        <v>85</v>
      </c>
      <c r="E13" s="99" t="s">
        <v>32</v>
      </c>
      <c r="F13" s="100"/>
      <c r="H13" s="65" t="s">
        <v>86</v>
      </c>
      <c r="I13" s="90" t="n">
        <f aca="false">+'Cash-Int-Trans'!B38</f>
        <v>2672275.484375</v>
      </c>
      <c r="J13" s="97"/>
      <c r="L13" s="64" t="s">
        <v>87</v>
      </c>
      <c r="M13" s="64" t="n">
        <f aca="false">IF(I19&gt;0,I19,0)</f>
        <v>0</v>
      </c>
      <c r="O13" s="64" t="s">
        <v>74</v>
      </c>
      <c r="P13" s="64" t="n">
        <f aca="false">IF(+I23+I35+'Cash-Int-Trans'!D64-'Cash-Int-Trans'!D63&gt;'Cash-Int-Trans'!D64,'Cash-Int-Trans'!D64,IF(+I23+I35+'Cash-Int-Trans'!D64&lt;0,0,+I23+I35+'Cash-Int-Trans'!D64-'Cash-Int-Trans'!D63))</f>
        <v>31132186.3013699</v>
      </c>
      <c r="Q13" s="101" t="s">
        <v>88</v>
      </c>
    </row>
    <row r="14" customFormat="false" ht="15.75" hidden="false" customHeight="false" outlineLevel="0" collapsed="false">
      <c r="A14" s="64" t="s">
        <v>89</v>
      </c>
      <c r="B14" s="64" t="n">
        <f aca="false">D14*E14</f>
        <v>0</v>
      </c>
      <c r="D14" s="102" t="n">
        <v>0</v>
      </c>
      <c r="E14" s="103" t="n">
        <v>0</v>
      </c>
      <c r="H14" s="65" t="s">
        <v>90</v>
      </c>
      <c r="I14" s="90" t="n">
        <f aca="false">+Amort!B29</f>
        <v>1691666.66666667</v>
      </c>
      <c r="J14" s="65"/>
      <c r="L14" s="64" t="s">
        <v>91</v>
      </c>
      <c r="M14" s="64" t="n">
        <f aca="false">IF(I20&gt;0,I20,0)</f>
        <v>0</v>
      </c>
      <c r="O14" s="64" t="s">
        <v>49</v>
      </c>
      <c r="P14" s="64" t="n">
        <f aca="false">M15-SUM(P8:P13)</f>
        <v>13652147.8260299</v>
      </c>
    </row>
    <row r="15" customFormat="false" ht="16.5" hidden="false" customHeight="false" outlineLevel="0" collapsed="false">
      <c r="A15" s="64" t="s">
        <v>92</v>
      </c>
      <c r="B15" s="104" t="n">
        <f aca="false">+D15*E15</f>
        <v>536923062.5</v>
      </c>
      <c r="D15" s="105" t="n">
        <v>7809790</v>
      </c>
      <c r="E15" s="103" t="n">
        <v>68.75</v>
      </c>
      <c r="H15" s="65" t="s">
        <v>93</v>
      </c>
      <c r="I15" s="90" t="n">
        <f aca="false">-B17*A35/(3*365)</f>
        <v>29702842.8082192</v>
      </c>
      <c r="J15" s="106" t="s">
        <v>94</v>
      </c>
      <c r="L15" s="92" t="s">
        <v>6</v>
      </c>
      <c r="M15" s="93" t="n">
        <f aca="false">SUM(M8:M14)</f>
        <v>465167784.959261</v>
      </c>
      <c r="N15" s="94"/>
      <c r="O15" s="92" t="s">
        <v>6</v>
      </c>
      <c r="P15" s="93" t="n">
        <f aca="false">SUM(P8:P14)</f>
        <v>465167784.959261</v>
      </c>
      <c r="Q15" s="107" t="s">
        <v>95</v>
      </c>
    </row>
    <row r="16" customFormat="false" ht="16.5" hidden="false" customHeight="false" outlineLevel="0" collapsed="false">
      <c r="A16" s="64" t="s">
        <v>96</v>
      </c>
      <c r="B16" s="64" t="n">
        <f aca="false">SUM(B14:B15)</f>
        <v>536923062.5</v>
      </c>
      <c r="H16" s="65" t="s">
        <v>97</v>
      </c>
      <c r="I16" s="108" t="n">
        <f aca="false">-'Cash-Int-Trans'!B47</f>
        <v>-13649861.8318611</v>
      </c>
      <c r="J16" s="65"/>
      <c r="P16" s="64" t="n">
        <f aca="false">M15-P15</f>
        <v>0</v>
      </c>
      <c r="Q16" s="88" t="str">
        <f aca="false">IF(ROUND(P16,0)=0,"","8/31/00 Balance Sheet does not Balance!")</f>
        <v/>
      </c>
    </row>
    <row r="17" customFormat="false" ht="15.75" hidden="false" customHeight="false" outlineLevel="0" collapsed="false">
      <c r="A17" s="64" t="s">
        <v>98</v>
      </c>
      <c r="B17" s="64" t="n">
        <f aca="false">350000000-B16</f>
        <v>-186923062.5</v>
      </c>
      <c r="C17" s="109" t="s">
        <v>99</v>
      </c>
      <c r="D17" s="110" t="n">
        <f aca="false">-B17/B16</f>
        <v>0.348137518305986</v>
      </c>
      <c r="I17" s="64" t="n">
        <f aca="false">SUM(I12:I16)</f>
        <v>54683334.1273997</v>
      </c>
      <c r="L17" s="111" t="s">
        <v>100</v>
      </c>
      <c r="M17" s="91"/>
      <c r="N17" s="91"/>
      <c r="O17" s="91"/>
      <c r="P17" s="91"/>
      <c r="Q17" s="90"/>
    </row>
    <row r="18" customFormat="false" ht="16.5" hidden="false" customHeight="false" outlineLevel="0" collapsed="false">
      <c r="A18" s="64" t="s">
        <v>101</v>
      </c>
      <c r="B18" s="93" t="n">
        <f aca="false">B16+B17</f>
        <v>350000000</v>
      </c>
      <c r="C18" s="85" t="s">
        <v>70</v>
      </c>
      <c r="I18" s="64"/>
      <c r="L18" s="112" t="s">
        <v>102</v>
      </c>
      <c r="M18" s="112"/>
      <c r="P18" s="64" t="n">
        <f aca="false">M15</f>
        <v>465167784.959261</v>
      </c>
      <c r="Q18" s="107" t="s">
        <v>95</v>
      </c>
    </row>
    <row r="19" customFormat="false" ht="16.5" hidden="false" customHeight="false" outlineLevel="0" collapsed="false">
      <c r="H19" s="64" t="s">
        <v>103</v>
      </c>
      <c r="I19" s="64" t="n">
        <f aca="false">IF(I5&lt;78.875,(78.875-I5)*(D14+D15),IF(I5&gt;111.8633,(111.8633-I5)*(+D14+D15),0))</f>
        <v>0</v>
      </c>
      <c r="L19" s="64" t="s">
        <v>104</v>
      </c>
      <c r="M19" s="113"/>
      <c r="N19" s="113"/>
      <c r="O19" s="113"/>
      <c r="P19" s="64" t="n">
        <f aca="false">+M19+O19</f>
        <v>0</v>
      </c>
      <c r="T19" s="114"/>
    </row>
    <row r="20" customFormat="false" ht="16.5" hidden="false" customHeight="false" outlineLevel="0" collapsed="false">
      <c r="A20" s="115" t="s">
        <v>105</v>
      </c>
      <c r="B20" s="115"/>
      <c r="C20" s="115"/>
      <c r="D20" s="115"/>
      <c r="E20" s="115"/>
      <c r="H20" s="64" t="s">
        <v>106</v>
      </c>
      <c r="I20" s="64" t="n">
        <f aca="false">+'Daily Position'!L8</f>
        <v>0</v>
      </c>
      <c r="J20" s="65"/>
      <c r="L20" s="64" t="s">
        <v>107</v>
      </c>
      <c r="M20" s="113" t="n">
        <f aca="false">+'Daily Position'!I8-M19</f>
        <v>460000000</v>
      </c>
      <c r="N20" s="113"/>
      <c r="O20" s="113" t="n">
        <f aca="false">-P10</f>
        <v>0</v>
      </c>
      <c r="P20" s="104" t="n">
        <f aca="false">+M20+O20</f>
        <v>460000000</v>
      </c>
    </row>
    <row r="21" customFormat="false" ht="15.75" hidden="false" customHeight="false" outlineLevel="0" collapsed="false">
      <c r="A21" s="116" t="s">
        <v>102</v>
      </c>
      <c r="B21" s="116"/>
      <c r="E21" s="64" t="n">
        <f aca="false">B11</f>
        <v>471001000</v>
      </c>
      <c r="F21" s="117" t="s">
        <v>78</v>
      </c>
      <c r="H21" s="64" t="s">
        <v>108</v>
      </c>
      <c r="I21" s="104" t="n">
        <f aca="false">+'Daily Position'!M8</f>
        <v>0</v>
      </c>
      <c r="L21" s="64" t="s">
        <v>109</v>
      </c>
      <c r="P21" s="64" t="n">
        <f aca="false">+P18+P19+P20</f>
        <v>925167784.959261</v>
      </c>
    </row>
    <row r="22" customFormat="false" ht="15.75" hidden="false" customHeight="false" outlineLevel="0" collapsed="false">
      <c r="A22" s="64" t="s">
        <v>110</v>
      </c>
      <c r="B22" s="64" t="s">
        <v>85</v>
      </c>
      <c r="D22" s="64" t="n">
        <v>7427536</v>
      </c>
      <c r="H22" s="0"/>
      <c r="I22" s="118" t="n">
        <f aca="false">SUM(I19:I21)</f>
        <v>0</v>
      </c>
      <c r="J22" s="65"/>
      <c r="K22" s="64"/>
      <c r="L22" s="64" t="s">
        <v>111</v>
      </c>
      <c r="P22" s="119" t="n">
        <f aca="false">E27</f>
        <v>0.0302</v>
      </c>
    </row>
    <row r="23" customFormat="false" ht="16.5" hidden="false" customHeight="false" outlineLevel="0" collapsed="false">
      <c r="A23" s="64" t="s">
        <v>112</v>
      </c>
      <c r="B23" s="64" t="s">
        <v>113</v>
      </c>
      <c r="D23" s="103" t="n">
        <v>57.5</v>
      </c>
      <c r="E23" s="104" t="n">
        <f aca="false">D22*D23</f>
        <v>427083320</v>
      </c>
      <c r="H23" s="120" t="s">
        <v>114</v>
      </c>
      <c r="I23" s="121" t="n">
        <f aca="false">I22+I17</f>
        <v>54683334.1273997</v>
      </c>
      <c r="J23" s="122" t="s">
        <v>115</v>
      </c>
      <c r="K23" s="64"/>
      <c r="L23" s="64" t="s">
        <v>116</v>
      </c>
      <c r="P23" s="64" t="n">
        <f aca="false">P21*P22</f>
        <v>27940067.1057697</v>
      </c>
    </row>
    <row r="24" customFormat="false" ht="16.5" hidden="false" customHeight="false" outlineLevel="0" collapsed="false">
      <c r="A24" s="64" t="s">
        <v>117</v>
      </c>
      <c r="E24" s="64" t="n">
        <f aca="false">SUM(E21:E23)</f>
        <v>898084320</v>
      </c>
      <c r="H24" s="65"/>
      <c r="I24" s="90"/>
      <c r="J24" s="65"/>
      <c r="L24" s="64" t="s">
        <v>118</v>
      </c>
      <c r="P24" s="64" t="n">
        <f aca="false">P13</f>
        <v>31132186.3013699</v>
      </c>
      <c r="Q24" s="101" t="s">
        <v>88</v>
      </c>
    </row>
    <row r="25" customFormat="false" ht="15.75" hidden="false" customHeight="false" outlineLevel="0" collapsed="false">
      <c r="A25" s="64" t="s">
        <v>119</v>
      </c>
      <c r="E25" s="104" t="n">
        <f aca="false">E6</f>
        <v>41000000</v>
      </c>
      <c r="F25" s="78" t="s">
        <v>63</v>
      </c>
      <c r="H25" s="91" t="s">
        <v>120</v>
      </c>
      <c r="I25" s="91"/>
      <c r="J25" s="65"/>
      <c r="L25" s="123" t="s">
        <v>121</v>
      </c>
      <c r="M25" s="118"/>
      <c r="N25" s="118"/>
      <c r="O25" s="118"/>
      <c r="P25" s="124" t="str">
        <f aca="false">IF(P24&gt;=P23,"Test Passed","Test Failed")</f>
        <v>Test Passed</v>
      </c>
      <c r="Q25" s="101"/>
    </row>
    <row r="26" customFormat="false" ht="15.75" hidden="false" customHeight="false" outlineLevel="0" collapsed="false">
      <c r="E26" s="64" t="n">
        <f aca="false">E24-E25</f>
        <v>857084320</v>
      </c>
      <c r="H26" s="65" t="s">
        <v>122</v>
      </c>
      <c r="I26" s="90"/>
      <c r="J26" s="65"/>
      <c r="L26" s="65" t="s">
        <v>123</v>
      </c>
      <c r="M26" s="65"/>
      <c r="N26" s="65"/>
      <c r="O26" s="65"/>
      <c r="P26" s="65" t="n">
        <f aca="false">P24-P23</f>
        <v>3192119.19560018</v>
      </c>
    </row>
    <row r="27" customFormat="false" ht="15.75" hidden="false" customHeight="false" outlineLevel="0" collapsed="false">
      <c r="A27" s="64" t="s">
        <v>111</v>
      </c>
      <c r="E27" s="119" t="n">
        <v>0.0302</v>
      </c>
      <c r="H27" s="65" t="s">
        <v>124</v>
      </c>
      <c r="I27" s="90" t="n">
        <f aca="false">E9</f>
        <v>30000000</v>
      </c>
      <c r="J27" s="89" t="s">
        <v>75</v>
      </c>
      <c r="K27" s="64"/>
      <c r="L27" s="120" t="s">
        <v>125</v>
      </c>
      <c r="M27" s="120"/>
      <c r="N27" s="120"/>
      <c r="O27" s="120"/>
      <c r="P27" s="120" t="n">
        <f aca="false">IF(P26&lt;0,0,P26/P22)</f>
        <v>105699311.112589</v>
      </c>
    </row>
    <row r="28" customFormat="false" ht="15.75" hidden="false" customHeight="false" outlineLevel="0" collapsed="false">
      <c r="A28" s="64" t="s">
        <v>116</v>
      </c>
      <c r="E28" s="64" t="n">
        <f aca="false">E26*E27</f>
        <v>25883946.464</v>
      </c>
      <c r="H28" s="65" t="s">
        <v>126</v>
      </c>
      <c r="I28" s="108" t="n">
        <f aca="false">-B17</f>
        <v>186923062.5</v>
      </c>
      <c r="J28" s="125" t="s">
        <v>99</v>
      </c>
    </row>
    <row r="29" customFormat="false" ht="15.75" hidden="false" customHeight="false" outlineLevel="0" collapsed="false">
      <c r="A29" s="64" t="s">
        <v>118</v>
      </c>
      <c r="E29" s="64" t="n">
        <f aca="false">E9</f>
        <v>30000000</v>
      </c>
      <c r="F29" s="89" t="s">
        <v>75</v>
      </c>
      <c r="H29" s="65" t="s">
        <v>127</v>
      </c>
      <c r="I29" s="90" t="n">
        <f aca="false">SUM(I27:I28)</f>
        <v>216923062.5</v>
      </c>
      <c r="J29" s="65"/>
      <c r="L29" s="126" t="s">
        <v>128</v>
      </c>
      <c r="M29" s="126"/>
    </row>
    <row r="30" customFormat="false" ht="15.75" hidden="false" customHeight="false" outlineLevel="0" collapsed="false">
      <c r="A30" s="123" t="s">
        <v>121</v>
      </c>
      <c r="B30" s="118"/>
      <c r="C30" s="118"/>
      <c r="D30" s="118"/>
      <c r="E30" s="124" t="str">
        <f aca="false">IF(E29&gt;=E28,"Test Passed","Test Failed")</f>
        <v>Test Passed</v>
      </c>
      <c r="H30" s="65"/>
      <c r="I30" s="90"/>
      <c r="J30" s="65"/>
      <c r="L30" s="64" t="s">
        <v>129</v>
      </c>
    </row>
    <row r="31" customFormat="false" ht="15.75" hidden="false" customHeight="false" outlineLevel="0" collapsed="false">
      <c r="H31" s="65" t="s">
        <v>130</v>
      </c>
      <c r="I31" s="90" t="n">
        <f aca="false">I23</f>
        <v>54683334.1273997</v>
      </c>
      <c r="J31" s="122" t="s">
        <v>115</v>
      </c>
      <c r="L31" s="64" t="s">
        <v>131</v>
      </c>
      <c r="M31" s="64" t="n">
        <f aca="false">E9+'Cash-Int-Trans'!B13</f>
        <v>31100000</v>
      </c>
    </row>
    <row r="32" customFormat="false" ht="16.5" hidden="false" customHeight="false" outlineLevel="0" collapsed="false">
      <c r="A32" s="127" t="s">
        <v>132</v>
      </c>
      <c r="B32" s="128"/>
      <c r="H32" s="65" t="s">
        <v>133</v>
      </c>
      <c r="I32" s="90" t="n">
        <f aca="false">(D14+D15)*(I5-E15)</f>
        <v>85907690</v>
      </c>
      <c r="J32" s="122"/>
      <c r="L32" s="64" t="s">
        <v>134</v>
      </c>
      <c r="M32" s="104" t="n">
        <f aca="false">E10</f>
        <v>1000</v>
      </c>
    </row>
    <row r="33" customFormat="false" ht="15.75" hidden="false" customHeight="false" outlineLevel="0" collapsed="false">
      <c r="A33" s="129" t="n">
        <v>36706</v>
      </c>
      <c r="B33" s="65" t="s">
        <v>135</v>
      </c>
      <c r="H33" s="64" t="s">
        <v>136</v>
      </c>
      <c r="I33" s="66" t="n">
        <f aca="false">+'Cash-Int-Trans'!B13</f>
        <v>1100000</v>
      </c>
      <c r="M33" s="64" t="n">
        <f aca="false">SUM(M31:M32)</f>
        <v>31101000</v>
      </c>
    </row>
    <row r="34" customFormat="false" ht="15.75" hidden="false" customHeight="false" outlineLevel="0" collapsed="false">
      <c r="A34" s="130" t="n">
        <f aca="false">+Summary!C5</f>
        <v>36880</v>
      </c>
      <c r="B34" s="65" t="s">
        <v>137</v>
      </c>
      <c r="C34" s="0"/>
      <c r="H34" s="65" t="s">
        <v>138</v>
      </c>
      <c r="I34" s="90" t="n">
        <f aca="false">-I15</f>
        <v>-29702842.8082192</v>
      </c>
      <c r="J34" s="106" t="s">
        <v>94</v>
      </c>
      <c r="L34" s="64" t="s">
        <v>139</v>
      </c>
      <c r="M34" s="64" t="n">
        <f aca="false">I23</f>
        <v>54683334.1273997</v>
      </c>
    </row>
    <row r="35" customFormat="false" ht="16.5" hidden="false" customHeight="false" outlineLevel="0" collapsed="false">
      <c r="A35" s="131" t="n">
        <f aca="false">A34-A33</f>
        <v>174</v>
      </c>
      <c r="B35" s="65" t="s">
        <v>140</v>
      </c>
      <c r="C35" s="0"/>
      <c r="H35" s="65" t="s">
        <v>141</v>
      </c>
      <c r="I35" s="90" t="n">
        <f aca="false">+'Cash-Int-Trans'!B12</f>
        <v>-41000000</v>
      </c>
      <c r="J35" s="132"/>
      <c r="L35" s="64" t="s">
        <v>142</v>
      </c>
      <c r="M35" s="104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H36" s="120" t="s">
        <v>143</v>
      </c>
      <c r="I36" s="133" t="n">
        <f aca="false">SUM(I29:I35)</f>
        <v>287911243.819181</v>
      </c>
      <c r="J36" s="65"/>
      <c r="L36" s="64" t="s">
        <v>144</v>
      </c>
      <c r="M36" s="64" t="n">
        <f aca="false">SUM(M33:M35)</f>
        <v>44784334.1273997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4" t="s">
        <v>145</v>
      </c>
      <c r="L37" s="64" t="s">
        <v>146</v>
      </c>
      <c r="M37" s="64" t="n">
        <f aca="false">P13</f>
        <v>31132186.3013699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L38" s="64" t="s">
        <v>147</v>
      </c>
      <c r="M38" s="104" t="n">
        <f aca="false">P14</f>
        <v>13652147.8260299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M39" s="64" t="n">
        <f aca="false">M36-M37-M38</f>
        <v>0</v>
      </c>
      <c r="N39" s="134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64" t="s">
        <v>148</v>
      </c>
      <c r="M40" s="64" t="n">
        <f aca="false">ROUND(M36-SUM(M37:M38),0)</f>
        <v>0</v>
      </c>
      <c r="N40" s="135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6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7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48" activeCellId="0" sqref="D4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38" t="s">
        <v>149</v>
      </c>
      <c r="B1" s="138"/>
    </row>
    <row r="3" customFormat="false" ht="15.75" hidden="false" customHeight="false" outlineLevel="0" collapsed="false">
      <c r="A3" s="65" t="s">
        <v>150</v>
      </c>
      <c r="B3" s="66"/>
      <c r="C3" s="64"/>
    </row>
    <row r="4" customFormat="false" ht="15.75" hidden="false" customHeight="false" outlineLevel="0" collapsed="false">
      <c r="A4" s="137" t="s">
        <v>151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152</v>
      </c>
      <c r="B6" s="139" t="n">
        <f aca="false">SUM(B3:B5)</f>
        <v>34266411</v>
      </c>
      <c r="C6" s="97" t="s">
        <v>83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153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154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155</v>
      </c>
      <c r="B11" s="66"/>
      <c r="C11" s="64"/>
    </row>
    <row r="12" customFormat="false" ht="15.75" hidden="false" customHeight="false" outlineLevel="0" collapsed="false">
      <c r="A12" s="64" t="s">
        <v>156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157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158</v>
      </c>
      <c r="B15" s="66" t="n">
        <f aca="false">IF(Summary!$C$5&lt;'Cash-Int-Trans'!D15,0,-Amort!D11)</f>
        <v>0</v>
      </c>
      <c r="C15" s="64"/>
      <c r="D15" s="56" t="n">
        <v>36889</v>
      </c>
    </row>
    <row r="16" customFormat="false" ht="15.75" hidden="false" customHeight="false" outlineLevel="0" collapsed="false">
      <c r="A16" s="64" t="s">
        <v>159</v>
      </c>
      <c r="B16" s="66" t="n">
        <f aca="false">-B15</f>
        <v>-0</v>
      </c>
      <c r="C16" s="64"/>
      <c r="D16" s="56" t="n">
        <f aca="false">+D15</f>
        <v>36889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38" t="s">
        <v>160</v>
      </c>
      <c r="B18" s="138"/>
    </row>
    <row r="20" customFormat="false" ht="15.75" hidden="false" customHeight="false" outlineLevel="0" collapsed="false">
      <c r="A20" s="0" t="s">
        <v>161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162</v>
      </c>
      <c r="B22" s="64" t="n">
        <f aca="false">+Financials!I23</f>
        <v>54683334.1273997</v>
      </c>
    </row>
    <row r="23" customFormat="false" ht="15.75" hidden="false" customHeight="false" outlineLevel="0" collapsed="false">
      <c r="A23" s="0" t="s">
        <v>163</v>
      </c>
      <c r="B23" s="64" t="n">
        <f aca="false">-Financials!I15</f>
        <v>-29702842.8082192</v>
      </c>
    </row>
    <row r="24" customFormat="false" ht="15.75" hidden="false" customHeight="false" outlineLevel="0" collapsed="false">
      <c r="A24" s="64" t="str">
        <f aca="false">+Financials!H20</f>
        <v>Unrealized Gains / (Losses)</v>
      </c>
      <c r="B24" s="64" t="n">
        <f aca="false">-Financials!I20-Financials!I19</f>
        <v>-0</v>
      </c>
    </row>
    <row r="26" customFormat="false" ht="15.75" hidden="false" customHeight="false" outlineLevel="0" collapsed="false">
      <c r="A26" s="0" t="s">
        <v>164</v>
      </c>
    </row>
    <row r="27" customFormat="false" ht="15.75" hidden="false" customHeight="false" outlineLevel="0" collapsed="false">
      <c r="A27" s="0" t="s">
        <v>165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-1691666.66666667</v>
      </c>
    </row>
    <row r="29" customFormat="false" ht="15.75" hidden="false" customHeight="false" outlineLevel="0" collapsed="false">
      <c r="A29" s="0" t="s">
        <v>166</v>
      </c>
      <c r="B29" s="64" t="n">
        <f aca="false">-Financials!E7+Financials!P12</f>
        <v>20383450.8318611</v>
      </c>
    </row>
    <row r="30" customFormat="false" ht="15.75" hidden="false" customHeight="false" outlineLevel="0" collapsed="false">
      <c r="A30" s="0" t="s">
        <v>167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155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168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169</v>
      </c>
      <c r="B35" s="93" t="n">
        <f aca="false">SUM(B20:B34)</f>
        <v>33773275.484375</v>
      </c>
      <c r="D35" s="64" t="n">
        <f aca="false">+B20+B12+B13+B38+B16</f>
        <v>33773275.484375</v>
      </c>
      <c r="E35" s="64"/>
    </row>
    <row r="36" customFormat="false" ht="16.5" hidden="false" customHeight="false" outlineLevel="0" collapsed="false"/>
    <row r="37" customFormat="false" ht="16.5" hidden="false" customHeight="false" outlineLevel="0" collapsed="false">
      <c r="A37" s="138" t="s">
        <v>170</v>
      </c>
      <c r="B37" s="138"/>
      <c r="C37" s="138"/>
      <c r="D37" s="138"/>
      <c r="E37" s="138"/>
      <c r="F37" s="138"/>
    </row>
    <row r="38" customFormat="false" ht="15.75" hidden="false" customHeight="false" outlineLevel="0" collapsed="false">
      <c r="A38" s="140" t="s">
        <v>86</v>
      </c>
      <c r="B38" s="141" t="n">
        <f aca="false">+B44</f>
        <v>2672275.484375</v>
      </c>
    </row>
    <row r="39" customFormat="false" ht="15.75" hidden="false" customHeight="false" outlineLevel="0" collapsed="false">
      <c r="A39" s="142"/>
      <c r="E39" s="143" t="s">
        <v>171</v>
      </c>
      <c r="F39" s="144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5" t="n">
        <v>0.074</v>
      </c>
    </row>
    <row r="41" customFormat="false" ht="15.75" hidden="false" customHeight="false" outlineLevel="0" collapsed="false">
      <c r="A41" s="0" t="s">
        <v>161</v>
      </c>
      <c r="B41" s="64" t="n">
        <f aca="false">+Financials!B6</f>
        <v>71001000</v>
      </c>
      <c r="E41" s="56" t="n">
        <v>36722</v>
      </c>
      <c r="F41" s="145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36880</v>
      </c>
      <c r="E42" s="56" t="n">
        <v>36753</v>
      </c>
      <c r="F42" s="145" t="n">
        <v>0.0724</v>
      </c>
    </row>
    <row r="43" customFormat="false" ht="15.75" hidden="false" customHeight="false" outlineLevel="0" collapsed="false">
      <c r="A43" s="0" t="s">
        <v>172</v>
      </c>
      <c r="B43" s="25" t="n">
        <f aca="false">+B42-B40</f>
        <v>175</v>
      </c>
      <c r="E43" s="56" t="n">
        <v>36784</v>
      </c>
      <c r="F43" s="145" t="n">
        <v>0.072</v>
      </c>
    </row>
    <row r="44" customFormat="false" ht="15.75" hidden="false" customHeight="false" outlineLevel="0" collapsed="false">
      <c r="A44" s="0" t="s">
        <v>173</v>
      </c>
      <c r="B44" s="146" t="n">
        <f aca="false">+B41*(F45+0.0045)/360*B43</f>
        <v>2672275.484375</v>
      </c>
      <c r="E44" s="56" t="n">
        <v>36814</v>
      </c>
      <c r="F44" s="145"/>
    </row>
    <row r="45" customFormat="false" ht="15.75" hidden="false" customHeight="false" outlineLevel="0" collapsed="false">
      <c r="E45" s="147" t="s">
        <v>174</v>
      </c>
      <c r="F45" s="148" t="n">
        <f aca="false">AVERAGE(F40:F44)</f>
        <v>0.072925</v>
      </c>
    </row>
    <row r="46" customFormat="false" ht="16.5" hidden="false" customHeight="false" outlineLevel="0" collapsed="false">
      <c r="A46" s="138" t="s">
        <v>175</v>
      </c>
      <c r="B46" s="138"/>
      <c r="C46" s="138"/>
      <c r="D46" s="138"/>
      <c r="E46" s="138"/>
      <c r="F46" s="138"/>
    </row>
    <row r="47" customFormat="false" ht="15.75" hidden="false" customHeight="false" outlineLevel="0" collapsed="false">
      <c r="A47" s="140" t="s">
        <v>176</v>
      </c>
      <c r="B47" s="141" t="n">
        <f aca="false">+B49+B56</f>
        <v>13649861.8318611</v>
      </c>
    </row>
    <row r="48" customFormat="false" ht="15.75" hidden="false" customHeight="false" outlineLevel="0" collapsed="false">
      <c r="A48" s="142"/>
    </row>
    <row r="49" customFormat="false" ht="15.75" hidden="false" customHeight="false" outlineLevel="0" collapsed="false">
      <c r="A49" s="0" t="s">
        <v>177</v>
      </c>
      <c r="B49" s="25" t="n">
        <f aca="false">+Amort!B61</f>
        <v>13533333.3333333</v>
      </c>
      <c r="E49" s="143"/>
      <c r="F49" s="143"/>
    </row>
    <row r="50" customFormat="false" ht="15.75" hidden="false" customHeight="false" outlineLevel="0" collapsed="false">
      <c r="B50" s="25"/>
      <c r="E50" s="143"/>
      <c r="F50" s="144"/>
    </row>
    <row r="51" customFormat="false" ht="15.75" hidden="false" customHeight="false" outlineLevel="0" collapsed="false">
      <c r="A51" s="0" t="s">
        <v>178</v>
      </c>
      <c r="B51" s="64"/>
      <c r="E51" s="136"/>
      <c r="F51" s="145"/>
    </row>
    <row r="52" customFormat="false" ht="15.75" hidden="false" customHeight="false" outlineLevel="0" collapsed="false">
      <c r="A52" s="0" t="s">
        <v>179</v>
      </c>
      <c r="B52" s="56" t="n">
        <v>36791</v>
      </c>
      <c r="E52" s="136"/>
      <c r="F52" s="145"/>
    </row>
    <row r="53" customFormat="false" ht="15.75" hidden="false" customHeight="false" outlineLevel="0" collapsed="false">
      <c r="A53" s="0" t="s">
        <v>180</v>
      </c>
      <c r="B53" s="25" t="n">
        <f aca="false">+B9</f>
        <v>6733589</v>
      </c>
      <c r="E53" s="136"/>
      <c r="F53" s="145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36880</v>
      </c>
    </row>
    <row r="55" customFormat="false" ht="15.75" hidden="false" customHeight="false" outlineLevel="0" collapsed="false">
      <c r="A55" s="0" t="s">
        <v>172</v>
      </c>
      <c r="B55" s="25" t="n">
        <f aca="false">+B54-B52</f>
        <v>89</v>
      </c>
    </row>
    <row r="56" customFormat="false" ht="15.75" hidden="false" customHeight="false" outlineLevel="0" collapsed="false">
      <c r="A56" s="0" t="s">
        <v>181</v>
      </c>
      <c r="B56" s="146" t="n">
        <f aca="false">+B53*0.07/360*B55</f>
        <v>116528.498527778</v>
      </c>
    </row>
    <row r="58" customFormat="false" ht="16.5" hidden="false" customHeight="false" outlineLevel="0" collapsed="false">
      <c r="A58" s="138" t="s">
        <v>182</v>
      </c>
      <c r="B58" s="138"/>
      <c r="C58" s="138"/>
      <c r="D58" s="138"/>
      <c r="E58" s="138"/>
      <c r="F58" s="138"/>
    </row>
    <row r="60" customFormat="false" ht="15.75" hidden="false" customHeight="false" outlineLevel="0" collapsed="false">
      <c r="A60" s="0" t="s">
        <v>36</v>
      </c>
      <c r="B60" s="56" t="n">
        <f aca="false">+Summary!C5</f>
        <v>36880</v>
      </c>
    </row>
    <row r="61" customFormat="false" ht="15.75" hidden="false" customHeight="false" outlineLevel="0" collapsed="false">
      <c r="A61" s="0" t="s">
        <v>183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184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185</v>
      </c>
      <c r="B63" s="56" t="n">
        <f aca="false">+Summary!C5</f>
        <v>36880</v>
      </c>
      <c r="D63" s="149" t="n">
        <f aca="false">IF(B63&gt;B62,+(+B63-B62)/365*0.12*D62,0)</f>
        <v>32186.301369863</v>
      </c>
    </row>
    <row r="64" customFormat="false" ht="15.75" hidden="false" customHeight="false" outlineLevel="0" collapsed="false">
      <c r="A64" s="0" t="s">
        <v>186</v>
      </c>
      <c r="D64" s="46" t="n">
        <f aca="false">SUM(D61:D63)</f>
        <v>31132186.3013699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187</v>
      </c>
      <c r="B1" s="67"/>
      <c r="G1" s="137"/>
      <c r="H1" s="137"/>
    </row>
    <row r="2" customFormat="false" ht="15.75" hidden="false" customHeight="false" outlineLevel="0" collapsed="false">
      <c r="B2" s="150" t="s">
        <v>188</v>
      </c>
    </row>
    <row r="3" customFormat="false" ht="15.75" hidden="false" customHeight="false" outlineLevel="0" collapsed="false">
      <c r="A3" s="64" t="s">
        <v>189</v>
      </c>
      <c r="B3" s="151" t="n">
        <v>50000000</v>
      </c>
    </row>
    <row r="4" customFormat="false" ht="15.75" hidden="false" customHeight="false" outlineLevel="0" collapsed="false">
      <c r="A4" s="64" t="s">
        <v>190</v>
      </c>
      <c r="B4" s="152" t="n">
        <v>0.07</v>
      </c>
    </row>
    <row r="5" customFormat="false" ht="15.75" hidden="false" customHeight="false" outlineLevel="0" collapsed="false">
      <c r="A5" s="64" t="s">
        <v>191</v>
      </c>
      <c r="B5" s="153" t="n">
        <f aca="false">5*12</f>
        <v>60</v>
      </c>
    </row>
    <row r="6" customFormat="false" ht="15.75" hidden="false" customHeight="false" outlineLevel="0" collapsed="false">
      <c r="A6" s="64" t="s">
        <v>192</v>
      </c>
      <c r="B6" s="154" t="n">
        <v>2</v>
      </c>
    </row>
    <row r="7" customFormat="false" ht="15.75" hidden="false" customHeight="false" outlineLevel="0" collapsed="false">
      <c r="A7" s="64" t="s">
        <v>193</v>
      </c>
      <c r="B7" s="64" t="n">
        <v>0</v>
      </c>
    </row>
    <row r="9" customFormat="false" ht="25.5" hidden="false" customHeight="false" outlineLevel="0" collapsed="false">
      <c r="A9" s="155"/>
      <c r="B9" s="156" t="s">
        <v>194</v>
      </c>
      <c r="C9" s="157" t="s">
        <v>161</v>
      </c>
      <c r="D9" s="157" t="s">
        <v>193</v>
      </c>
      <c r="E9" s="157" t="s">
        <v>189</v>
      </c>
      <c r="F9" s="157" t="s">
        <v>173</v>
      </c>
      <c r="G9" s="157" t="s">
        <v>169</v>
      </c>
      <c r="H9" s="157" t="s">
        <v>195</v>
      </c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</row>
    <row r="10" customFormat="false" ht="15.75" hidden="false" customHeight="false" outlineLevel="0" collapsed="false">
      <c r="A10" s="56" t="n">
        <v>36706</v>
      </c>
      <c r="B10" s="158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58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58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58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58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58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58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58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58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58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58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59"/>
      <c r="B22" s="159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  <c r="IN22" s="160"/>
      <c r="IO22" s="160"/>
      <c r="IP22" s="160"/>
      <c r="IQ22" s="160"/>
      <c r="IR22" s="160"/>
      <c r="IS22" s="160"/>
      <c r="IT22" s="160"/>
      <c r="IU22" s="160"/>
      <c r="IV22" s="160"/>
      <c r="IW22" s="160"/>
    </row>
    <row r="23" customFormat="false" ht="15.75" hidden="false" customHeight="false" outlineLevel="0" collapsed="false">
      <c r="A23" s="161" t="n">
        <f aca="false">+Summary!C5</f>
        <v>36880</v>
      </c>
      <c r="B23" s="161"/>
      <c r="C23" s="160"/>
      <c r="D23" s="160"/>
      <c r="E23" s="160" t="s">
        <v>194</v>
      </c>
      <c r="F23" s="160" t="n">
        <f aca="false">VLOOKUP(+A23,Amort,2)</f>
        <v>0</v>
      </c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5.75" hidden="false" customHeight="false" outlineLevel="0" collapsed="false">
      <c r="A24" s="160" t="s">
        <v>196</v>
      </c>
      <c r="B24" s="160" t="n">
        <v>0</v>
      </c>
      <c r="C24" s="160"/>
      <c r="D24" s="160"/>
      <c r="E24" s="160" t="s">
        <v>28</v>
      </c>
      <c r="F24" s="159" t="n">
        <f aca="false">VLOOKUP(+A23,Amort,1)</f>
        <v>36706</v>
      </c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5.75" hidden="false" customHeight="false" outlineLevel="0" collapsed="false">
      <c r="A25" s="160" t="s">
        <v>197</v>
      </c>
      <c r="B25" s="162" t="n">
        <f aca="false">VLOOKUP(+A23,Note,8)</f>
        <v>0</v>
      </c>
      <c r="C25" s="160"/>
      <c r="D25" s="160"/>
      <c r="E25" s="160" t="s">
        <v>198</v>
      </c>
      <c r="F25" s="160" t="n">
        <f aca="false">VLOOKUP(+F23+1,NotePeriod,5)</f>
        <v>1779166.66666667</v>
      </c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  <c r="GF25" s="160"/>
      <c r="GG25" s="160"/>
      <c r="GH25" s="160"/>
      <c r="GI25" s="160"/>
      <c r="GJ25" s="160"/>
      <c r="GK25" s="160"/>
      <c r="GL25" s="160"/>
      <c r="GM25" s="160"/>
      <c r="GN25" s="160"/>
      <c r="GO25" s="160"/>
      <c r="GP25" s="160"/>
      <c r="GQ25" s="160"/>
      <c r="GR25" s="160"/>
      <c r="GS25" s="160"/>
      <c r="GT25" s="160"/>
      <c r="GU25" s="160"/>
      <c r="GV25" s="160"/>
      <c r="GW25" s="160"/>
      <c r="GX25" s="160"/>
      <c r="GY25" s="160"/>
      <c r="GZ25" s="160"/>
      <c r="HA25" s="160"/>
      <c r="HB25" s="160"/>
      <c r="HC25" s="160"/>
      <c r="HD25" s="160"/>
      <c r="HE25" s="160"/>
      <c r="HF25" s="160"/>
      <c r="HG25" s="160"/>
      <c r="HH25" s="160"/>
      <c r="HI25" s="160"/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0"/>
      <c r="HU25" s="160"/>
      <c r="HV25" s="160"/>
      <c r="HW25" s="160"/>
      <c r="HX25" s="160"/>
      <c r="HY25" s="160"/>
      <c r="HZ25" s="160"/>
      <c r="IA25" s="160"/>
      <c r="IB25" s="160"/>
      <c r="IC25" s="160"/>
      <c r="ID25" s="160"/>
      <c r="IE25" s="160"/>
      <c r="IF25" s="160"/>
      <c r="IG25" s="160"/>
      <c r="IH25" s="160"/>
      <c r="II25" s="160"/>
      <c r="IJ25" s="160"/>
      <c r="IK25" s="160"/>
      <c r="IL25" s="160"/>
      <c r="IM25" s="160"/>
      <c r="IN25" s="160"/>
      <c r="IO25" s="160"/>
      <c r="IP25" s="160"/>
      <c r="IQ25" s="160"/>
      <c r="IR25" s="160"/>
      <c r="IS25" s="160"/>
      <c r="IT25" s="160"/>
      <c r="IU25" s="160"/>
      <c r="IV25" s="160"/>
      <c r="IW25" s="160"/>
    </row>
    <row r="26" customFormat="false" ht="15.75" hidden="false" customHeight="false" outlineLevel="0" collapsed="false">
      <c r="A26" s="159" t="s">
        <v>199</v>
      </c>
      <c r="B26" s="160" t="n">
        <f aca="false">+B24+B25</f>
        <v>0</v>
      </c>
      <c r="C26" s="160"/>
      <c r="D26" s="160"/>
      <c r="E26" s="160" t="s">
        <v>200</v>
      </c>
      <c r="F26" s="159" t="n">
        <f aca="false">VLOOKUP(+F23+1,NotePeriod,8)</f>
        <v>36889</v>
      </c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0"/>
      <c r="EG26" s="160"/>
      <c r="EH26" s="160"/>
      <c r="EI26" s="160"/>
      <c r="EJ26" s="160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0"/>
      <c r="FC26" s="160"/>
      <c r="FD26" s="160"/>
      <c r="FE26" s="160"/>
      <c r="FF26" s="160"/>
      <c r="FG26" s="160"/>
      <c r="FH26" s="160"/>
      <c r="FI26" s="160"/>
      <c r="FJ26" s="160"/>
      <c r="FK26" s="160"/>
      <c r="FL26" s="160"/>
      <c r="FM26" s="160"/>
      <c r="FN26" s="160"/>
      <c r="FO26" s="160"/>
      <c r="FP26" s="160"/>
      <c r="FQ26" s="160"/>
      <c r="FR26" s="160"/>
      <c r="FS26" s="160"/>
      <c r="FT26" s="160"/>
      <c r="FU26" s="160"/>
      <c r="FV26" s="160"/>
      <c r="FW26" s="160"/>
      <c r="FX26" s="160"/>
      <c r="FY26" s="160"/>
      <c r="FZ26" s="160"/>
      <c r="GA26" s="160"/>
      <c r="GB26" s="160"/>
      <c r="GC26" s="160"/>
      <c r="GD26" s="160"/>
      <c r="GE26" s="160"/>
      <c r="GF26" s="160"/>
      <c r="GG26" s="160"/>
      <c r="GH26" s="160"/>
      <c r="GI26" s="160"/>
      <c r="GJ26" s="160"/>
      <c r="GK26" s="160"/>
      <c r="GL26" s="160"/>
      <c r="GM26" s="160"/>
      <c r="GN26" s="160"/>
      <c r="GO26" s="160"/>
      <c r="GP26" s="160"/>
      <c r="GQ26" s="160"/>
      <c r="GR26" s="160"/>
      <c r="GS26" s="160"/>
      <c r="GT26" s="160"/>
      <c r="GU26" s="160"/>
      <c r="GV26" s="160"/>
      <c r="GW26" s="160"/>
      <c r="GX26" s="160"/>
      <c r="GY26" s="160"/>
      <c r="GZ26" s="160"/>
      <c r="HA26" s="160"/>
      <c r="HB26" s="160"/>
      <c r="HC26" s="160"/>
      <c r="HD26" s="160"/>
      <c r="HE26" s="160"/>
      <c r="HF26" s="160"/>
      <c r="HG26" s="160"/>
      <c r="HH26" s="160"/>
      <c r="HI26" s="160"/>
      <c r="HJ26" s="160"/>
      <c r="HK26" s="160"/>
      <c r="HL26" s="160"/>
      <c r="HM26" s="160"/>
      <c r="HN26" s="160"/>
      <c r="HO26" s="160"/>
      <c r="HP26" s="160"/>
      <c r="HQ26" s="160"/>
      <c r="HR26" s="160"/>
      <c r="HS26" s="160"/>
      <c r="HT26" s="160"/>
      <c r="HU26" s="160"/>
      <c r="HV26" s="160"/>
      <c r="HW26" s="160"/>
      <c r="HX26" s="160"/>
      <c r="HY26" s="160"/>
      <c r="HZ26" s="160"/>
      <c r="IA26" s="160"/>
      <c r="IB26" s="160"/>
      <c r="IC26" s="160"/>
      <c r="ID26" s="160"/>
      <c r="IE26" s="160"/>
      <c r="IF26" s="160"/>
      <c r="IG26" s="160"/>
      <c r="IH26" s="160"/>
      <c r="II26" s="160"/>
      <c r="IJ26" s="160"/>
      <c r="IK26" s="160"/>
      <c r="IL26" s="160"/>
      <c r="IM26" s="160"/>
      <c r="IN26" s="160"/>
      <c r="IO26" s="160"/>
      <c r="IP26" s="160"/>
      <c r="IQ26" s="160"/>
      <c r="IR26" s="160"/>
      <c r="IS26" s="160"/>
      <c r="IT26" s="160"/>
      <c r="IU26" s="160"/>
      <c r="IV26" s="160"/>
      <c r="IW26" s="160"/>
    </row>
    <row r="27" customFormat="false" ht="15.75" hidden="false" customHeight="false" outlineLevel="0" collapsed="false">
      <c r="A27" s="159" t="s">
        <v>201</v>
      </c>
      <c r="B27" s="160" t="n">
        <f aca="false">A23-F24</f>
        <v>174</v>
      </c>
      <c r="C27" s="160"/>
      <c r="D27" s="160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  <c r="EE27" s="160"/>
      <c r="EF27" s="160"/>
      <c r="EG27" s="160"/>
      <c r="EH27" s="160"/>
      <c r="EI27" s="160"/>
      <c r="EJ27" s="16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0"/>
      <c r="FC27" s="160"/>
      <c r="FD27" s="160"/>
      <c r="FE27" s="160"/>
      <c r="FF27" s="160"/>
      <c r="FG27" s="160"/>
      <c r="FH27" s="160"/>
      <c r="FI27" s="160"/>
      <c r="FJ27" s="160"/>
      <c r="FK27" s="160"/>
      <c r="FL27" s="160"/>
      <c r="FM27" s="160"/>
      <c r="FN27" s="160"/>
      <c r="FO27" s="160"/>
      <c r="FP27" s="160"/>
      <c r="FQ27" s="160"/>
      <c r="FR27" s="160"/>
      <c r="FS27" s="160"/>
      <c r="FT27" s="160"/>
      <c r="FU27" s="160"/>
      <c r="FV27" s="160"/>
      <c r="FW27" s="160"/>
      <c r="FX27" s="160"/>
      <c r="FY27" s="160"/>
      <c r="FZ27" s="160"/>
      <c r="GA27" s="160"/>
      <c r="GB27" s="160"/>
      <c r="GC27" s="160"/>
      <c r="GD27" s="160"/>
      <c r="GE27" s="160"/>
      <c r="GF27" s="160"/>
      <c r="GG27" s="160"/>
      <c r="GH27" s="160"/>
      <c r="GI27" s="160"/>
      <c r="GJ27" s="160"/>
      <c r="GK27" s="160"/>
      <c r="GL27" s="160"/>
      <c r="GM27" s="160"/>
      <c r="GN27" s="160"/>
      <c r="GO27" s="160"/>
      <c r="GP27" s="160"/>
      <c r="GQ27" s="160"/>
      <c r="GR27" s="160"/>
      <c r="GS27" s="160"/>
      <c r="GT27" s="160"/>
      <c r="GU27" s="160"/>
      <c r="GV27" s="160"/>
      <c r="GW27" s="160"/>
      <c r="GX27" s="160"/>
      <c r="GY27" s="160"/>
      <c r="GZ27" s="160"/>
      <c r="HA27" s="160"/>
      <c r="HB27" s="160"/>
      <c r="HC27" s="160"/>
      <c r="HD27" s="160"/>
      <c r="HE27" s="160"/>
      <c r="HF27" s="160"/>
      <c r="HG27" s="160"/>
      <c r="HH27" s="160"/>
      <c r="HI27" s="160"/>
      <c r="HJ27" s="160"/>
      <c r="HK27" s="160"/>
      <c r="HL27" s="160"/>
      <c r="HM27" s="160"/>
      <c r="HN27" s="160"/>
      <c r="HO27" s="160"/>
      <c r="HP27" s="160"/>
      <c r="HQ27" s="160"/>
      <c r="HR27" s="160"/>
      <c r="HS27" s="160"/>
      <c r="HT27" s="160"/>
      <c r="HU27" s="160"/>
      <c r="HV27" s="160"/>
      <c r="HW27" s="160"/>
      <c r="HX27" s="160"/>
      <c r="HY27" s="160"/>
      <c r="HZ27" s="160"/>
      <c r="IA27" s="160"/>
      <c r="IB27" s="160"/>
      <c r="IC27" s="160"/>
      <c r="ID27" s="160"/>
      <c r="IE27" s="160"/>
      <c r="IF27" s="160"/>
      <c r="IG27" s="160"/>
      <c r="IH27" s="160"/>
      <c r="II27" s="160"/>
      <c r="IJ27" s="160"/>
      <c r="IK27" s="160"/>
      <c r="IL27" s="160"/>
      <c r="IM27" s="160"/>
      <c r="IN27" s="160"/>
      <c r="IO27" s="160"/>
      <c r="IP27" s="160"/>
      <c r="IQ27" s="160"/>
      <c r="IR27" s="160"/>
      <c r="IS27" s="160"/>
      <c r="IT27" s="160"/>
      <c r="IU27" s="160"/>
      <c r="IV27" s="160"/>
      <c r="IW27" s="160"/>
    </row>
    <row r="28" customFormat="false" ht="15.75" hidden="false" customHeight="false" outlineLevel="0" collapsed="false">
      <c r="A28" s="159" t="s">
        <v>202</v>
      </c>
      <c r="B28" s="160" t="n">
        <f aca="false">F25*B27/(F26-F24)</f>
        <v>1691666.66666667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60"/>
      <c r="EE28" s="160"/>
      <c r="EF28" s="160"/>
      <c r="EG28" s="160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0"/>
      <c r="FC28" s="160"/>
      <c r="FD28" s="160"/>
      <c r="FE28" s="160"/>
      <c r="FF28" s="160"/>
      <c r="FG28" s="160"/>
      <c r="FH28" s="160"/>
      <c r="FI28" s="160"/>
      <c r="FJ28" s="160"/>
      <c r="FK28" s="160"/>
      <c r="FL28" s="160"/>
      <c r="FM28" s="160"/>
      <c r="FN28" s="160"/>
      <c r="FO28" s="160"/>
      <c r="FP28" s="160"/>
      <c r="FQ28" s="160"/>
      <c r="FR28" s="160"/>
      <c r="FS28" s="160"/>
      <c r="FT28" s="160"/>
      <c r="FU28" s="160"/>
      <c r="FV28" s="160"/>
      <c r="FW28" s="160"/>
      <c r="FX28" s="160"/>
      <c r="FY28" s="160"/>
      <c r="FZ28" s="160"/>
      <c r="GA28" s="160"/>
      <c r="GB28" s="160"/>
      <c r="GC28" s="160"/>
      <c r="GD28" s="160"/>
      <c r="GE28" s="160"/>
      <c r="GF28" s="160"/>
      <c r="GG28" s="160"/>
      <c r="GH28" s="160"/>
      <c r="GI28" s="160"/>
      <c r="GJ28" s="160"/>
      <c r="GK28" s="160"/>
      <c r="GL28" s="160"/>
      <c r="GM28" s="160"/>
      <c r="GN28" s="160"/>
      <c r="GO28" s="160"/>
      <c r="GP28" s="160"/>
      <c r="GQ28" s="160"/>
      <c r="GR28" s="160"/>
      <c r="GS28" s="160"/>
      <c r="GT28" s="160"/>
      <c r="GU28" s="160"/>
      <c r="GV28" s="160"/>
      <c r="GW28" s="160"/>
      <c r="GX28" s="160"/>
      <c r="GY28" s="160"/>
      <c r="GZ28" s="160"/>
      <c r="HA28" s="160"/>
      <c r="HB28" s="160"/>
      <c r="HC28" s="160"/>
      <c r="HD28" s="160"/>
      <c r="HE28" s="160"/>
      <c r="HF28" s="160"/>
      <c r="HG28" s="160"/>
      <c r="HH28" s="160"/>
      <c r="HI28" s="160"/>
      <c r="HJ28" s="160"/>
      <c r="HK28" s="160"/>
      <c r="HL28" s="160"/>
      <c r="HM28" s="160"/>
      <c r="HN28" s="160"/>
      <c r="HO28" s="160"/>
      <c r="HP28" s="160"/>
      <c r="HQ28" s="160"/>
      <c r="HR28" s="160"/>
      <c r="HS28" s="160"/>
      <c r="HT28" s="160"/>
      <c r="HU28" s="160"/>
      <c r="HV28" s="160"/>
      <c r="HW28" s="160"/>
      <c r="HX28" s="160"/>
      <c r="HY28" s="160"/>
      <c r="HZ28" s="160"/>
      <c r="IA28" s="160"/>
      <c r="IB28" s="160"/>
      <c r="IC28" s="160"/>
      <c r="ID28" s="160"/>
      <c r="IE28" s="160"/>
      <c r="IF28" s="160"/>
      <c r="IG28" s="160"/>
      <c r="IH28" s="160"/>
      <c r="II28" s="160"/>
      <c r="IJ28" s="160"/>
      <c r="IK28" s="160"/>
      <c r="IL28" s="160"/>
      <c r="IM28" s="160"/>
      <c r="IN28" s="160"/>
      <c r="IO28" s="160"/>
      <c r="IP28" s="160"/>
      <c r="IQ28" s="160"/>
      <c r="IR28" s="160"/>
      <c r="IS28" s="160"/>
      <c r="IT28" s="160"/>
      <c r="IU28" s="160"/>
      <c r="IV28" s="160"/>
      <c r="IW28" s="160"/>
    </row>
    <row r="29" customFormat="false" ht="15.75" hidden="false" customHeight="false" outlineLevel="0" collapsed="false">
      <c r="A29" s="159" t="s">
        <v>203</v>
      </c>
      <c r="B29" s="160" t="n">
        <f aca="false">+B25+B28</f>
        <v>1691666.66666667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160"/>
      <c r="FE29" s="16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160"/>
      <c r="FS29" s="160"/>
      <c r="FT29" s="160"/>
      <c r="FU29" s="160"/>
      <c r="FV29" s="160"/>
      <c r="FW29" s="160"/>
      <c r="FX29" s="160"/>
      <c r="FY29" s="160"/>
      <c r="FZ29" s="160"/>
      <c r="GA29" s="160"/>
      <c r="GB29" s="160"/>
      <c r="GC29" s="160"/>
      <c r="GD29" s="160"/>
      <c r="GE29" s="160"/>
      <c r="GF29" s="160"/>
      <c r="GG29" s="160"/>
      <c r="GH29" s="160"/>
      <c r="GI29" s="160"/>
      <c r="GJ29" s="160"/>
      <c r="GK29" s="160"/>
      <c r="GL29" s="160"/>
      <c r="GM29" s="160"/>
      <c r="GN29" s="160"/>
      <c r="GO29" s="160"/>
      <c r="GP29" s="160"/>
      <c r="GQ29" s="160"/>
      <c r="GR29" s="160"/>
      <c r="GS29" s="160"/>
      <c r="GT29" s="160"/>
      <c r="GU29" s="160"/>
      <c r="GV29" s="160"/>
      <c r="GW29" s="160"/>
      <c r="GX29" s="160"/>
      <c r="GY29" s="160"/>
      <c r="GZ29" s="160"/>
      <c r="HA29" s="160"/>
      <c r="HB29" s="160"/>
      <c r="HC29" s="160"/>
      <c r="HD29" s="160"/>
      <c r="HE29" s="160"/>
      <c r="HF29" s="160"/>
      <c r="HG29" s="160"/>
      <c r="HH29" s="160"/>
      <c r="HI29" s="160"/>
      <c r="HJ29" s="160"/>
      <c r="HK29" s="160"/>
      <c r="HL29" s="160"/>
      <c r="HM29" s="160"/>
      <c r="HN29" s="160"/>
      <c r="HO29" s="160"/>
      <c r="HP29" s="160"/>
      <c r="HQ29" s="160"/>
      <c r="HR29" s="160"/>
      <c r="HS29" s="160"/>
      <c r="HT29" s="160"/>
      <c r="HU29" s="160"/>
      <c r="HV29" s="160"/>
      <c r="HW29" s="160"/>
      <c r="HX29" s="160"/>
      <c r="HY29" s="160"/>
      <c r="HZ29" s="160"/>
      <c r="IA29" s="160"/>
      <c r="IB29" s="160"/>
      <c r="IC29" s="160"/>
      <c r="ID29" s="160"/>
      <c r="IE29" s="160"/>
      <c r="IF29" s="160"/>
      <c r="IG29" s="160"/>
      <c r="IH29" s="160"/>
      <c r="II29" s="160"/>
      <c r="IJ29" s="160"/>
      <c r="IK29" s="160"/>
      <c r="IL29" s="160"/>
      <c r="IM29" s="160"/>
      <c r="IN29" s="160"/>
      <c r="IO29" s="160"/>
      <c r="IP29" s="160"/>
      <c r="IQ29" s="160"/>
      <c r="IR29" s="160"/>
      <c r="IS29" s="160"/>
      <c r="IT29" s="160"/>
      <c r="IU29" s="160"/>
      <c r="IV29" s="160"/>
      <c r="IW29" s="160"/>
    </row>
    <row r="30" customFormat="false" ht="15.75" hidden="false" customHeight="false" outlineLevel="0" collapsed="false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160"/>
      <c r="FE30" s="16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0"/>
      <c r="FZ30" s="160"/>
      <c r="GA30" s="160"/>
      <c r="GB30" s="160"/>
      <c r="GC30" s="160"/>
      <c r="GD30" s="160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  <c r="HH30" s="160"/>
      <c r="HI30" s="160"/>
      <c r="HJ30" s="160"/>
      <c r="HK30" s="160"/>
      <c r="HL30" s="160"/>
      <c r="HM30" s="160"/>
      <c r="HN30" s="160"/>
      <c r="HO30" s="160"/>
      <c r="HP30" s="160"/>
      <c r="HQ30" s="160"/>
      <c r="HR30" s="160"/>
      <c r="HS30" s="160"/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160"/>
      <c r="IM30" s="160"/>
      <c r="IN30" s="160"/>
      <c r="IO30" s="160"/>
      <c r="IP30" s="160"/>
      <c r="IQ30" s="160"/>
      <c r="IR30" s="160"/>
      <c r="IS30" s="160"/>
      <c r="IT30" s="160"/>
      <c r="IU30" s="160"/>
      <c r="IV30" s="160"/>
      <c r="IW30" s="160"/>
    </row>
    <row r="31" customFormat="false" ht="15.75" hidden="false" customHeight="false" outlineLevel="0" collapsed="false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  <c r="IW31" s="160"/>
    </row>
    <row r="32" customFormat="false" ht="15.75" hidden="false" customHeight="false" outlineLevel="0" collapsed="false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  <c r="IW32" s="160"/>
    </row>
    <row r="33" customFormat="false" ht="15.75" hidden="false" customHeight="false" outlineLevel="0" collapsed="false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  <c r="IW33" s="160"/>
    </row>
    <row r="34" customFormat="false" ht="15.75" hidden="false" customHeight="false" outlineLevel="0" collapsed="false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0"/>
      <c r="GL34" s="160"/>
      <c r="GM34" s="160"/>
      <c r="GN34" s="160"/>
      <c r="GO34" s="160"/>
      <c r="GP34" s="160"/>
      <c r="GQ34" s="160"/>
      <c r="GR34" s="160"/>
      <c r="GS34" s="160"/>
      <c r="GT34" s="160"/>
      <c r="GU34" s="160"/>
      <c r="GV34" s="160"/>
      <c r="GW34" s="160"/>
      <c r="GX34" s="160"/>
      <c r="GY34" s="160"/>
      <c r="GZ34" s="160"/>
      <c r="HA34" s="160"/>
      <c r="HB34" s="160"/>
      <c r="HC34" s="160"/>
      <c r="HD34" s="160"/>
      <c r="HE34" s="160"/>
      <c r="HF34" s="160"/>
      <c r="HG34" s="160"/>
      <c r="HH34" s="160"/>
      <c r="HI34" s="160"/>
      <c r="HJ34" s="160"/>
      <c r="HK34" s="160"/>
      <c r="HL34" s="160"/>
      <c r="HM34" s="160"/>
      <c r="HN34" s="160"/>
      <c r="HO34" s="160"/>
      <c r="HP34" s="160"/>
      <c r="HQ34" s="16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</row>
    <row r="35" customFormat="false" ht="15.75" hidden="false" customHeight="false" outlineLevel="0" collapsed="false">
      <c r="A35" s="67" t="s">
        <v>204</v>
      </c>
      <c r="B35" s="67"/>
      <c r="G35" s="137"/>
      <c r="H35" s="163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  <c r="HH35" s="160"/>
      <c r="HI35" s="160"/>
      <c r="HJ35" s="160"/>
      <c r="HK35" s="160"/>
      <c r="HL35" s="160"/>
      <c r="HM35" s="160"/>
      <c r="HN35" s="160"/>
      <c r="HO35" s="160"/>
      <c r="HP35" s="160"/>
      <c r="HQ35" s="160"/>
      <c r="HR35" s="160"/>
      <c r="HS35" s="160"/>
      <c r="HT35" s="160"/>
      <c r="HU35" s="160"/>
      <c r="HV35" s="160"/>
      <c r="HW35" s="160"/>
      <c r="HX35" s="160"/>
      <c r="HY35" s="160"/>
      <c r="HZ35" s="160"/>
      <c r="IA35" s="160"/>
      <c r="IB35" s="160"/>
      <c r="IC35" s="160"/>
      <c r="ID35" s="160"/>
      <c r="IE35" s="160"/>
      <c r="IF35" s="160"/>
      <c r="IG35" s="160"/>
      <c r="IH35" s="160"/>
      <c r="II35" s="160"/>
      <c r="IJ35" s="160"/>
      <c r="IK35" s="160"/>
      <c r="IL35" s="160"/>
      <c r="IM35" s="160"/>
      <c r="IN35" s="160"/>
      <c r="IO35" s="160"/>
      <c r="IP35" s="160"/>
      <c r="IQ35" s="160"/>
      <c r="IR35" s="160"/>
      <c r="IS35" s="160"/>
      <c r="IT35" s="160"/>
      <c r="IU35" s="160"/>
      <c r="IV35" s="160"/>
      <c r="IW35" s="160"/>
    </row>
    <row r="36" customFormat="false" ht="15.75" hidden="false" customHeight="false" outlineLevel="0" collapsed="false">
      <c r="B36" s="150" t="s">
        <v>188</v>
      </c>
      <c r="H36" s="163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0"/>
      <c r="EC36" s="160"/>
      <c r="ED36" s="160"/>
      <c r="EE36" s="160"/>
      <c r="EF36" s="160"/>
      <c r="EG36" s="160"/>
      <c r="EH36" s="160"/>
      <c r="EI36" s="160"/>
      <c r="EJ36" s="160"/>
      <c r="EK36" s="160"/>
      <c r="EL36" s="160"/>
      <c r="EM36" s="160"/>
      <c r="EN36" s="160"/>
      <c r="EO36" s="160"/>
      <c r="EP36" s="160"/>
      <c r="EQ36" s="160"/>
      <c r="ER36" s="160"/>
      <c r="ES36" s="160"/>
      <c r="ET36" s="160"/>
      <c r="EU36" s="160"/>
      <c r="EV36" s="160"/>
      <c r="EW36" s="160"/>
      <c r="EX36" s="160"/>
      <c r="EY36" s="160"/>
      <c r="EZ36" s="160"/>
      <c r="FA36" s="160"/>
      <c r="FB36" s="160"/>
      <c r="FC36" s="160"/>
      <c r="FD36" s="160"/>
      <c r="FE36" s="160"/>
      <c r="FF36" s="160"/>
      <c r="FG36" s="160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60"/>
      <c r="FW36" s="160"/>
      <c r="FX36" s="160"/>
      <c r="FY36" s="160"/>
      <c r="FZ36" s="160"/>
      <c r="GA36" s="160"/>
      <c r="GB36" s="160"/>
      <c r="GC36" s="160"/>
      <c r="GD36" s="160"/>
      <c r="GE36" s="160"/>
      <c r="GF36" s="160"/>
      <c r="GG36" s="160"/>
      <c r="GH36" s="160"/>
      <c r="GI36" s="160"/>
      <c r="GJ36" s="160"/>
      <c r="GK36" s="160"/>
      <c r="GL36" s="160"/>
      <c r="GM36" s="160"/>
      <c r="GN36" s="160"/>
      <c r="GO36" s="160"/>
      <c r="GP36" s="160"/>
      <c r="GQ36" s="160"/>
      <c r="GR36" s="160"/>
      <c r="GS36" s="160"/>
      <c r="GT36" s="160"/>
      <c r="GU36" s="160"/>
      <c r="GV36" s="160"/>
      <c r="GW36" s="160"/>
      <c r="GX36" s="160"/>
      <c r="GY36" s="160"/>
      <c r="GZ36" s="160"/>
      <c r="HA36" s="160"/>
      <c r="HB36" s="160"/>
      <c r="HC36" s="160"/>
      <c r="HD36" s="160"/>
      <c r="HE36" s="160"/>
      <c r="HF36" s="160"/>
      <c r="HG36" s="160"/>
      <c r="HH36" s="160"/>
      <c r="HI36" s="160"/>
      <c r="HJ36" s="160"/>
      <c r="HK36" s="160"/>
      <c r="HL36" s="160"/>
      <c r="HM36" s="160"/>
      <c r="HN36" s="160"/>
      <c r="HO36" s="160"/>
      <c r="HP36" s="160"/>
      <c r="HQ36" s="160"/>
      <c r="HR36" s="160"/>
      <c r="HS36" s="160"/>
      <c r="HT36" s="160"/>
      <c r="HU36" s="160"/>
      <c r="HV36" s="160"/>
      <c r="HW36" s="160"/>
      <c r="HX36" s="160"/>
      <c r="HY36" s="160"/>
      <c r="HZ36" s="160"/>
      <c r="IA36" s="160"/>
      <c r="IB36" s="160"/>
      <c r="IC36" s="160"/>
      <c r="ID36" s="160"/>
      <c r="IE36" s="160"/>
      <c r="IF36" s="160"/>
      <c r="IG36" s="160"/>
      <c r="IH36" s="160"/>
      <c r="II36" s="160"/>
      <c r="IJ36" s="160"/>
      <c r="IK36" s="160"/>
      <c r="IL36" s="160"/>
      <c r="IM36" s="160"/>
      <c r="IN36" s="160"/>
      <c r="IO36" s="160"/>
      <c r="IP36" s="160"/>
      <c r="IQ36" s="160"/>
      <c r="IR36" s="160"/>
      <c r="IS36" s="160"/>
      <c r="IT36" s="160"/>
      <c r="IU36" s="160"/>
      <c r="IV36" s="160"/>
      <c r="IW36" s="160"/>
    </row>
    <row r="37" customFormat="false" ht="15.75" hidden="false" customHeight="false" outlineLevel="0" collapsed="false">
      <c r="A37" s="64" t="s">
        <v>189</v>
      </c>
      <c r="B37" s="151" t="n">
        <v>400000000</v>
      </c>
      <c r="H37" s="163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  <c r="HH37" s="160"/>
      <c r="HI37" s="160"/>
      <c r="HJ37" s="160"/>
      <c r="HK37" s="160"/>
      <c r="HL37" s="160"/>
      <c r="HM37" s="160"/>
      <c r="HN37" s="160"/>
      <c r="HO37" s="160"/>
      <c r="HP37" s="160"/>
      <c r="HQ37" s="160"/>
      <c r="HR37" s="160"/>
      <c r="HS37" s="160"/>
      <c r="HT37" s="160"/>
      <c r="HU37" s="160"/>
      <c r="HV37" s="160"/>
      <c r="HW37" s="160"/>
      <c r="HX37" s="160"/>
      <c r="HY37" s="160"/>
      <c r="HZ37" s="160"/>
      <c r="IA37" s="160"/>
      <c r="IB37" s="160"/>
      <c r="IC37" s="160"/>
      <c r="ID37" s="160"/>
      <c r="IE37" s="160"/>
      <c r="IF37" s="160"/>
      <c r="IG37" s="160"/>
      <c r="IH37" s="160"/>
      <c r="II37" s="160"/>
      <c r="IJ37" s="160"/>
      <c r="IK37" s="160"/>
      <c r="IL37" s="160"/>
      <c r="IM37" s="160"/>
      <c r="IN37" s="160"/>
      <c r="IO37" s="160"/>
      <c r="IP37" s="160"/>
      <c r="IQ37" s="160"/>
      <c r="IR37" s="160"/>
      <c r="IS37" s="160"/>
      <c r="IT37" s="160"/>
      <c r="IU37" s="160"/>
      <c r="IV37" s="160"/>
      <c r="IW37" s="160"/>
    </row>
    <row r="38" customFormat="false" ht="15.75" hidden="false" customHeight="false" outlineLevel="0" collapsed="false">
      <c r="A38" s="64" t="s">
        <v>190</v>
      </c>
      <c r="B38" s="152" t="n">
        <v>0.07</v>
      </c>
      <c r="H38" s="163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  <c r="DX38" s="160"/>
      <c r="DY38" s="160"/>
      <c r="DZ38" s="160"/>
      <c r="EA38" s="160"/>
      <c r="EB38" s="160"/>
      <c r="EC38" s="160"/>
      <c r="ED38" s="160"/>
      <c r="EE38" s="160"/>
      <c r="EF38" s="160"/>
      <c r="EG38" s="160"/>
      <c r="EH38" s="160"/>
      <c r="EI38" s="160"/>
      <c r="EJ38" s="160"/>
      <c r="EK38" s="160"/>
      <c r="EL38" s="160"/>
      <c r="EM38" s="160"/>
      <c r="EN38" s="160"/>
      <c r="EO38" s="160"/>
      <c r="EP38" s="160"/>
      <c r="EQ38" s="160"/>
      <c r="ER38" s="160"/>
      <c r="ES38" s="160"/>
      <c r="ET38" s="160"/>
      <c r="EU38" s="160"/>
      <c r="EV38" s="160"/>
      <c r="EW38" s="160"/>
      <c r="EX38" s="160"/>
      <c r="EY38" s="160"/>
      <c r="EZ38" s="160"/>
      <c r="FA38" s="160"/>
      <c r="FB38" s="160"/>
      <c r="FC38" s="160"/>
      <c r="FD38" s="160"/>
      <c r="FE38" s="160"/>
      <c r="FF38" s="160"/>
      <c r="FG38" s="160"/>
      <c r="FH38" s="160"/>
      <c r="FI38" s="160"/>
      <c r="FJ38" s="160"/>
      <c r="FK38" s="160"/>
      <c r="FL38" s="160"/>
      <c r="FM38" s="160"/>
      <c r="FN38" s="160"/>
      <c r="FO38" s="160"/>
      <c r="FP38" s="160"/>
      <c r="FQ38" s="160"/>
      <c r="FR38" s="160"/>
      <c r="FS38" s="160"/>
      <c r="FT38" s="160"/>
      <c r="FU38" s="160"/>
      <c r="FV38" s="160"/>
      <c r="FW38" s="160"/>
      <c r="FX38" s="160"/>
      <c r="FY38" s="160"/>
      <c r="FZ38" s="160"/>
      <c r="GA38" s="160"/>
      <c r="GB38" s="160"/>
      <c r="GC38" s="160"/>
      <c r="GD38" s="160"/>
      <c r="GE38" s="160"/>
      <c r="GF38" s="160"/>
      <c r="GG38" s="160"/>
      <c r="GH38" s="160"/>
      <c r="GI38" s="160"/>
      <c r="GJ38" s="160"/>
      <c r="GK38" s="160"/>
      <c r="GL38" s="160"/>
      <c r="GM38" s="160"/>
      <c r="GN38" s="160"/>
      <c r="GO38" s="160"/>
      <c r="GP38" s="160"/>
      <c r="GQ38" s="160"/>
      <c r="GR38" s="160"/>
      <c r="GS38" s="160"/>
      <c r="GT38" s="160"/>
      <c r="GU38" s="160"/>
      <c r="GV38" s="160"/>
      <c r="GW38" s="160"/>
      <c r="GX38" s="160"/>
      <c r="GY38" s="160"/>
      <c r="GZ38" s="160"/>
      <c r="HA38" s="160"/>
      <c r="HB38" s="160"/>
      <c r="HC38" s="160"/>
      <c r="HD38" s="160"/>
      <c r="HE38" s="160"/>
      <c r="HF38" s="160"/>
      <c r="HG38" s="160"/>
      <c r="HH38" s="160"/>
      <c r="HI38" s="160"/>
      <c r="HJ38" s="160"/>
      <c r="HK38" s="160"/>
      <c r="HL38" s="160"/>
      <c r="HM38" s="160"/>
      <c r="HN38" s="160"/>
      <c r="HO38" s="160"/>
      <c r="HP38" s="160"/>
      <c r="HQ38" s="160"/>
      <c r="HR38" s="160"/>
      <c r="HS38" s="160"/>
      <c r="HT38" s="160"/>
      <c r="HU38" s="160"/>
      <c r="HV38" s="160"/>
      <c r="HW38" s="160"/>
      <c r="HX38" s="160"/>
      <c r="HY38" s="160"/>
      <c r="HZ38" s="160"/>
      <c r="IA38" s="160"/>
      <c r="IB38" s="160"/>
      <c r="IC38" s="160"/>
      <c r="ID38" s="160"/>
      <c r="IE38" s="160"/>
      <c r="IF38" s="160"/>
      <c r="IG38" s="160"/>
      <c r="IH38" s="160"/>
      <c r="II38" s="160"/>
      <c r="IJ38" s="160"/>
      <c r="IK38" s="160"/>
      <c r="IL38" s="160"/>
      <c r="IM38" s="160"/>
      <c r="IN38" s="160"/>
      <c r="IO38" s="160"/>
      <c r="IP38" s="160"/>
      <c r="IQ38" s="160"/>
      <c r="IR38" s="160"/>
      <c r="IS38" s="160"/>
      <c r="IT38" s="160"/>
      <c r="IU38" s="160"/>
      <c r="IV38" s="160"/>
      <c r="IW38" s="160"/>
    </row>
    <row r="39" customFormat="false" ht="15.75" hidden="false" customHeight="false" outlineLevel="0" collapsed="false">
      <c r="A39" s="64" t="s">
        <v>192</v>
      </c>
      <c r="B39" s="154" t="n">
        <v>2</v>
      </c>
      <c r="H39" s="163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  <c r="FF39" s="160"/>
      <c r="FG39" s="160"/>
      <c r="FH39" s="160"/>
      <c r="FI39" s="160"/>
      <c r="FJ39" s="160"/>
      <c r="FK39" s="160"/>
      <c r="FL39" s="160"/>
      <c r="FM39" s="160"/>
      <c r="FN39" s="160"/>
      <c r="FO39" s="160"/>
      <c r="FP39" s="160"/>
      <c r="FQ39" s="160"/>
      <c r="FR39" s="160"/>
      <c r="FS39" s="160"/>
      <c r="FT39" s="160"/>
      <c r="FU39" s="160"/>
      <c r="FV39" s="160"/>
      <c r="FW39" s="160"/>
      <c r="FX39" s="160"/>
      <c r="FY39" s="160"/>
      <c r="FZ39" s="160"/>
      <c r="GA39" s="160"/>
      <c r="GB39" s="160"/>
      <c r="GC39" s="160"/>
      <c r="GD39" s="160"/>
      <c r="GE39" s="160"/>
      <c r="GF39" s="160"/>
      <c r="GG39" s="160"/>
      <c r="GH39" s="160"/>
      <c r="GI39" s="160"/>
      <c r="GJ39" s="160"/>
      <c r="GK39" s="160"/>
      <c r="GL39" s="160"/>
      <c r="GM39" s="160"/>
      <c r="GN39" s="160"/>
      <c r="GO39" s="160"/>
      <c r="GP39" s="160"/>
      <c r="GQ39" s="160"/>
      <c r="GR39" s="160"/>
      <c r="GS39" s="160"/>
      <c r="GT39" s="160"/>
      <c r="GU39" s="160"/>
      <c r="GV39" s="160"/>
      <c r="GW39" s="160"/>
      <c r="GX39" s="160"/>
      <c r="GY39" s="160"/>
      <c r="GZ39" s="160"/>
      <c r="HA39" s="160"/>
      <c r="HB39" s="160"/>
      <c r="HC39" s="160"/>
      <c r="HD39" s="160"/>
      <c r="HE39" s="160"/>
      <c r="HF39" s="160"/>
      <c r="HG39" s="160"/>
      <c r="HH39" s="160"/>
      <c r="HI39" s="160"/>
      <c r="HJ39" s="160"/>
      <c r="HK39" s="160"/>
      <c r="HL39" s="160"/>
      <c r="HM39" s="160"/>
      <c r="HN39" s="160"/>
      <c r="HO39" s="160"/>
      <c r="HP39" s="160"/>
      <c r="HQ39" s="160"/>
      <c r="HR39" s="160"/>
      <c r="HS39" s="160"/>
      <c r="HT39" s="160"/>
      <c r="HU39" s="160"/>
      <c r="HV39" s="160"/>
      <c r="HW39" s="160"/>
      <c r="HX39" s="160"/>
      <c r="HY39" s="160"/>
      <c r="HZ39" s="160"/>
      <c r="IA39" s="160"/>
      <c r="IB39" s="160"/>
      <c r="IC39" s="160"/>
      <c r="ID39" s="160"/>
      <c r="IE39" s="160"/>
      <c r="IF39" s="160"/>
      <c r="IG39" s="160"/>
      <c r="IH39" s="160"/>
      <c r="II39" s="160"/>
      <c r="IJ39" s="160"/>
      <c r="IK39" s="160"/>
      <c r="IL39" s="160"/>
      <c r="IM39" s="160"/>
      <c r="IN39" s="160"/>
      <c r="IO39" s="160"/>
      <c r="IP39" s="160"/>
      <c r="IQ39" s="160"/>
      <c r="IR39" s="160"/>
      <c r="IS39" s="160"/>
      <c r="IT39" s="160"/>
      <c r="IU39" s="160"/>
      <c r="IV39" s="160"/>
      <c r="IW39" s="160"/>
    </row>
    <row r="40" customFormat="false" ht="15.75" hidden="false" customHeight="false" outlineLevel="0" collapsed="false">
      <c r="H40" s="163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60"/>
      <c r="GG40" s="160"/>
      <c r="GH40" s="160"/>
      <c r="GI40" s="160"/>
      <c r="GJ40" s="160"/>
      <c r="GK40" s="160"/>
      <c r="GL40" s="160"/>
      <c r="GM40" s="160"/>
      <c r="GN40" s="160"/>
      <c r="GO40" s="160"/>
      <c r="GP40" s="160"/>
      <c r="GQ40" s="160"/>
      <c r="GR40" s="160"/>
      <c r="GS40" s="160"/>
      <c r="GT40" s="160"/>
      <c r="GU40" s="160"/>
      <c r="GV40" s="160"/>
      <c r="GW40" s="160"/>
      <c r="GX40" s="160"/>
      <c r="GY40" s="160"/>
      <c r="GZ40" s="160"/>
      <c r="HA40" s="160"/>
      <c r="HB40" s="160"/>
      <c r="HC40" s="160"/>
      <c r="HD40" s="160"/>
      <c r="HE40" s="160"/>
      <c r="HF40" s="160"/>
      <c r="HG40" s="160"/>
      <c r="HH40" s="160"/>
      <c r="HI40" s="160"/>
      <c r="HJ40" s="160"/>
      <c r="HK40" s="160"/>
      <c r="HL40" s="160"/>
      <c r="HM40" s="160"/>
      <c r="HN40" s="160"/>
      <c r="HO40" s="160"/>
      <c r="HP40" s="160"/>
      <c r="HQ40" s="160"/>
      <c r="HR40" s="160"/>
      <c r="HS40" s="160"/>
      <c r="HT40" s="160"/>
      <c r="HU40" s="160"/>
      <c r="HV40" s="160"/>
      <c r="HW40" s="160"/>
      <c r="HX40" s="160"/>
      <c r="HY40" s="160"/>
      <c r="HZ40" s="160"/>
      <c r="IA40" s="160"/>
      <c r="IB40" s="160"/>
      <c r="IC40" s="160"/>
      <c r="ID40" s="160"/>
      <c r="IE40" s="160"/>
      <c r="IF40" s="160"/>
      <c r="IG40" s="160"/>
      <c r="IH40" s="160"/>
      <c r="II40" s="160"/>
      <c r="IJ40" s="160"/>
      <c r="IK40" s="160"/>
      <c r="IL40" s="160"/>
      <c r="IM40" s="160"/>
      <c r="IN40" s="160"/>
      <c r="IO40" s="160"/>
      <c r="IP40" s="160"/>
      <c r="IQ40" s="160"/>
      <c r="IR40" s="160"/>
      <c r="IS40" s="160"/>
      <c r="IT40" s="160"/>
      <c r="IU40" s="160"/>
      <c r="IV40" s="160"/>
      <c r="IW40" s="160"/>
    </row>
    <row r="41" customFormat="false" ht="26.25" hidden="false" customHeight="false" outlineLevel="0" collapsed="false">
      <c r="A41" s="155"/>
      <c r="B41" s="156" t="s">
        <v>194</v>
      </c>
      <c r="C41" s="157" t="s">
        <v>161</v>
      </c>
      <c r="D41" s="157" t="s">
        <v>205</v>
      </c>
      <c r="E41" s="157" t="s">
        <v>189</v>
      </c>
      <c r="F41" s="157" t="s">
        <v>173</v>
      </c>
      <c r="G41" s="157" t="s">
        <v>169</v>
      </c>
      <c r="H41" s="157" t="s">
        <v>195</v>
      </c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  <c r="HH41" s="160"/>
      <c r="HI41" s="160"/>
      <c r="HJ41" s="160"/>
      <c r="HK41" s="160"/>
      <c r="HL41" s="160"/>
      <c r="HM41" s="160"/>
      <c r="HN41" s="160"/>
      <c r="HO41" s="160"/>
      <c r="HP41" s="160"/>
      <c r="HQ41" s="160"/>
      <c r="HR41" s="160"/>
      <c r="HS41" s="160"/>
      <c r="HT41" s="160"/>
      <c r="HU41" s="160"/>
      <c r="HV41" s="160"/>
      <c r="HW41" s="160"/>
      <c r="HX41" s="160"/>
      <c r="HY41" s="160"/>
      <c r="HZ41" s="160"/>
      <c r="IA41" s="160"/>
      <c r="IB41" s="160"/>
      <c r="IC41" s="160"/>
      <c r="ID41" s="160"/>
      <c r="IE41" s="160"/>
      <c r="IF41" s="160"/>
      <c r="IG41" s="160"/>
      <c r="IH41" s="160"/>
      <c r="II41" s="160"/>
      <c r="IJ41" s="160"/>
      <c r="IK41" s="160"/>
      <c r="IL41" s="160"/>
      <c r="IM41" s="160"/>
      <c r="IN41" s="160"/>
      <c r="IO41" s="160"/>
      <c r="IP41" s="160"/>
      <c r="IQ41" s="160"/>
      <c r="IR41" s="160"/>
      <c r="IS41" s="160"/>
      <c r="IT41" s="160"/>
      <c r="IU41" s="160"/>
      <c r="IV41" s="160"/>
      <c r="IW41" s="160"/>
    </row>
    <row r="42" customFormat="false" ht="15.75" hidden="false" customHeight="false" outlineLevel="0" collapsed="false">
      <c r="A42" s="56" t="n">
        <v>36706</v>
      </c>
      <c r="B42" s="158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  <c r="FR42" s="160"/>
      <c r="FS42" s="160"/>
      <c r="FT42" s="160"/>
      <c r="FU42" s="160"/>
      <c r="FV42" s="160"/>
      <c r="FW42" s="160"/>
      <c r="FX42" s="160"/>
      <c r="FY42" s="160"/>
      <c r="FZ42" s="160"/>
      <c r="GA42" s="160"/>
      <c r="GB42" s="160"/>
      <c r="GC42" s="160"/>
      <c r="GD42" s="160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  <c r="II42" s="160"/>
      <c r="IJ42" s="160"/>
      <c r="IK42" s="160"/>
      <c r="IL42" s="160"/>
      <c r="IM42" s="160"/>
      <c r="IN42" s="160"/>
      <c r="IO42" s="160"/>
      <c r="IP42" s="160"/>
      <c r="IQ42" s="160"/>
      <c r="IR42" s="160"/>
      <c r="IS42" s="160"/>
      <c r="IT42" s="160"/>
      <c r="IU42" s="160"/>
      <c r="IV42" s="160"/>
      <c r="IW42" s="160"/>
    </row>
    <row r="43" customFormat="false" ht="15.75" hidden="false" customHeight="false" outlineLevel="0" collapsed="false">
      <c r="A43" s="56" t="n">
        <v>36889</v>
      </c>
      <c r="B43" s="158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  <c r="II43" s="160"/>
      <c r="IJ43" s="160"/>
      <c r="IK43" s="160"/>
      <c r="IL43" s="160"/>
      <c r="IM43" s="160"/>
      <c r="IN43" s="160"/>
      <c r="IO43" s="160"/>
      <c r="IP43" s="160"/>
      <c r="IQ43" s="160"/>
      <c r="IR43" s="160"/>
      <c r="IS43" s="160"/>
      <c r="IT43" s="160"/>
      <c r="IU43" s="160"/>
      <c r="IV43" s="160"/>
      <c r="IW43" s="160"/>
    </row>
    <row r="44" customFormat="false" ht="15.75" hidden="false" customHeight="false" outlineLevel="0" collapsed="false">
      <c r="A44" s="56" t="n">
        <v>37071</v>
      </c>
      <c r="B44" s="158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  <c r="FR44" s="160"/>
      <c r="FS44" s="160"/>
      <c r="FT44" s="160"/>
      <c r="FU44" s="160"/>
      <c r="FV44" s="160"/>
      <c r="FW44" s="160"/>
      <c r="FX44" s="160"/>
      <c r="FY44" s="160"/>
      <c r="FZ44" s="160"/>
      <c r="GA44" s="160"/>
      <c r="GB44" s="160"/>
      <c r="GC44" s="160"/>
      <c r="GD44" s="160"/>
      <c r="GE44" s="160"/>
      <c r="GF44" s="160"/>
      <c r="GG44" s="160"/>
      <c r="GH44" s="160"/>
      <c r="GI44" s="160"/>
      <c r="GJ44" s="160"/>
      <c r="GK44" s="160"/>
      <c r="GL44" s="160"/>
      <c r="GM44" s="160"/>
      <c r="GN44" s="160"/>
      <c r="GO44" s="160"/>
      <c r="GP44" s="160"/>
      <c r="GQ44" s="160"/>
      <c r="GR44" s="160"/>
      <c r="GS44" s="160"/>
      <c r="GT44" s="160"/>
      <c r="GU44" s="160"/>
      <c r="GV44" s="160"/>
      <c r="GW44" s="160"/>
      <c r="GX44" s="160"/>
      <c r="GY44" s="160"/>
      <c r="GZ44" s="160"/>
      <c r="HA44" s="160"/>
      <c r="HB44" s="160"/>
      <c r="HC44" s="160"/>
      <c r="HD44" s="160"/>
      <c r="HE44" s="160"/>
      <c r="HF44" s="160"/>
      <c r="HG44" s="160"/>
      <c r="HH44" s="160"/>
      <c r="HI44" s="160"/>
      <c r="HJ44" s="160"/>
      <c r="HK44" s="160"/>
      <c r="HL44" s="160"/>
      <c r="HM44" s="160"/>
      <c r="HN44" s="160"/>
      <c r="HO44" s="160"/>
      <c r="HP44" s="160"/>
      <c r="HQ44" s="160"/>
      <c r="HR44" s="160"/>
      <c r="HS44" s="160"/>
      <c r="HT44" s="160"/>
      <c r="HU44" s="160"/>
      <c r="HV44" s="160"/>
      <c r="HW44" s="160"/>
      <c r="HX44" s="160"/>
      <c r="HY44" s="160"/>
      <c r="HZ44" s="160"/>
      <c r="IA44" s="160"/>
      <c r="IB44" s="160"/>
      <c r="IC44" s="160"/>
      <c r="ID44" s="160"/>
      <c r="IE44" s="160"/>
      <c r="IF44" s="160"/>
      <c r="IG44" s="160"/>
      <c r="IH44" s="160"/>
      <c r="II44" s="160"/>
      <c r="IJ44" s="160"/>
      <c r="IK44" s="160"/>
      <c r="IL44" s="160"/>
      <c r="IM44" s="160"/>
      <c r="IN44" s="160"/>
      <c r="IO44" s="160"/>
      <c r="IP44" s="160"/>
      <c r="IQ44" s="160"/>
      <c r="IR44" s="160"/>
      <c r="IS44" s="160"/>
      <c r="IT44" s="160"/>
      <c r="IU44" s="160"/>
      <c r="IV44" s="160"/>
      <c r="IW44" s="160"/>
    </row>
    <row r="45" customFormat="false" ht="15.75" hidden="false" customHeight="false" outlineLevel="0" collapsed="false">
      <c r="A45" s="56" t="n">
        <v>37254</v>
      </c>
      <c r="B45" s="158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  <c r="HH45" s="160"/>
      <c r="HI45" s="160"/>
      <c r="HJ45" s="160"/>
      <c r="HK45" s="160"/>
      <c r="HL45" s="160"/>
      <c r="HM45" s="160"/>
      <c r="HN45" s="160"/>
      <c r="HO45" s="160"/>
      <c r="HP45" s="160"/>
      <c r="HQ45" s="160"/>
      <c r="HR45" s="160"/>
      <c r="HS45" s="160"/>
      <c r="HT45" s="160"/>
      <c r="HU45" s="160"/>
      <c r="HV45" s="160"/>
      <c r="HW45" s="160"/>
      <c r="HX45" s="160"/>
      <c r="HY45" s="160"/>
      <c r="HZ45" s="160"/>
      <c r="IA45" s="160"/>
      <c r="IB45" s="160"/>
      <c r="IC45" s="160"/>
      <c r="ID45" s="160"/>
      <c r="IE45" s="160"/>
      <c r="IF45" s="160"/>
      <c r="IG45" s="160"/>
      <c r="IH45" s="160"/>
      <c r="II45" s="160"/>
      <c r="IJ45" s="160"/>
      <c r="IK45" s="160"/>
      <c r="IL45" s="160"/>
      <c r="IM45" s="160"/>
      <c r="IN45" s="160"/>
      <c r="IO45" s="160"/>
      <c r="IP45" s="160"/>
      <c r="IQ45" s="160"/>
      <c r="IR45" s="160"/>
      <c r="IS45" s="160"/>
      <c r="IT45" s="160"/>
      <c r="IU45" s="160"/>
      <c r="IV45" s="160"/>
      <c r="IW45" s="160"/>
    </row>
    <row r="46" customFormat="false" ht="15.75" hidden="false" customHeight="false" outlineLevel="0" collapsed="false">
      <c r="A46" s="56" t="n">
        <v>37436</v>
      </c>
      <c r="B46" s="158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15.75" hidden="false" customHeight="false" outlineLevel="0" collapsed="false">
      <c r="A47" s="56" t="n">
        <v>37619</v>
      </c>
      <c r="B47" s="158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15.75" hidden="false" customHeight="false" outlineLevel="0" collapsed="false">
      <c r="A48" s="56" t="n">
        <v>37801</v>
      </c>
      <c r="B48" s="158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0"/>
      <c r="EG48" s="160"/>
      <c r="EH48" s="160"/>
      <c r="EI48" s="160"/>
      <c r="EJ48" s="160"/>
      <c r="EK48" s="160"/>
      <c r="EL48" s="160"/>
      <c r="EM48" s="160"/>
      <c r="EN48" s="160"/>
      <c r="EO48" s="160"/>
      <c r="EP48" s="160"/>
      <c r="EQ48" s="160"/>
      <c r="ER48" s="160"/>
      <c r="ES48" s="160"/>
      <c r="ET48" s="160"/>
      <c r="EU48" s="160"/>
      <c r="EV48" s="160"/>
      <c r="EW48" s="160"/>
      <c r="EX48" s="160"/>
      <c r="EY48" s="160"/>
      <c r="EZ48" s="160"/>
      <c r="FA48" s="160"/>
      <c r="FB48" s="160"/>
      <c r="FC48" s="160"/>
      <c r="FD48" s="160"/>
      <c r="FE48" s="160"/>
      <c r="FF48" s="160"/>
      <c r="FG48" s="160"/>
      <c r="FH48" s="160"/>
      <c r="FI48" s="160"/>
      <c r="FJ48" s="160"/>
      <c r="FK48" s="160"/>
      <c r="FL48" s="160"/>
      <c r="FM48" s="160"/>
      <c r="FN48" s="160"/>
      <c r="FO48" s="160"/>
      <c r="FP48" s="160"/>
      <c r="FQ48" s="160"/>
      <c r="FR48" s="160"/>
      <c r="FS48" s="160"/>
      <c r="FT48" s="160"/>
      <c r="FU48" s="160"/>
      <c r="FV48" s="160"/>
      <c r="FW48" s="160"/>
      <c r="FX48" s="160"/>
      <c r="FY48" s="160"/>
      <c r="FZ48" s="160"/>
      <c r="GA48" s="160"/>
      <c r="GB48" s="160"/>
      <c r="GC48" s="160"/>
      <c r="GD48" s="160"/>
      <c r="GE48" s="160"/>
      <c r="GF48" s="160"/>
      <c r="GG48" s="160"/>
      <c r="GH48" s="160"/>
      <c r="GI48" s="160"/>
      <c r="GJ48" s="160"/>
      <c r="GK48" s="160"/>
      <c r="GL48" s="160"/>
      <c r="GM48" s="160"/>
      <c r="GN48" s="160"/>
      <c r="GO48" s="160"/>
      <c r="GP48" s="160"/>
      <c r="GQ48" s="160"/>
      <c r="GR48" s="160"/>
      <c r="GS48" s="160"/>
      <c r="GT48" s="160"/>
      <c r="GU48" s="160"/>
      <c r="GV48" s="160"/>
      <c r="GW48" s="160"/>
      <c r="GX48" s="160"/>
      <c r="GY48" s="160"/>
      <c r="GZ48" s="160"/>
      <c r="HA48" s="160"/>
      <c r="HB48" s="160"/>
      <c r="HC48" s="160"/>
      <c r="HD48" s="160"/>
      <c r="HE48" s="160"/>
      <c r="HF48" s="160"/>
      <c r="HG48" s="160"/>
      <c r="HH48" s="160"/>
      <c r="HI48" s="160"/>
      <c r="HJ48" s="160"/>
      <c r="HK48" s="160"/>
      <c r="HL48" s="160"/>
      <c r="HM48" s="160"/>
      <c r="HN48" s="160"/>
      <c r="HO48" s="160"/>
      <c r="HP48" s="160"/>
      <c r="HQ48" s="160"/>
      <c r="HR48" s="160"/>
      <c r="HS48" s="160"/>
      <c r="HT48" s="160"/>
      <c r="HU48" s="160"/>
      <c r="HV48" s="160"/>
      <c r="HW48" s="160"/>
      <c r="HX48" s="160"/>
      <c r="HY48" s="160"/>
      <c r="HZ48" s="160"/>
      <c r="IA48" s="160"/>
      <c r="IB48" s="160"/>
      <c r="IC48" s="160"/>
      <c r="ID48" s="160"/>
      <c r="IE48" s="160"/>
      <c r="IF48" s="160"/>
      <c r="IG48" s="160"/>
      <c r="IH48" s="160"/>
      <c r="II48" s="160"/>
      <c r="IJ48" s="160"/>
      <c r="IK48" s="160"/>
      <c r="IL48" s="160"/>
      <c r="IM48" s="160"/>
      <c r="IN48" s="160"/>
      <c r="IO48" s="160"/>
      <c r="IP48" s="160"/>
      <c r="IQ48" s="160"/>
      <c r="IR48" s="160"/>
      <c r="IS48" s="160"/>
      <c r="IT48" s="160"/>
      <c r="IU48" s="160"/>
      <c r="IV48" s="160"/>
      <c r="IW48" s="160"/>
    </row>
    <row r="49" customFormat="false" ht="15.75" hidden="false" customHeight="false" outlineLevel="0" collapsed="false">
      <c r="A49" s="56" t="n">
        <v>37984</v>
      </c>
      <c r="B49" s="158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0"/>
      <c r="EG49" s="160"/>
      <c r="EH49" s="160"/>
      <c r="EI49" s="160"/>
      <c r="EJ49" s="160"/>
      <c r="EK49" s="160"/>
      <c r="EL49" s="160"/>
      <c r="EM49" s="160"/>
      <c r="EN49" s="160"/>
      <c r="EO49" s="160"/>
      <c r="EP49" s="160"/>
      <c r="EQ49" s="160"/>
      <c r="ER49" s="160"/>
      <c r="ES49" s="160"/>
      <c r="ET49" s="160"/>
      <c r="EU49" s="160"/>
      <c r="EV49" s="160"/>
      <c r="EW49" s="160"/>
      <c r="EX49" s="160"/>
      <c r="EY49" s="160"/>
      <c r="EZ49" s="160"/>
      <c r="FA49" s="160"/>
      <c r="FB49" s="160"/>
      <c r="FC49" s="160"/>
      <c r="FD49" s="160"/>
      <c r="FE49" s="160"/>
      <c r="FF49" s="160"/>
      <c r="FG49" s="160"/>
      <c r="FH49" s="160"/>
      <c r="FI49" s="160"/>
      <c r="FJ49" s="160"/>
      <c r="FK49" s="160"/>
      <c r="FL49" s="160"/>
      <c r="FM49" s="160"/>
      <c r="FN49" s="160"/>
      <c r="FO49" s="160"/>
      <c r="FP49" s="160"/>
      <c r="FQ49" s="160"/>
      <c r="FR49" s="160"/>
      <c r="FS49" s="160"/>
      <c r="FT49" s="160"/>
      <c r="FU49" s="160"/>
      <c r="FV49" s="160"/>
      <c r="FW49" s="160"/>
      <c r="FX49" s="160"/>
      <c r="FY49" s="160"/>
      <c r="FZ49" s="160"/>
      <c r="GA49" s="160"/>
      <c r="GB49" s="160"/>
      <c r="GC49" s="160"/>
      <c r="GD49" s="160"/>
      <c r="GE49" s="160"/>
      <c r="GF49" s="160"/>
      <c r="GG49" s="160"/>
      <c r="GH49" s="160"/>
      <c r="GI49" s="160"/>
      <c r="GJ49" s="160"/>
      <c r="GK49" s="160"/>
      <c r="GL49" s="160"/>
      <c r="GM49" s="160"/>
      <c r="GN49" s="160"/>
      <c r="GO49" s="160"/>
      <c r="GP49" s="160"/>
      <c r="GQ49" s="160"/>
      <c r="GR49" s="160"/>
      <c r="GS49" s="160"/>
      <c r="GT49" s="160"/>
      <c r="GU49" s="160"/>
      <c r="GV49" s="160"/>
      <c r="GW49" s="160"/>
      <c r="GX49" s="160"/>
      <c r="GY49" s="160"/>
      <c r="GZ49" s="160"/>
      <c r="HA49" s="160"/>
      <c r="HB49" s="160"/>
      <c r="HC49" s="160"/>
      <c r="HD49" s="160"/>
      <c r="HE49" s="160"/>
      <c r="HF49" s="160"/>
      <c r="HG49" s="160"/>
      <c r="HH49" s="160"/>
      <c r="HI49" s="160"/>
      <c r="HJ49" s="160"/>
      <c r="HK49" s="160"/>
      <c r="HL49" s="160"/>
      <c r="HM49" s="160"/>
      <c r="HN49" s="160"/>
      <c r="HO49" s="160"/>
      <c r="HP49" s="160"/>
      <c r="HQ49" s="160"/>
      <c r="HR49" s="160"/>
      <c r="HS49" s="160"/>
      <c r="HT49" s="160"/>
      <c r="HU49" s="160"/>
      <c r="HV49" s="160"/>
      <c r="HW49" s="160"/>
      <c r="HX49" s="160"/>
      <c r="HY49" s="160"/>
      <c r="HZ49" s="160"/>
      <c r="IA49" s="160"/>
      <c r="IB49" s="160"/>
      <c r="IC49" s="160"/>
      <c r="ID49" s="160"/>
      <c r="IE49" s="160"/>
      <c r="IF49" s="160"/>
      <c r="IG49" s="160"/>
      <c r="IH49" s="160"/>
      <c r="II49" s="160"/>
      <c r="IJ49" s="160"/>
      <c r="IK49" s="160"/>
      <c r="IL49" s="160"/>
      <c r="IM49" s="160"/>
      <c r="IN49" s="160"/>
      <c r="IO49" s="160"/>
      <c r="IP49" s="160"/>
      <c r="IQ49" s="160"/>
      <c r="IR49" s="160"/>
      <c r="IS49" s="160"/>
      <c r="IT49" s="160"/>
      <c r="IU49" s="160"/>
      <c r="IV49" s="160"/>
      <c r="IW49" s="160"/>
    </row>
    <row r="50" customFormat="false" ht="15.75" hidden="false" customHeight="false" outlineLevel="0" collapsed="false">
      <c r="A50" s="56" t="n">
        <v>38167</v>
      </c>
      <c r="B50" s="158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  <c r="DJ50" s="160"/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0"/>
      <c r="DY50" s="160"/>
      <c r="DZ50" s="160"/>
      <c r="EA50" s="160"/>
      <c r="EB50" s="160"/>
      <c r="EC50" s="160"/>
      <c r="ED50" s="160"/>
      <c r="EE50" s="160"/>
      <c r="EF50" s="160"/>
      <c r="EG50" s="160"/>
      <c r="EH50" s="160"/>
      <c r="EI50" s="160"/>
      <c r="EJ50" s="160"/>
      <c r="EK50" s="160"/>
      <c r="EL50" s="160"/>
      <c r="EM50" s="160"/>
      <c r="EN50" s="160"/>
      <c r="EO50" s="160"/>
      <c r="EP50" s="160"/>
      <c r="EQ50" s="160"/>
      <c r="ER50" s="160"/>
      <c r="ES50" s="160"/>
      <c r="ET50" s="160"/>
      <c r="EU50" s="160"/>
      <c r="EV50" s="160"/>
      <c r="EW50" s="160"/>
      <c r="EX50" s="160"/>
      <c r="EY50" s="160"/>
      <c r="EZ50" s="160"/>
      <c r="FA50" s="160"/>
      <c r="FB50" s="160"/>
      <c r="FC50" s="160"/>
      <c r="FD50" s="160"/>
      <c r="FE50" s="160"/>
      <c r="FF50" s="160"/>
      <c r="FG50" s="160"/>
      <c r="FH50" s="160"/>
      <c r="FI50" s="160"/>
      <c r="FJ50" s="160"/>
      <c r="FK50" s="160"/>
      <c r="FL50" s="160"/>
      <c r="FM50" s="160"/>
      <c r="FN50" s="160"/>
      <c r="FO50" s="160"/>
      <c r="FP50" s="160"/>
      <c r="FQ50" s="160"/>
      <c r="FR50" s="160"/>
      <c r="FS50" s="160"/>
      <c r="FT50" s="160"/>
      <c r="FU50" s="160"/>
      <c r="FV50" s="160"/>
      <c r="FW50" s="160"/>
      <c r="FX50" s="160"/>
      <c r="FY50" s="160"/>
      <c r="FZ50" s="160"/>
      <c r="GA50" s="160"/>
      <c r="GB50" s="160"/>
      <c r="GC50" s="160"/>
      <c r="GD50" s="160"/>
      <c r="GE50" s="160"/>
      <c r="GF50" s="160"/>
      <c r="GG50" s="160"/>
      <c r="GH50" s="160"/>
      <c r="GI50" s="160"/>
      <c r="GJ50" s="160"/>
      <c r="GK50" s="160"/>
      <c r="GL50" s="160"/>
      <c r="GM50" s="160"/>
      <c r="GN50" s="160"/>
      <c r="GO50" s="160"/>
      <c r="GP50" s="160"/>
      <c r="GQ50" s="160"/>
      <c r="GR50" s="160"/>
      <c r="GS50" s="160"/>
      <c r="GT50" s="160"/>
      <c r="GU50" s="160"/>
      <c r="GV50" s="160"/>
      <c r="GW50" s="160"/>
      <c r="GX50" s="160"/>
      <c r="GY50" s="160"/>
      <c r="GZ50" s="160"/>
      <c r="HA50" s="160"/>
      <c r="HB50" s="160"/>
      <c r="HC50" s="160"/>
      <c r="HD50" s="160"/>
      <c r="HE50" s="160"/>
      <c r="HF50" s="160"/>
      <c r="HG50" s="160"/>
      <c r="HH50" s="160"/>
      <c r="HI50" s="160"/>
      <c r="HJ50" s="160"/>
      <c r="HK50" s="160"/>
      <c r="HL50" s="160"/>
      <c r="HM50" s="160"/>
      <c r="HN50" s="160"/>
      <c r="HO50" s="160"/>
      <c r="HP50" s="160"/>
      <c r="HQ50" s="160"/>
      <c r="HR50" s="160"/>
      <c r="HS50" s="160"/>
      <c r="HT50" s="160"/>
      <c r="HU50" s="160"/>
      <c r="HV50" s="160"/>
      <c r="HW50" s="160"/>
      <c r="HX50" s="160"/>
      <c r="HY50" s="160"/>
      <c r="HZ50" s="160"/>
      <c r="IA50" s="160"/>
      <c r="IB50" s="160"/>
      <c r="IC50" s="160"/>
      <c r="ID50" s="160"/>
      <c r="IE50" s="160"/>
      <c r="IF50" s="160"/>
      <c r="IG50" s="160"/>
      <c r="IH50" s="160"/>
      <c r="II50" s="160"/>
      <c r="IJ50" s="160"/>
      <c r="IK50" s="160"/>
      <c r="IL50" s="160"/>
      <c r="IM50" s="160"/>
      <c r="IN50" s="160"/>
      <c r="IO50" s="160"/>
      <c r="IP50" s="160"/>
      <c r="IQ50" s="160"/>
      <c r="IR50" s="160"/>
      <c r="IS50" s="160"/>
      <c r="IT50" s="160"/>
      <c r="IU50" s="160"/>
      <c r="IV50" s="160"/>
      <c r="IW50" s="160"/>
    </row>
    <row r="51" customFormat="false" ht="15.75" hidden="false" customHeight="false" outlineLevel="0" collapsed="false">
      <c r="A51" s="56" t="n">
        <v>38350</v>
      </c>
      <c r="B51" s="158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  <c r="DJ51" s="160"/>
      <c r="DK51" s="160"/>
      <c r="DL51" s="160"/>
      <c r="DM51" s="160"/>
      <c r="DN51" s="160"/>
      <c r="DO51" s="160"/>
      <c r="DP51" s="160"/>
      <c r="DQ51" s="160"/>
      <c r="DR51" s="160"/>
      <c r="DS51" s="160"/>
      <c r="DT51" s="160"/>
      <c r="DU51" s="160"/>
      <c r="DV51" s="160"/>
      <c r="DW51" s="160"/>
      <c r="DX51" s="160"/>
      <c r="DY51" s="160"/>
      <c r="DZ51" s="160"/>
      <c r="EA51" s="160"/>
      <c r="EB51" s="160"/>
      <c r="EC51" s="160"/>
      <c r="ED51" s="160"/>
      <c r="EE51" s="160"/>
      <c r="EF51" s="160"/>
      <c r="EG51" s="160"/>
      <c r="EH51" s="160"/>
      <c r="EI51" s="160"/>
      <c r="EJ51" s="160"/>
      <c r="EK51" s="160"/>
      <c r="EL51" s="160"/>
      <c r="EM51" s="160"/>
      <c r="EN51" s="160"/>
      <c r="EO51" s="160"/>
      <c r="EP51" s="160"/>
      <c r="EQ51" s="160"/>
      <c r="ER51" s="160"/>
      <c r="ES51" s="160"/>
      <c r="ET51" s="160"/>
      <c r="EU51" s="160"/>
      <c r="EV51" s="160"/>
      <c r="EW51" s="160"/>
      <c r="EX51" s="160"/>
      <c r="EY51" s="160"/>
      <c r="EZ51" s="160"/>
      <c r="FA51" s="160"/>
      <c r="FB51" s="160"/>
      <c r="FC51" s="160"/>
      <c r="FD51" s="160"/>
      <c r="FE51" s="160"/>
      <c r="FF51" s="160"/>
      <c r="FG51" s="160"/>
      <c r="FH51" s="160"/>
      <c r="FI51" s="160"/>
      <c r="FJ51" s="160"/>
      <c r="FK51" s="160"/>
      <c r="FL51" s="160"/>
      <c r="FM51" s="160"/>
      <c r="FN51" s="160"/>
      <c r="FO51" s="160"/>
      <c r="FP51" s="160"/>
      <c r="FQ51" s="160"/>
      <c r="FR51" s="160"/>
      <c r="FS51" s="160"/>
      <c r="FT51" s="160"/>
      <c r="FU51" s="160"/>
      <c r="FV51" s="160"/>
      <c r="FW51" s="160"/>
      <c r="FX51" s="160"/>
      <c r="FY51" s="160"/>
      <c r="FZ51" s="160"/>
      <c r="GA51" s="160"/>
      <c r="GB51" s="160"/>
      <c r="GC51" s="160"/>
      <c r="GD51" s="160"/>
      <c r="GE51" s="160"/>
      <c r="GF51" s="160"/>
      <c r="GG51" s="160"/>
      <c r="GH51" s="160"/>
      <c r="GI51" s="160"/>
      <c r="GJ51" s="160"/>
      <c r="GK51" s="160"/>
      <c r="GL51" s="160"/>
      <c r="GM51" s="160"/>
      <c r="GN51" s="160"/>
      <c r="GO51" s="160"/>
      <c r="GP51" s="160"/>
      <c r="GQ51" s="160"/>
      <c r="GR51" s="160"/>
      <c r="GS51" s="160"/>
      <c r="GT51" s="160"/>
      <c r="GU51" s="160"/>
      <c r="GV51" s="160"/>
      <c r="GW51" s="160"/>
      <c r="GX51" s="160"/>
      <c r="GY51" s="160"/>
      <c r="GZ51" s="160"/>
      <c r="HA51" s="160"/>
      <c r="HB51" s="160"/>
      <c r="HC51" s="160"/>
      <c r="HD51" s="160"/>
      <c r="HE51" s="160"/>
      <c r="HF51" s="160"/>
      <c r="HG51" s="160"/>
      <c r="HH51" s="160"/>
      <c r="HI51" s="160"/>
      <c r="HJ51" s="160"/>
      <c r="HK51" s="160"/>
      <c r="HL51" s="160"/>
      <c r="HM51" s="160"/>
      <c r="HN51" s="160"/>
      <c r="HO51" s="160"/>
      <c r="HP51" s="160"/>
      <c r="HQ51" s="160"/>
      <c r="HR51" s="160"/>
      <c r="HS51" s="160"/>
      <c r="HT51" s="160"/>
      <c r="HU51" s="160"/>
      <c r="HV51" s="160"/>
      <c r="HW51" s="160"/>
      <c r="HX51" s="160"/>
      <c r="HY51" s="160"/>
      <c r="HZ51" s="160"/>
      <c r="IA51" s="160"/>
      <c r="IB51" s="160"/>
      <c r="IC51" s="160"/>
      <c r="ID51" s="160"/>
      <c r="IE51" s="160"/>
      <c r="IF51" s="160"/>
      <c r="IG51" s="160"/>
      <c r="IH51" s="160"/>
      <c r="II51" s="160"/>
      <c r="IJ51" s="160"/>
      <c r="IK51" s="160"/>
      <c r="IL51" s="160"/>
      <c r="IM51" s="160"/>
      <c r="IN51" s="160"/>
      <c r="IO51" s="160"/>
      <c r="IP51" s="160"/>
      <c r="IQ51" s="160"/>
      <c r="IR51" s="160"/>
      <c r="IS51" s="160"/>
      <c r="IT51" s="160"/>
      <c r="IU51" s="160"/>
      <c r="IV51" s="160"/>
      <c r="IW51" s="160"/>
    </row>
    <row r="52" customFormat="false" ht="15.75" hidden="false" customHeight="false" outlineLevel="0" collapsed="false">
      <c r="A52" s="56" t="n">
        <v>38532</v>
      </c>
      <c r="B52" s="158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/>
      <c r="DH52" s="160"/>
      <c r="DI52" s="160"/>
      <c r="DJ52" s="160"/>
      <c r="DK52" s="160"/>
      <c r="DL52" s="160"/>
      <c r="DM52" s="160"/>
      <c r="DN52" s="160"/>
      <c r="DO52" s="160"/>
      <c r="DP52" s="160"/>
      <c r="DQ52" s="160"/>
      <c r="DR52" s="160"/>
      <c r="DS52" s="160"/>
      <c r="DT52" s="160"/>
      <c r="DU52" s="160"/>
      <c r="DV52" s="160"/>
      <c r="DW52" s="160"/>
      <c r="DX52" s="160"/>
      <c r="DY52" s="160"/>
      <c r="DZ52" s="160"/>
      <c r="EA52" s="160"/>
      <c r="EB52" s="160"/>
      <c r="EC52" s="160"/>
      <c r="ED52" s="160"/>
      <c r="EE52" s="160"/>
      <c r="EF52" s="160"/>
      <c r="EG52" s="160"/>
      <c r="EH52" s="160"/>
      <c r="EI52" s="160"/>
      <c r="EJ52" s="160"/>
      <c r="EK52" s="160"/>
      <c r="EL52" s="160"/>
      <c r="EM52" s="160"/>
      <c r="EN52" s="160"/>
      <c r="EO52" s="160"/>
      <c r="EP52" s="160"/>
      <c r="EQ52" s="160"/>
      <c r="ER52" s="160"/>
      <c r="ES52" s="160"/>
      <c r="ET52" s="160"/>
      <c r="EU52" s="160"/>
      <c r="EV52" s="160"/>
      <c r="EW52" s="160"/>
      <c r="EX52" s="160"/>
      <c r="EY52" s="160"/>
      <c r="EZ52" s="160"/>
      <c r="FA52" s="160"/>
      <c r="FB52" s="160"/>
      <c r="FC52" s="160"/>
      <c r="FD52" s="160"/>
      <c r="FE52" s="160"/>
      <c r="FF52" s="160"/>
      <c r="FG52" s="160"/>
      <c r="FH52" s="160"/>
      <c r="FI52" s="160"/>
      <c r="FJ52" s="160"/>
      <c r="FK52" s="160"/>
      <c r="FL52" s="160"/>
      <c r="FM52" s="160"/>
      <c r="FN52" s="160"/>
      <c r="FO52" s="160"/>
      <c r="FP52" s="160"/>
      <c r="FQ52" s="160"/>
      <c r="FR52" s="160"/>
      <c r="FS52" s="160"/>
      <c r="FT52" s="160"/>
      <c r="FU52" s="160"/>
      <c r="FV52" s="160"/>
      <c r="FW52" s="160"/>
      <c r="FX52" s="160"/>
      <c r="FY52" s="160"/>
      <c r="FZ52" s="160"/>
      <c r="GA52" s="160"/>
      <c r="GB52" s="160"/>
      <c r="GC52" s="160"/>
      <c r="GD52" s="160"/>
      <c r="GE52" s="160"/>
      <c r="GF52" s="160"/>
      <c r="GG52" s="160"/>
      <c r="GH52" s="160"/>
      <c r="GI52" s="160"/>
      <c r="GJ52" s="160"/>
      <c r="GK52" s="160"/>
      <c r="GL52" s="160"/>
      <c r="GM52" s="160"/>
      <c r="GN52" s="160"/>
      <c r="GO52" s="160"/>
      <c r="GP52" s="160"/>
      <c r="GQ52" s="160"/>
      <c r="GR52" s="160"/>
      <c r="GS52" s="160"/>
      <c r="GT52" s="160"/>
      <c r="GU52" s="160"/>
      <c r="GV52" s="160"/>
      <c r="GW52" s="160"/>
      <c r="GX52" s="160"/>
      <c r="GY52" s="160"/>
      <c r="GZ52" s="160"/>
      <c r="HA52" s="160"/>
      <c r="HB52" s="160"/>
      <c r="HC52" s="160"/>
      <c r="HD52" s="160"/>
      <c r="HE52" s="160"/>
      <c r="HF52" s="160"/>
      <c r="HG52" s="160"/>
      <c r="HH52" s="160"/>
      <c r="HI52" s="160"/>
      <c r="HJ52" s="160"/>
      <c r="HK52" s="160"/>
      <c r="HL52" s="160"/>
      <c r="HM52" s="160"/>
      <c r="HN52" s="160"/>
      <c r="HO52" s="160"/>
      <c r="HP52" s="160"/>
      <c r="HQ52" s="160"/>
      <c r="HR52" s="160"/>
      <c r="HS52" s="160"/>
      <c r="HT52" s="160"/>
      <c r="HU52" s="160"/>
      <c r="HV52" s="160"/>
      <c r="HW52" s="160"/>
      <c r="HX52" s="160"/>
      <c r="HY52" s="160"/>
      <c r="HZ52" s="160"/>
      <c r="IA52" s="160"/>
      <c r="IB52" s="160"/>
      <c r="IC52" s="160"/>
      <c r="ID52" s="160"/>
      <c r="IE52" s="160"/>
      <c r="IF52" s="160"/>
      <c r="IG52" s="160"/>
      <c r="IH52" s="160"/>
      <c r="II52" s="160"/>
      <c r="IJ52" s="160"/>
      <c r="IK52" s="160"/>
      <c r="IL52" s="160"/>
      <c r="IM52" s="160"/>
      <c r="IN52" s="160"/>
      <c r="IO52" s="160"/>
      <c r="IP52" s="160"/>
      <c r="IQ52" s="160"/>
      <c r="IR52" s="160"/>
      <c r="IS52" s="160"/>
      <c r="IT52" s="160"/>
      <c r="IU52" s="160"/>
      <c r="IV52" s="160"/>
      <c r="IW52" s="160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160"/>
      <c r="CT53" s="160"/>
      <c r="CU53" s="160"/>
      <c r="CV53" s="160"/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60"/>
      <c r="DJ53" s="160"/>
      <c r="DK53" s="160"/>
      <c r="DL53" s="160"/>
      <c r="DM53" s="160"/>
      <c r="DN53" s="160"/>
      <c r="DO53" s="160"/>
      <c r="DP53" s="160"/>
      <c r="DQ53" s="160"/>
      <c r="DR53" s="160"/>
      <c r="DS53" s="160"/>
      <c r="DT53" s="160"/>
      <c r="DU53" s="160"/>
      <c r="DV53" s="160"/>
      <c r="DW53" s="160"/>
      <c r="DX53" s="160"/>
      <c r="DY53" s="160"/>
      <c r="DZ53" s="160"/>
      <c r="EA53" s="160"/>
      <c r="EB53" s="160"/>
      <c r="EC53" s="160"/>
      <c r="ED53" s="160"/>
      <c r="EE53" s="160"/>
      <c r="EF53" s="160"/>
      <c r="EG53" s="160"/>
      <c r="EH53" s="160"/>
      <c r="EI53" s="160"/>
      <c r="EJ53" s="160"/>
      <c r="EK53" s="160"/>
      <c r="EL53" s="160"/>
      <c r="EM53" s="160"/>
      <c r="EN53" s="160"/>
      <c r="EO53" s="160"/>
      <c r="EP53" s="160"/>
      <c r="EQ53" s="160"/>
      <c r="ER53" s="160"/>
      <c r="ES53" s="160"/>
      <c r="ET53" s="160"/>
      <c r="EU53" s="160"/>
      <c r="EV53" s="160"/>
      <c r="EW53" s="160"/>
      <c r="EX53" s="160"/>
      <c r="EY53" s="160"/>
      <c r="EZ53" s="160"/>
      <c r="FA53" s="160"/>
      <c r="FB53" s="160"/>
      <c r="FC53" s="160"/>
      <c r="FD53" s="160"/>
      <c r="FE53" s="160"/>
      <c r="FF53" s="160"/>
      <c r="FG53" s="160"/>
      <c r="FH53" s="160"/>
      <c r="FI53" s="160"/>
      <c r="FJ53" s="160"/>
      <c r="FK53" s="160"/>
      <c r="FL53" s="160"/>
      <c r="FM53" s="160"/>
      <c r="FN53" s="160"/>
      <c r="FO53" s="160"/>
      <c r="FP53" s="160"/>
      <c r="FQ53" s="160"/>
      <c r="FR53" s="160"/>
      <c r="FS53" s="160"/>
      <c r="FT53" s="160"/>
      <c r="FU53" s="160"/>
      <c r="FV53" s="160"/>
      <c r="FW53" s="160"/>
      <c r="FX53" s="160"/>
      <c r="FY53" s="160"/>
      <c r="FZ53" s="160"/>
      <c r="GA53" s="160"/>
      <c r="GB53" s="160"/>
      <c r="GC53" s="160"/>
      <c r="GD53" s="160"/>
      <c r="GE53" s="160"/>
      <c r="GF53" s="160"/>
      <c r="GG53" s="160"/>
      <c r="GH53" s="160"/>
      <c r="GI53" s="160"/>
      <c r="GJ53" s="160"/>
      <c r="GK53" s="160"/>
      <c r="GL53" s="160"/>
      <c r="GM53" s="160"/>
      <c r="GN53" s="160"/>
      <c r="GO53" s="160"/>
      <c r="GP53" s="160"/>
      <c r="GQ53" s="160"/>
      <c r="GR53" s="160"/>
      <c r="GS53" s="160"/>
      <c r="GT53" s="160"/>
      <c r="GU53" s="160"/>
      <c r="GV53" s="160"/>
      <c r="GW53" s="160"/>
      <c r="GX53" s="160"/>
      <c r="GY53" s="160"/>
      <c r="GZ53" s="160"/>
      <c r="HA53" s="160"/>
      <c r="HB53" s="160"/>
      <c r="HC53" s="160"/>
      <c r="HD53" s="160"/>
      <c r="HE53" s="160"/>
      <c r="HF53" s="160"/>
      <c r="HG53" s="160"/>
      <c r="HH53" s="160"/>
      <c r="HI53" s="160"/>
      <c r="HJ53" s="160"/>
      <c r="HK53" s="160"/>
      <c r="HL53" s="160"/>
      <c r="HM53" s="160"/>
      <c r="HN53" s="160"/>
      <c r="HO53" s="160"/>
      <c r="HP53" s="160"/>
      <c r="HQ53" s="160"/>
      <c r="HR53" s="160"/>
      <c r="HS53" s="160"/>
      <c r="HT53" s="160"/>
      <c r="HU53" s="160"/>
      <c r="HV53" s="160"/>
      <c r="HW53" s="160"/>
      <c r="HX53" s="160"/>
      <c r="HY53" s="160"/>
      <c r="HZ53" s="160"/>
      <c r="IA53" s="160"/>
      <c r="IB53" s="160"/>
      <c r="IC53" s="160"/>
      <c r="ID53" s="160"/>
      <c r="IE53" s="160"/>
      <c r="IF53" s="160"/>
      <c r="IG53" s="160"/>
      <c r="IH53" s="160"/>
      <c r="II53" s="160"/>
      <c r="IJ53" s="160"/>
      <c r="IK53" s="160"/>
      <c r="IL53" s="160"/>
      <c r="IM53" s="160"/>
      <c r="IN53" s="160"/>
      <c r="IO53" s="160"/>
      <c r="IP53" s="160"/>
      <c r="IQ53" s="160"/>
      <c r="IR53" s="160"/>
      <c r="IS53" s="160"/>
      <c r="IT53" s="160"/>
      <c r="IU53" s="160"/>
      <c r="IV53" s="160"/>
      <c r="IW53" s="160"/>
    </row>
    <row r="54" customFormat="false" ht="16.5" hidden="false" customHeight="false" outlineLevel="0" collapsed="false">
      <c r="A54" s="159"/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0"/>
      <c r="CT54" s="160"/>
      <c r="CU54" s="160"/>
      <c r="CV54" s="160"/>
      <c r="CW54" s="160"/>
      <c r="CX54" s="160"/>
      <c r="CY54" s="160"/>
      <c r="CZ54" s="160"/>
      <c r="DA54" s="160"/>
      <c r="DB54" s="160"/>
      <c r="DC54" s="160"/>
      <c r="DD54" s="160"/>
      <c r="DE54" s="160"/>
      <c r="DF54" s="160"/>
      <c r="DG54" s="160"/>
      <c r="DH54" s="160"/>
      <c r="DI54" s="160"/>
      <c r="DJ54" s="160"/>
      <c r="DK54" s="160"/>
      <c r="DL54" s="160"/>
      <c r="DM54" s="160"/>
      <c r="DN54" s="160"/>
      <c r="DO54" s="160"/>
      <c r="DP54" s="160"/>
      <c r="DQ54" s="160"/>
      <c r="DR54" s="160"/>
      <c r="DS54" s="160"/>
      <c r="DT54" s="160"/>
      <c r="DU54" s="160"/>
      <c r="DV54" s="160"/>
      <c r="DW54" s="160"/>
      <c r="DX54" s="160"/>
      <c r="DY54" s="160"/>
      <c r="DZ54" s="160"/>
      <c r="EA54" s="160"/>
      <c r="EB54" s="160"/>
      <c r="EC54" s="160"/>
      <c r="ED54" s="160"/>
      <c r="EE54" s="160"/>
      <c r="EF54" s="160"/>
      <c r="EG54" s="160"/>
      <c r="EH54" s="160"/>
      <c r="EI54" s="160"/>
      <c r="EJ54" s="160"/>
      <c r="EK54" s="160"/>
      <c r="EL54" s="160"/>
      <c r="EM54" s="160"/>
      <c r="EN54" s="160"/>
      <c r="EO54" s="160"/>
      <c r="EP54" s="160"/>
      <c r="EQ54" s="160"/>
      <c r="ER54" s="160"/>
      <c r="ES54" s="160"/>
      <c r="ET54" s="160"/>
      <c r="EU54" s="160"/>
      <c r="EV54" s="160"/>
      <c r="EW54" s="160"/>
      <c r="EX54" s="160"/>
      <c r="EY54" s="160"/>
      <c r="EZ54" s="160"/>
      <c r="FA54" s="160"/>
      <c r="FB54" s="160"/>
      <c r="FC54" s="160"/>
      <c r="FD54" s="160"/>
      <c r="FE54" s="160"/>
      <c r="FF54" s="160"/>
      <c r="FG54" s="160"/>
      <c r="FH54" s="160"/>
      <c r="FI54" s="160"/>
      <c r="FJ54" s="160"/>
      <c r="FK54" s="160"/>
      <c r="FL54" s="160"/>
      <c r="FM54" s="160"/>
      <c r="FN54" s="160"/>
      <c r="FO54" s="160"/>
      <c r="FP54" s="160"/>
      <c r="FQ54" s="160"/>
      <c r="FR54" s="160"/>
      <c r="FS54" s="160"/>
      <c r="FT54" s="160"/>
      <c r="FU54" s="160"/>
      <c r="FV54" s="160"/>
      <c r="FW54" s="160"/>
      <c r="FX54" s="160"/>
      <c r="FY54" s="160"/>
      <c r="FZ54" s="160"/>
      <c r="GA54" s="160"/>
      <c r="GB54" s="160"/>
      <c r="GC54" s="160"/>
      <c r="GD54" s="160"/>
      <c r="GE54" s="160"/>
      <c r="GF54" s="160"/>
      <c r="GG54" s="160"/>
      <c r="GH54" s="160"/>
      <c r="GI54" s="160"/>
      <c r="GJ54" s="160"/>
      <c r="GK54" s="160"/>
      <c r="GL54" s="160"/>
      <c r="GM54" s="160"/>
      <c r="GN54" s="160"/>
      <c r="GO54" s="160"/>
      <c r="GP54" s="160"/>
      <c r="GQ54" s="160"/>
      <c r="GR54" s="160"/>
      <c r="GS54" s="160"/>
      <c r="GT54" s="160"/>
      <c r="GU54" s="160"/>
      <c r="GV54" s="160"/>
      <c r="GW54" s="160"/>
      <c r="GX54" s="160"/>
      <c r="GY54" s="160"/>
      <c r="GZ54" s="160"/>
      <c r="HA54" s="160"/>
      <c r="HB54" s="160"/>
      <c r="HC54" s="160"/>
      <c r="HD54" s="160"/>
      <c r="HE54" s="160"/>
      <c r="HF54" s="160"/>
      <c r="HG54" s="160"/>
      <c r="HH54" s="160"/>
      <c r="HI54" s="160"/>
      <c r="HJ54" s="160"/>
      <c r="HK54" s="160"/>
      <c r="HL54" s="160"/>
      <c r="HM54" s="160"/>
      <c r="HN54" s="160"/>
      <c r="HO54" s="160"/>
      <c r="HP54" s="160"/>
      <c r="HQ54" s="160"/>
      <c r="HR54" s="160"/>
      <c r="HS54" s="160"/>
      <c r="HT54" s="160"/>
      <c r="HU54" s="160"/>
      <c r="HV54" s="160"/>
      <c r="HW54" s="160"/>
      <c r="HX54" s="160"/>
      <c r="HY54" s="160"/>
      <c r="HZ54" s="160"/>
      <c r="IA54" s="160"/>
      <c r="IB54" s="160"/>
      <c r="IC54" s="160"/>
      <c r="ID54" s="160"/>
      <c r="IE54" s="160"/>
      <c r="IF54" s="160"/>
      <c r="IG54" s="160"/>
      <c r="IH54" s="160"/>
      <c r="II54" s="160"/>
      <c r="IJ54" s="160"/>
      <c r="IK54" s="160"/>
      <c r="IL54" s="160"/>
      <c r="IM54" s="160"/>
      <c r="IN54" s="160"/>
      <c r="IO54" s="160"/>
      <c r="IP54" s="160"/>
      <c r="IQ54" s="160"/>
      <c r="IR54" s="160"/>
      <c r="IS54" s="160"/>
      <c r="IT54" s="160"/>
      <c r="IU54" s="160"/>
      <c r="IV54" s="160"/>
      <c r="IW54" s="160"/>
    </row>
    <row r="55" customFormat="false" ht="15.75" hidden="false" customHeight="false" outlineLevel="0" collapsed="false">
      <c r="A55" s="161" t="n">
        <f aca="false">+Summary!C5</f>
        <v>36880</v>
      </c>
      <c r="B55" s="161"/>
      <c r="C55" s="160"/>
      <c r="D55" s="160"/>
      <c r="E55" s="160" t="s">
        <v>194</v>
      </c>
      <c r="F55" s="160" t="n">
        <f aca="false">VLOOKUP(+A55,Note,2)</f>
        <v>0</v>
      </c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60"/>
      <c r="CD55" s="160"/>
      <c r="CE55" s="160"/>
      <c r="CF55" s="160"/>
      <c r="CG55" s="160"/>
      <c r="CH55" s="160"/>
      <c r="CI55" s="160"/>
      <c r="CJ55" s="160"/>
      <c r="CK55" s="160"/>
      <c r="CL55" s="160"/>
      <c r="CM55" s="160"/>
      <c r="CN55" s="160"/>
      <c r="CO55" s="160"/>
      <c r="CP55" s="160"/>
      <c r="CQ55" s="160"/>
      <c r="CR55" s="160"/>
      <c r="CS55" s="160"/>
      <c r="CT55" s="160"/>
      <c r="CU55" s="160"/>
      <c r="CV55" s="160"/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60"/>
      <c r="DJ55" s="160"/>
      <c r="DK55" s="160"/>
      <c r="DL55" s="160"/>
      <c r="DM55" s="160"/>
      <c r="DN55" s="160"/>
      <c r="DO55" s="160"/>
      <c r="DP55" s="160"/>
      <c r="DQ55" s="160"/>
      <c r="DR55" s="160"/>
      <c r="DS55" s="160"/>
      <c r="DT55" s="160"/>
      <c r="DU55" s="160"/>
      <c r="DV55" s="160"/>
      <c r="DW55" s="160"/>
      <c r="DX55" s="160"/>
      <c r="DY55" s="160"/>
      <c r="DZ55" s="160"/>
      <c r="EA55" s="160"/>
      <c r="EB55" s="160"/>
      <c r="EC55" s="160"/>
      <c r="ED55" s="160"/>
      <c r="EE55" s="160"/>
      <c r="EF55" s="160"/>
      <c r="EG55" s="160"/>
      <c r="EH55" s="160"/>
      <c r="EI55" s="160"/>
      <c r="EJ55" s="160"/>
      <c r="EK55" s="160"/>
      <c r="EL55" s="160"/>
      <c r="EM55" s="160"/>
      <c r="EN55" s="160"/>
      <c r="EO55" s="160"/>
      <c r="EP55" s="160"/>
      <c r="EQ55" s="160"/>
      <c r="ER55" s="160"/>
      <c r="ES55" s="160"/>
      <c r="ET55" s="160"/>
      <c r="EU55" s="160"/>
      <c r="EV55" s="160"/>
      <c r="EW55" s="160"/>
      <c r="EX55" s="160"/>
      <c r="EY55" s="160"/>
      <c r="EZ55" s="160"/>
      <c r="FA55" s="160"/>
      <c r="FB55" s="160"/>
      <c r="FC55" s="160"/>
      <c r="FD55" s="160"/>
      <c r="FE55" s="160"/>
      <c r="FF55" s="160"/>
      <c r="FG55" s="160"/>
      <c r="FH55" s="160"/>
      <c r="FI55" s="160"/>
      <c r="FJ55" s="160"/>
      <c r="FK55" s="160"/>
      <c r="FL55" s="160"/>
      <c r="FM55" s="160"/>
      <c r="FN55" s="160"/>
      <c r="FO55" s="160"/>
      <c r="FP55" s="160"/>
      <c r="FQ55" s="160"/>
      <c r="FR55" s="160"/>
      <c r="FS55" s="160"/>
      <c r="FT55" s="160"/>
      <c r="FU55" s="160"/>
      <c r="FV55" s="160"/>
      <c r="FW55" s="160"/>
      <c r="FX55" s="160"/>
      <c r="FY55" s="160"/>
      <c r="FZ55" s="160"/>
      <c r="GA55" s="160"/>
      <c r="GB55" s="160"/>
      <c r="GC55" s="160"/>
      <c r="GD55" s="160"/>
      <c r="GE55" s="160"/>
      <c r="GF55" s="160"/>
      <c r="GG55" s="160"/>
      <c r="GH55" s="160"/>
      <c r="GI55" s="160"/>
      <c r="GJ55" s="160"/>
      <c r="GK55" s="160"/>
      <c r="GL55" s="160"/>
      <c r="GM55" s="160"/>
      <c r="GN55" s="160"/>
      <c r="GO55" s="160"/>
      <c r="GP55" s="160"/>
      <c r="GQ55" s="160"/>
      <c r="GR55" s="160"/>
      <c r="GS55" s="160"/>
      <c r="GT55" s="160"/>
      <c r="GU55" s="160"/>
      <c r="GV55" s="160"/>
      <c r="GW55" s="160"/>
      <c r="GX55" s="160"/>
      <c r="GY55" s="160"/>
      <c r="GZ55" s="160"/>
      <c r="HA55" s="160"/>
      <c r="HB55" s="160"/>
      <c r="HC55" s="160"/>
      <c r="HD55" s="160"/>
      <c r="HE55" s="160"/>
      <c r="HF55" s="160"/>
      <c r="HG55" s="160"/>
      <c r="HH55" s="160"/>
      <c r="HI55" s="160"/>
      <c r="HJ55" s="160"/>
      <c r="HK55" s="160"/>
      <c r="HL55" s="160"/>
      <c r="HM55" s="160"/>
      <c r="HN55" s="160"/>
      <c r="HO55" s="160"/>
      <c r="HP55" s="160"/>
      <c r="HQ55" s="160"/>
      <c r="HR55" s="160"/>
      <c r="HS55" s="160"/>
      <c r="HT55" s="160"/>
      <c r="HU55" s="160"/>
      <c r="HV55" s="160"/>
      <c r="HW55" s="160"/>
      <c r="HX55" s="160"/>
      <c r="HY55" s="160"/>
      <c r="HZ55" s="160"/>
      <c r="IA55" s="160"/>
      <c r="IB55" s="160"/>
      <c r="IC55" s="160"/>
      <c r="ID55" s="160"/>
      <c r="IE55" s="160"/>
      <c r="IF55" s="160"/>
      <c r="IG55" s="160"/>
      <c r="IH55" s="160"/>
      <c r="II55" s="160"/>
      <c r="IJ55" s="160"/>
      <c r="IK55" s="160"/>
      <c r="IL55" s="160"/>
      <c r="IM55" s="160"/>
      <c r="IN55" s="160"/>
      <c r="IO55" s="160"/>
      <c r="IP55" s="160"/>
      <c r="IQ55" s="160"/>
      <c r="IR55" s="160"/>
      <c r="IS55" s="160"/>
      <c r="IT55" s="160"/>
      <c r="IU55" s="160"/>
      <c r="IV55" s="160"/>
      <c r="IW55" s="160"/>
    </row>
    <row r="56" customFormat="false" ht="15.75" hidden="false" customHeight="false" outlineLevel="0" collapsed="false">
      <c r="A56" s="160"/>
      <c r="B56" s="160"/>
      <c r="C56" s="160"/>
      <c r="D56" s="160"/>
      <c r="E56" s="160" t="s">
        <v>28</v>
      </c>
      <c r="F56" s="159" t="n">
        <f aca="false">VLOOKUP(+A55,Note,1)</f>
        <v>36706</v>
      </c>
      <c r="G56" s="160"/>
    </row>
    <row r="57" customFormat="false" ht="15.75" hidden="false" customHeight="false" outlineLevel="0" collapsed="false">
      <c r="A57" s="160" t="s">
        <v>206</v>
      </c>
      <c r="B57" s="162" t="n">
        <f aca="false">VLOOKUP(+A55,Loan,8)</f>
        <v>0</v>
      </c>
      <c r="C57" s="160"/>
      <c r="D57" s="160"/>
      <c r="E57" s="160" t="s">
        <v>198</v>
      </c>
      <c r="F57" s="160" t="n">
        <f aca="false">VLOOKUP(+F55+1,LoanPeriod,5)</f>
        <v>14233333.3333333</v>
      </c>
      <c r="G57" s="160"/>
    </row>
    <row r="58" customFormat="false" ht="15.75" hidden="false" customHeight="false" outlineLevel="0" collapsed="false">
      <c r="A58" s="159" t="s">
        <v>6</v>
      </c>
      <c r="B58" s="160" t="n">
        <f aca="false">+B56+B57</f>
        <v>0</v>
      </c>
      <c r="C58" s="160"/>
      <c r="D58" s="160"/>
      <c r="E58" s="160" t="s">
        <v>200</v>
      </c>
      <c r="F58" s="159" t="n">
        <f aca="false">VLOOKUP(+F55+1,NotePeriod,8)</f>
        <v>36889</v>
      </c>
      <c r="G58" s="160"/>
    </row>
    <row r="59" customFormat="false" ht="15.75" hidden="false" customHeight="false" outlineLevel="0" collapsed="false">
      <c r="A59" s="159" t="s">
        <v>201</v>
      </c>
      <c r="B59" s="160" t="n">
        <f aca="false">A55-F56</f>
        <v>174</v>
      </c>
      <c r="C59" s="160"/>
      <c r="D59" s="160"/>
      <c r="E59" s="159"/>
      <c r="F59" s="160"/>
      <c r="G59" s="160"/>
    </row>
    <row r="60" customFormat="false" ht="15.75" hidden="false" customHeight="false" outlineLevel="0" collapsed="false">
      <c r="A60" s="159" t="s">
        <v>207</v>
      </c>
      <c r="B60" s="160" t="n">
        <f aca="false">F57*B59/(F58-F56)</f>
        <v>13533333.3333333</v>
      </c>
      <c r="C60" s="160"/>
      <c r="D60" s="160"/>
      <c r="E60" s="160"/>
      <c r="F60" s="160"/>
      <c r="G60" s="160"/>
    </row>
    <row r="61" customFormat="false" ht="15.75" hidden="false" customHeight="false" outlineLevel="0" collapsed="false">
      <c r="A61" s="159" t="s">
        <v>176</v>
      </c>
      <c r="B61" s="160" t="n">
        <f aca="false">+B57+B60</f>
        <v>13533333.3333333</v>
      </c>
      <c r="C61" s="160"/>
      <c r="D61" s="160"/>
      <c r="E61" s="160"/>
      <c r="F61" s="160"/>
      <c r="G61" s="160"/>
    </row>
    <row r="63" customFormat="false" ht="15.75" hidden="false" customHeight="false" outlineLevel="0" collapsed="false">
      <c r="A63" s="64" t="s">
        <v>208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209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210</v>
      </c>
      <c r="C65" s="56"/>
      <c r="D65" s="56" t="n">
        <f aca="false">+'Cash-Int-Trans'!B54</f>
        <v>36880</v>
      </c>
      <c r="E65" s="164" t="n">
        <f aca="false">+'Cash-Int-Trans'!B56</f>
        <v>116528.498527778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2000-12-21T22:17:40Z</dcterms:modified>
  <cp:revision>0</cp:revision>
  <dc:subject/>
  <dc:title>FXHistory</dc:title>
</cp:coreProperties>
</file>