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<sst xmlns="http://schemas.openxmlformats.org/spreadsheetml/2006/main" count="281" uniqueCount="207">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</sst>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36850</v>
      </c>
      <c r="D5" s="10" t="s">
        <v>3</v>
      </c>
      <c r="E5" s="11" t="n">
        <f aca="false">+C5-1</f>
        <v>36849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111211013.099198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293438980.386264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36850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A48" activeCellId="0" sqref="A48:B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36850</v>
      </c>
      <c r="I2" s="68"/>
      <c r="J2" s="69"/>
      <c r="L2" s="68" t="n">
        <f aca="false">H2</f>
        <v>36850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80.25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36850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33315171.115625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374581663.013699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36850</v>
      </c>
      <c r="J11" s="65"/>
      <c r="L11" s="64" t="s">
        <v>80</v>
      </c>
      <c r="M11" s="64" t="n">
        <f aca="false">+Amort!B28</f>
        <v>1400000</v>
      </c>
      <c r="O11" s="64" t="s">
        <v>67</v>
      </c>
      <c r="P11" s="64" t="n">
        <f aca="false">E7-I16+'Cash-Int-Trans'!B9</f>
        <v>418010838.229361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31121336.9863014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2214171.115625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10164658.9136612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1400000</v>
      </c>
      <c r="J14" s="65"/>
      <c r="L14" s="92" t="s">
        <v>6</v>
      </c>
      <c r="M14" s="93" t="n">
        <f aca="false">SUM(M8:M13)</f>
        <v>459296834.129324</v>
      </c>
      <c r="N14" s="94"/>
      <c r="O14" s="92" t="s">
        <v>6</v>
      </c>
      <c r="P14" s="93" t="n">
        <f aca="false">SUM(P8:P13)</f>
        <v>459296834.129324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24581663.0136986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-11277249.2293611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51184995.8999625</v>
      </c>
      <c r="L17" s="112" t="s">
        <v>99</v>
      </c>
      <c r="M17" s="112"/>
      <c r="P17" s="64" t="n">
        <f aca="false">M14</f>
        <v>459296834.129324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919296834.129324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27762764.3907056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51184995.8999625</v>
      </c>
      <c r="J23" s="124" t="s">
        <v>113</v>
      </c>
      <c r="L23" s="64" t="s">
        <v>114</v>
      </c>
      <c r="P23" s="64" t="n">
        <f aca="false">P12</f>
        <v>31121336.9863014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3358572.59559579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111211013.099198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51184995.8999625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(+D15)*(I5-E15)</f>
        <v>89812585</v>
      </c>
      <c r="J32" s="124"/>
      <c r="M32" s="64" t="n">
        <f aca="false">SUM(M30:M31)</f>
        <v>31101000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64" t="s">
        <v>131</v>
      </c>
      <c r="I33" s="66" t="n">
        <f aca="false">+'Cash-Int-Trans'!B13</f>
        <v>1100000</v>
      </c>
      <c r="L33" s="64" t="s">
        <v>132</v>
      </c>
      <c r="M33" s="64" t="n">
        <f aca="false">I23</f>
        <v>51184995.8999625</v>
      </c>
    </row>
    <row r="34" customFormat="false" ht="15.75" hidden="false" customHeight="false" outlineLevel="0" collapsed="false">
      <c r="A34" s="0"/>
      <c r="B34" s="0"/>
      <c r="C34" s="0"/>
      <c r="D34" s="129" t="n">
        <v>36706</v>
      </c>
      <c r="E34" s="65" t="s">
        <v>133</v>
      </c>
      <c r="H34" s="65" t="s">
        <v>134</v>
      </c>
      <c r="I34" s="90" t="n">
        <f aca="false">-I15</f>
        <v>-24581663.0136986</v>
      </c>
      <c r="J34" s="107" t="s">
        <v>93</v>
      </c>
      <c r="L34" s="64" t="s">
        <v>135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0" t="n">
        <f aca="false">+Summary!C5</f>
        <v>36850</v>
      </c>
      <c r="E35" s="65" t="s">
        <v>136</v>
      </c>
      <c r="H35" s="65" t="s">
        <v>137</v>
      </c>
      <c r="I35" s="90" t="n">
        <f aca="false">+'Cash-Int-Trans'!B12</f>
        <v>-41000000</v>
      </c>
      <c r="J35" s="131"/>
      <c r="L35" s="64" t="s">
        <v>138</v>
      </c>
      <c r="M35" s="64" t="n">
        <f aca="false">SUM(M32:M34)</f>
        <v>41285995.8999625</v>
      </c>
    </row>
    <row r="36" customFormat="false" ht="16.5" hidden="false" customHeight="false" outlineLevel="0" collapsed="false">
      <c r="A36" s="0"/>
      <c r="B36" s="0"/>
      <c r="C36" s="0"/>
      <c r="D36" s="132" t="n">
        <f aca="false">D35-D34</f>
        <v>144</v>
      </c>
      <c r="E36" s="65" t="s">
        <v>139</v>
      </c>
      <c r="H36" s="122" t="s">
        <v>140</v>
      </c>
      <c r="I36" s="133" t="n">
        <f aca="false">SUM(I29:I35)</f>
        <v>293438980.386264</v>
      </c>
      <c r="J36" s="65"/>
      <c r="L36" s="64" t="s">
        <v>141</v>
      </c>
      <c r="M36" s="64" t="n">
        <f aca="false">P12</f>
        <v>31121336.9863014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34" t="s">
        <v>142</v>
      </c>
      <c r="I37" s="135"/>
      <c r="K37" s="64"/>
      <c r="L37" s="64" t="s">
        <v>143</v>
      </c>
      <c r="M37" s="105" t="n">
        <f aca="false">P13</f>
        <v>10164658.9136612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-3.72529029846191E-008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144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145</v>
      </c>
      <c r="B1" s="140"/>
    </row>
    <row r="3" customFormat="false" ht="15.75" hidden="false" customHeight="false" outlineLevel="0" collapsed="false">
      <c r="A3" s="65" t="s">
        <v>146</v>
      </c>
      <c r="B3" s="66"/>
      <c r="C3" s="64"/>
    </row>
    <row r="4" customFormat="false" ht="15.75" hidden="false" customHeight="false" outlineLevel="0" collapsed="false">
      <c r="A4" s="139" t="s">
        <v>147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148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149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150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151</v>
      </c>
      <c r="B11" s="66"/>
      <c r="C11" s="64"/>
    </row>
    <row r="12" customFormat="false" ht="15.75" hidden="false" customHeight="false" outlineLevel="0" collapsed="false">
      <c r="A12" s="64" t="s">
        <v>152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153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154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155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156</v>
      </c>
      <c r="B18" s="140"/>
    </row>
    <row r="20" customFormat="false" ht="15.75" hidden="false" customHeight="false" outlineLevel="0" collapsed="false">
      <c r="A20" s="0" t="s">
        <v>157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158</v>
      </c>
      <c r="B22" s="64" t="n">
        <f aca="false">+Financials!I23</f>
        <v>51184995.8999625</v>
      </c>
    </row>
    <row r="23" customFormat="false" ht="15.75" hidden="false" customHeight="false" outlineLevel="0" collapsed="false">
      <c r="A23" s="0" t="s">
        <v>159</v>
      </c>
      <c r="B23" s="64" t="n">
        <f aca="false">-Financials!I15</f>
        <v>-24581663.0136986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160</v>
      </c>
    </row>
    <row r="27" customFormat="false" ht="15.75" hidden="false" customHeight="false" outlineLevel="0" collapsed="false">
      <c r="A27" s="0" t="s">
        <v>161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-1400000</v>
      </c>
    </row>
    <row r="29" customFormat="false" ht="15.75" hidden="false" customHeight="false" outlineLevel="0" collapsed="false">
      <c r="A29" s="0" t="s">
        <v>162</v>
      </c>
      <c r="B29" s="64" t="n">
        <f aca="false">-Financials!E7+Financials!P11</f>
        <v>18010838.2293611</v>
      </c>
    </row>
    <row r="30" customFormat="false" ht="15.75" hidden="false" customHeight="false" outlineLevel="0" collapsed="false">
      <c r="A30" s="0" t="s">
        <v>163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151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164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165</v>
      </c>
      <c r="B35" s="93" t="n">
        <f aca="false">SUM(B20:B34)</f>
        <v>33315171.115625</v>
      </c>
      <c r="D35" s="64" t="n">
        <f aca="false">+B20+B12+B13+B38+B16</f>
        <v>35094337.7822917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166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2214171.115625</v>
      </c>
    </row>
    <row r="39" customFormat="false" ht="15.75" hidden="false" customHeight="false" outlineLevel="0" collapsed="false">
      <c r="A39" s="144"/>
      <c r="E39" s="145" t="s">
        <v>167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157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36850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168</v>
      </c>
      <c r="B43" s="25" t="n">
        <f aca="false">+B42-B40</f>
        <v>145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169</v>
      </c>
      <c r="B44" s="148" t="n">
        <f aca="false">+B41*(F45+0.0045)/360*B43</f>
        <v>2214171.115625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170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171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172</v>
      </c>
      <c r="B47" s="143" t="n">
        <f aca="false">+B49+B56</f>
        <v>11277249.2293611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173</v>
      </c>
      <c r="B49" s="25" t="n">
        <f aca="false">+Amort!B61</f>
        <v>11200000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174</v>
      </c>
      <c r="B51" s="64"/>
      <c r="E51" s="138"/>
      <c r="F51" s="147"/>
    </row>
    <row r="52" customFormat="false" ht="15.75" hidden="false" customHeight="false" outlineLevel="0" collapsed="false">
      <c r="A52" s="0" t="s">
        <v>175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176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36850</v>
      </c>
    </row>
    <row r="55" customFormat="false" ht="15.75" hidden="false" customHeight="false" outlineLevel="0" collapsed="false">
      <c r="A55" s="0" t="s">
        <v>168</v>
      </c>
      <c r="B55" s="25" t="n">
        <f aca="false">+B54-B52</f>
        <v>59</v>
      </c>
    </row>
    <row r="56" customFormat="false" ht="15.75" hidden="false" customHeight="false" outlineLevel="0" collapsed="false">
      <c r="A56" s="0" t="s">
        <v>177</v>
      </c>
      <c r="B56" s="148" t="n">
        <f aca="false">+B53*0.07/360*B55</f>
        <v>77249.2293611111</v>
      </c>
    </row>
    <row r="58" customFormat="false" ht="16.5" hidden="false" customHeight="false" outlineLevel="0" collapsed="false">
      <c r="A58" s="140" t="s">
        <v>178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36850</v>
      </c>
    </row>
    <row r="61" customFormat="false" ht="15.75" hidden="false" customHeight="false" outlineLevel="0" collapsed="false">
      <c r="A61" s="0" t="s">
        <v>179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180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181</v>
      </c>
      <c r="B63" s="56" t="n">
        <f aca="false">+Summary!C5</f>
        <v>36850</v>
      </c>
      <c r="D63" s="151" t="n">
        <f aca="false">IF(B63&gt;B62,+(+B63-B62)/365*0.12*D62,0)</f>
        <v>21336.9863013699</v>
      </c>
    </row>
    <row r="64" customFormat="false" ht="15.75" hidden="false" customHeight="false" outlineLevel="0" collapsed="false">
      <c r="A64" s="0" t="s">
        <v>182</v>
      </c>
      <c r="D64" s="46" t="n">
        <f aca="false">SUM(D61:D63)</f>
        <v>31121336.9863014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183</v>
      </c>
      <c r="B1" s="67"/>
      <c r="G1" s="139"/>
      <c r="H1" s="139"/>
    </row>
    <row r="2" customFormat="false" ht="15.75" hidden="false" customHeight="false" outlineLevel="0" collapsed="false">
      <c r="B2" s="152" t="s">
        <v>184</v>
      </c>
    </row>
    <row r="3" customFormat="false" ht="15.75" hidden="false" customHeight="false" outlineLevel="0" collapsed="false">
      <c r="A3" s="64" t="s">
        <v>185</v>
      </c>
      <c r="B3" s="153" t="n">
        <v>50000000</v>
      </c>
    </row>
    <row r="4" customFormat="false" ht="15.75" hidden="false" customHeight="false" outlineLevel="0" collapsed="false">
      <c r="A4" s="64" t="s">
        <v>186</v>
      </c>
      <c r="B4" s="154" t="n">
        <v>0.07</v>
      </c>
    </row>
    <row r="5" customFormat="false" ht="15.75" hidden="false" customHeight="false" outlineLevel="0" collapsed="false">
      <c r="A5" s="64" t="s">
        <v>187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188</v>
      </c>
      <c r="B6" s="156" t="n">
        <v>2</v>
      </c>
    </row>
    <row r="7" customFormat="false" ht="15.75" hidden="false" customHeight="false" outlineLevel="0" collapsed="false">
      <c r="A7" s="64" t="s">
        <v>189</v>
      </c>
      <c r="B7" s="64" t="n">
        <v>0</v>
      </c>
    </row>
    <row r="9" customFormat="false" ht="25.5" hidden="false" customHeight="false" outlineLevel="0" collapsed="false">
      <c r="A9" s="157"/>
      <c r="B9" s="158" t="s">
        <v>190</v>
      </c>
      <c r="C9" s="159" t="s">
        <v>157</v>
      </c>
      <c r="D9" s="159" t="s">
        <v>189</v>
      </c>
      <c r="E9" s="159" t="s">
        <v>185</v>
      </c>
      <c r="F9" s="159" t="s">
        <v>169</v>
      </c>
      <c r="G9" s="159" t="s">
        <v>165</v>
      </c>
      <c r="H9" s="159" t="s">
        <v>191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36850</v>
      </c>
      <c r="B23" s="163"/>
      <c r="C23" s="162"/>
      <c r="D23" s="162"/>
      <c r="E23" s="162" t="s">
        <v>190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192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193</v>
      </c>
      <c r="B25" s="164" t="n">
        <f aca="false">VLOOKUP(+A23,Note,8)</f>
        <v>0</v>
      </c>
      <c r="C25" s="162"/>
      <c r="D25" s="162"/>
      <c r="E25" s="162" t="s">
        <v>194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195</v>
      </c>
      <c r="B26" s="162" t="n">
        <f aca="false">+B24+B25</f>
        <v>0</v>
      </c>
      <c r="C26" s="162"/>
      <c r="D26" s="162"/>
      <c r="E26" s="162" t="s">
        <v>196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197</v>
      </c>
      <c r="B27" s="162" t="n">
        <f aca="false">A23-F24</f>
        <v>144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198</v>
      </c>
      <c r="B28" s="162" t="n">
        <f aca="false">F25*B27/(F26-F24)</f>
        <v>1400000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199</v>
      </c>
      <c r="B29" s="162" t="n">
        <f aca="false">+B25+B28</f>
        <v>1400000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200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184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185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186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188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190</v>
      </c>
      <c r="C41" s="159" t="s">
        <v>157</v>
      </c>
      <c r="D41" s="159" t="s">
        <v>201</v>
      </c>
      <c r="E41" s="159" t="s">
        <v>185</v>
      </c>
      <c r="F41" s="159" t="s">
        <v>169</v>
      </c>
      <c r="G41" s="159" t="s">
        <v>165</v>
      </c>
      <c r="H41" s="159" t="s">
        <v>191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36850</v>
      </c>
      <c r="B55" s="163"/>
      <c r="C55" s="162"/>
      <c r="D55" s="162"/>
      <c r="E55" s="162" t="s">
        <v>190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202</v>
      </c>
      <c r="B57" s="164" t="n">
        <f aca="false">VLOOKUP(+A55,Loan,8)</f>
        <v>0</v>
      </c>
      <c r="C57" s="162"/>
      <c r="D57" s="162"/>
      <c r="E57" s="162" t="s">
        <v>194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196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197</v>
      </c>
      <c r="B59" s="162" t="n">
        <f aca="false">A55-F56</f>
        <v>144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203</v>
      </c>
      <c r="B60" s="162" t="n">
        <f aca="false">F57*B59/(F58-F56)</f>
        <v>11200000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172</v>
      </c>
      <c r="B61" s="162" t="n">
        <f aca="false">+B57+B60</f>
        <v>11200000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204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205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206</v>
      </c>
      <c r="C65" s="56"/>
      <c r="D65" s="56" t="n">
        <f aca="false">+'Cash-Int-Trans'!B54</f>
        <v>36850</v>
      </c>
      <c r="E65" s="166" t="n">
        <f aca="false">+'Cash-Int-Trans'!B56</f>
        <v>77249.2293611111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2000-11-21T23:15:22Z</dcterms:modified>
  <cp:revision>0</cp:revision>
  <dc:subject/>
  <dc:title>FXHistory</dc:title>
</cp:coreProperties>
</file>