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</sheets>
  <externalReferences>
    <externalReference r:id="rId9"/>
  </externalReference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Prices'!$A$5:$B$340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#REF!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#REF!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<sst xmlns="http://schemas.openxmlformats.org/spreadsheetml/2006/main" count="281" uniqueCount="207">
  <si>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</si>
  <si>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</si>
  <si>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</si>
  <si>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</si>
  <si>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</si>
  <si>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</si>
  <si>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</si>
  <si>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</si>
  <si>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</si>
  <si>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</si>
  <si>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</si>
  <si>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</si>
  <si>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</si>
  <si>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</si>
  <si>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</si>
  <si>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</si>
  <si>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</si>
  <si>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</si>
  <si>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</si>
  <si>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</si>
  <si>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</si>
  <si>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</si>
  <si>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</si>
  <si>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</si>
  <si>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</si>
  <si>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</si>
  <si>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</si>
  <si>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</si>
  <si>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</si>
  <si>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</si>
  <si>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</si>
  <si>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</si>
  <si>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</si>
  <si>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</si>
  <si>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</si>
  <si>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</si>
  <si>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</si>
  <si>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</si>
  <si>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</si>
  <si>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</si>
  <si>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PRIVATES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</si>
  <si>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</si>
  <si>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</si>
  <si>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</si>
  <si>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</si>
  <si>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</si>
  <si>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end</t>
  </si>
  <si>
    <t xml:space="preserve">Totals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</si>
  <si>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</si>
  <si>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</si>
  <si>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</si>
  <si>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</si>
  <si>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</si>
  <si>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</si>
  <si>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</si>
  <si>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</si>
  <si>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</si>
  <si>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</si>
  <si>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</si>
  <si>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</si>
  <si>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</si>
  <si>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</si>
  <si>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</si>
  <si>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</si>
  <si>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</si>
  <si>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</si>
  <si>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</si>
  <si>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</si>
  <si>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</si>
  <si>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</si>
  <si>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</si>
  <si>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</si>
  <si>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</si>
  <si>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</si>
  <si>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</si>
  <si>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</si>
  <si>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</si>
  <si>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</si>
  <si>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</si>
  <si>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</si>
  <si>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</si>
  <si>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</si>
  <si>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</si>
  <si>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</si>
  <si>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</si>
  <si>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</si>
  <si>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</si>
  <si>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</si>
  <si>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</si>
  <si>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</si>
  <si>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</si>
  <si>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</si>
  <si>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</si>
  <si>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</si>
  <si>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</si>
  <si>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</si>
  <si>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</si>
  <si>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</si>
  <si>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</si>
  <si>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</si>
  <si>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</si>
  <si>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</si>
  <si>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</si>
  <si>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</si>
  <si>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</si>
  <si>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</si>
  <si>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</si>
  <si>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</si>
  <si>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</si>
  <si>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</si>
  <si>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</si>
  <si>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</si>
  <si>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</si>
  <si>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</si>
  <si>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</si>
  <si>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</si>
  <si>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</si>
  <si>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</si>
  <si>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</si>
  <si>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</si>
  <si>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</si>
  <si>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</si>
  <si>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</si>
  <si>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</si>
  <si>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</si>
  <si>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</si>
  <si>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</si>
  <si>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</si>
  <si>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</si>
  <si>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</si>
  <si>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$68.75</t>
  </si>
  <si>
    <t xml:space="preserve">          Additional LJMII Capital</t>
  </si>
  <si>
    <t xml:space="preserve">Plus Income(Loss)</t>
  </si>
  <si>
    <t xml:space="preserve">Initial</t>
  </si>
  <si>
    <t xml:space="preserve">Less:  Discount Amortization</t>
  </si>
  <si>
    <t xml:space="preserve">Less Distributions</t>
  </si>
  <si>
    <t xml:space="preserve">I/S</t>
  </si>
  <si>
    <t xml:space="preserve">          Distribution to LJMII</t>
  </si>
  <si>
    <t xml:space="preserve">Current Equity</t>
  </si>
  <si>
    <t xml:space="preserve">Days O/S</t>
  </si>
  <si>
    <t xml:space="preserve">Total Credit Capacity</t>
  </si>
  <si>
    <t xml:space="preserve">     Ending LJM Capital</t>
  </si>
  <si>
    <t xml:space="preserve">Days in Period</t>
  </si>
  <si>
    <t xml:space="preserve">     Ending ENE Capital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</si>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</sst>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gmckillo/LOCALS~1/Temp/ENE.CSV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E"/>
    </sheetNames>
    <sheetDataSet>
      <sheetData sheetId="0">
        <row r="8">
          <cell r="D8">
            <v>70.25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36859</v>
      </c>
      <c r="D5" s="10" t="s">
        <v>3</v>
      </c>
      <c r="E5" s="11" t="n">
        <f aca="false">+C5-1</f>
        <v>36858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Position'!P8</f>
        <v>0</v>
      </c>
      <c r="D12" s="15" t="n">
        <f aca="false">+'Daily Position'!O8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Position'!N8</f>
        <v>0</v>
      </c>
      <c r="D15" s="17" t="n">
        <f aca="false">+'Daily Position'!M8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IF(+Financials!P26=0,"No Capacity Available",+Financials!P26)</f>
        <v>109557502.503216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214854227.916139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Position'!I8</f>
        <v>1040000000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36859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0" t="s">
        <v>46</v>
      </c>
    </row>
    <row r="8" customFormat="false" ht="16.5" hidden="false" customHeight="false" outlineLevel="0" collapsed="false">
      <c r="B8" s="50" t="s">
        <v>47</v>
      </c>
      <c r="E8" s="51" t="n">
        <f aca="false">SUM(E3:E7)</f>
        <v>0</v>
      </c>
      <c r="I8" s="52" t="n">
        <f aca="false">SUM(I3:I7)</f>
        <v>460000000</v>
      </c>
      <c r="L8" s="51" t="n">
        <f aca="false">SUM(L3:L7)</f>
        <v>0</v>
      </c>
      <c r="M8" s="51" t="n">
        <f aca="false">SUM(M3:M7)</f>
        <v>0</v>
      </c>
      <c r="N8" s="51" t="n">
        <f aca="false">SUM(N3:N7)</f>
        <v>0</v>
      </c>
      <c r="O8" s="51" t="n">
        <f aca="false">SUM(O3:O7)</f>
        <v>0</v>
      </c>
      <c r="P8" s="51" t="n">
        <f aca="false">SUM(P3:P7)</f>
        <v>0</v>
      </c>
      <c r="Q8" s="53"/>
      <c r="R8" s="53"/>
      <c r="S8" s="51" t="n">
        <f aca="false">SUM(S3:S7)</f>
        <v>0</v>
      </c>
    </row>
    <row r="9" customFormat="false" ht="16.5" hidden="false" customHeight="false" outlineLevel="0" collapsed="false"/>
    <row r="10" customFormat="false" ht="15.75" hidden="false" customHeight="false" outlineLevel="0" collapsed="false">
      <c r="S10" s="46"/>
    </row>
    <row r="11" customFormat="false" ht="15.75" hidden="false" customHeight="false" outlineLevel="0" collapsed="false">
      <c r="S11" s="54"/>
    </row>
    <row r="12" customFormat="false" ht="15.75" hidden="false" customHeight="false" outlineLevel="0" collapsed="false">
      <c r="S12" s="55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39" activePane="bottomLeft" state="frozen"/>
      <selection pane="topLeft" activeCell="A1" activeCellId="0" sqref="A1"/>
      <selection pane="bottomLeft" activeCell="A54" activeCellId="0" sqref="A54:B5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6" width="9.99"/>
    <col collapsed="false" customWidth="true" hidden="false" outlineLevel="0" max="2" min="2" style="57" width="9.74"/>
  </cols>
  <sheetData>
    <row r="1" customFormat="false" ht="15.75" hidden="false" customHeight="false" outlineLevel="0" collapsed="false">
      <c r="A1" s="58" t="s">
        <v>48</v>
      </c>
      <c r="B1" s="59"/>
    </row>
    <row r="2" customFormat="false" ht="15.75" hidden="false" customHeight="false" outlineLevel="0" collapsed="false">
      <c r="B2" s="60"/>
    </row>
    <row r="3" customFormat="false" ht="15.75" hidden="false" customHeight="false" outlineLevel="0" collapsed="false">
      <c r="A3" s="61" t="s">
        <v>49</v>
      </c>
      <c r="B3" s="61"/>
    </row>
    <row r="4" customFormat="false" ht="15.75" hidden="false" customHeight="false" outlineLevel="0" collapsed="false">
      <c r="A4" s="62" t="s">
        <v>28</v>
      </c>
      <c r="B4" s="63" t="s">
        <v>50</v>
      </c>
    </row>
    <row r="5" customFormat="false" ht="15.75" hidden="false" customHeight="false" outlineLevel="0" collapsed="false">
      <c r="A5" s="56" t="n">
        <v>36789</v>
      </c>
      <c r="B5" s="57" t="n">
        <v>82.172</v>
      </c>
    </row>
    <row r="6" customFormat="false" ht="15.75" hidden="false" customHeight="false" outlineLevel="0" collapsed="false">
      <c r="A6" s="56" t="n">
        <v>36790</v>
      </c>
      <c r="B6" s="57" t="n">
        <v>80.75</v>
      </c>
    </row>
    <row r="7" customFormat="false" ht="15.75" hidden="false" customHeight="false" outlineLevel="0" collapsed="false">
      <c r="A7" s="56" t="n">
        <v>36791</v>
      </c>
      <c r="B7" s="57" t="n">
        <v>83</v>
      </c>
    </row>
    <row r="8" customFormat="false" ht="15.75" hidden="false" customHeight="false" outlineLevel="0" collapsed="false">
      <c r="A8" s="56" t="n">
        <v>36794</v>
      </c>
      <c r="B8" s="57" t="n">
        <v>84.438</v>
      </c>
    </row>
    <row r="9" customFormat="false" ht="15.75" hidden="false" customHeight="false" outlineLevel="0" collapsed="false">
      <c r="A9" s="56" t="n">
        <v>36795</v>
      </c>
      <c r="B9" s="57" t="n">
        <v>85.5</v>
      </c>
    </row>
    <row r="10" customFormat="false" ht="15.75" hidden="false" customHeight="false" outlineLevel="0" collapsed="false">
      <c r="A10" s="56" t="n">
        <v>36796</v>
      </c>
      <c r="B10" s="57" t="n">
        <v>87.453</v>
      </c>
    </row>
    <row r="11" customFormat="false" ht="15.75" hidden="false" customHeight="false" outlineLevel="0" collapsed="false">
      <c r="A11" s="56" t="n">
        <v>36797</v>
      </c>
      <c r="B11" s="57" t="n">
        <v>89.25</v>
      </c>
    </row>
    <row r="12" customFormat="false" ht="15.75" hidden="false" customHeight="false" outlineLevel="0" collapsed="false">
      <c r="A12" s="56" t="n">
        <v>36798</v>
      </c>
      <c r="B12" s="57" t="n">
        <v>87.641</v>
      </c>
    </row>
    <row r="13" customFormat="false" ht="15.75" hidden="false" customHeight="false" outlineLevel="0" collapsed="false">
      <c r="A13" s="56" t="n">
        <v>36801</v>
      </c>
      <c r="B13" s="57" t="n">
        <v>86.438</v>
      </c>
    </row>
    <row r="14" customFormat="false" ht="15.75" hidden="false" customHeight="false" outlineLevel="0" collapsed="false">
      <c r="A14" s="56" t="n">
        <v>36802</v>
      </c>
      <c r="B14" s="57" t="n">
        <v>85.563</v>
      </c>
    </row>
    <row r="15" customFormat="false" ht="15.75" hidden="false" customHeight="false" outlineLevel="0" collapsed="false">
      <c r="A15" s="56" t="n">
        <v>36803</v>
      </c>
      <c r="B15" s="57" t="n">
        <v>83.063</v>
      </c>
    </row>
    <row r="16" customFormat="false" ht="15.75" hidden="false" customHeight="false" outlineLevel="0" collapsed="false">
      <c r="A16" s="56" t="n">
        <v>36804</v>
      </c>
      <c r="B16" s="57" t="n">
        <v>83</v>
      </c>
    </row>
    <row r="17" customFormat="false" ht="15.75" hidden="false" customHeight="false" outlineLevel="0" collapsed="false">
      <c r="A17" s="56" t="n">
        <v>36805</v>
      </c>
      <c r="B17" s="57" t="n">
        <v>81.625</v>
      </c>
    </row>
    <row r="18" customFormat="false" ht="15.75" hidden="false" customHeight="false" outlineLevel="0" collapsed="false">
      <c r="A18" s="56" t="n">
        <v>36808</v>
      </c>
      <c r="B18" s="57" t="n">
        <v>83</v>
      </c>
    </row>
    <row r="19" customFormat="false" ht="15.75" hidden="false" customHeight="false" outlineLevel="0" collapsed="false">
      <c r="A19" s="56" t="n">
        <v>36809</v>
      </c>
      <c r="B19" s="57" t="n">
        <v>81.688</v>
      </c>
    </row>
    <row r="20" customFormat="false" ht="15.75" hidden="false" customHeight="false" outlineLevel="0" collapsed="false">
      <c r="A20" s="56" t="n">
        <v>36810</v>
      </c>
      <c r="B20" s="57" t="n">
        <v>82.813</v>
      </c>
    </row>
    <row r="21" customFormat="false" ht="15.75" hidden="false" customHeight="false" outlineLevel="0" collapsed="false">
      <c r="A21" s="56" t="n">
        <v>36811</v>
      </c>
      <c r="B21" s="57" t="n">
        <v>79.875</v>
      </c>
    </row>
    <row r="22" customFormat="false" ht="15.75" hidden="false" customHeight="false" outlineLevel="0" collapsed="false">
      <c r="A22" s="56" t="n">
        <v>36812</v>
      </c>
      <c r="B22" s="57" t="n">
        <v>79.5</v>
      </c>
    </row>
    <row r="23" customFormat="false" ht="15.75" hidden="false" customHeight="false" outlineLevel="0" collapsed="false">
      <c r="A23" s="26" t="n">
        <v>36815</v>
      </c>
      <c r="B23" s="57" t="n">
        <v>80</v>
      </c>
    </row>
    <row r="24" customFormat="false" ht="15.75" hidden="false" customHeight="false" outlineLevel="0" collapsed="false">
      <c r="A24" s="26" t="n">
        <v>36816</v>
      </c>
      <c r="B24" s="57" t="n">
        <v>79.188</v>
      </c>
    </row>
    <row r="25" customFormat="false" ht="15.75" hidden="false" customHeight="false" outlineLevel="0" collapsed="false">
      <c r="A25" s="26" t="n">
        <v>36817</v>
      </c>
      <c r="B25" s="57" t="n">
        <v>78.75</v>
      </c>
    </row>
    <row r="26" customFormat="false" ht="15.75" hidden="false" customHeight="false" outlineLevel="0" collapsed="false">
      <c r="A26" s="26" t="n">
        <v>36818</v>
      </c>
      <c r="B26" s="57" t="n">
        <v>79</v>
      </c>
    </row>
    <row r="27" customFormat="false" ht="15.75" hidden="false" customHeight="false" outlineLevel="0" collapsed="false">
      <c r="A27" s="26" t="n">
        <v>36819</v>
      </c>
      <c r="B27" s="57" t="n">
        <v>80.5</v>
      </c>
    </row>
    <row r="28" customFormat="false" ht="15.75" hidden="false" customHeight="false" outlineLevel="0" collapsed="false">
      <c r="A28" s="26" t="n">
        <v>36822</v>
      </c>
      <c r="B28" s="57" t="n">
        <v>82</v>
      </c>
    </row>
    <row r="29" customFormat="false" ht="15.75" hidden="false" customHeight="false" outlineLevel="0" collapsed="false">
      <c r="A29" s="26" t="n">
        <v>36823</v>
      </c>
      <c r="B29" s="57" t="n">
        <v>80.1875</v>
      </c>
    </row>
    <row r="30" customFormat="false" ht="15.75" hidden="false" customHeight="false" outlineLevel="0" collapsed="false">
      <c r="A30" s="26" t="n">
        <v>36824</v>
      </c>
      <c r="B30" s="57" t="n">
        <v>76.125</v>
      </c>
    </row>
    <row r="31" customFormat="false" ht="15.75" hidden="false" customHeight="false" outlineLevel="0" collapsed="false">
      <c r="A31" s="26" t="n">
        <v>36825</v>
      </c>
      <c r="B31" s="57" t="n">
        <v>77.5</v>
      </c>
    </row>
    <row r="32" customFormat="false" ht="15.75" hidden="false" customHeight="false" outlineLevel="0" collapsed="false">
      <c r="A32" s="26" t="n">
        <v>36826</v>
      </c>
      <c r="B32" s="57" t="n">
        <v>78.875</v>
      </c>
    </row>
    <row r="33" customFormat="false" ht="15.75" hidden="false" customHeight="false" outlineLevel="0" collapsed="false">
      <c r="A33" s="26" t="n">
        <v>36829</v>
      </c>
      <c r="B33" s="57" t="n">
        <v>80.688</v>
      </c>
    </row>
    <row r="34" customFormat="false" ht="15.75" hidden="false" customHeight="false" outlineLevel="0" collapsed="false">
      <c r="A34" s="26" t="n">
        <v>36830</v>
      </c>
      <c r="B34" s="57" t="n">
        <v>82.063</v>
      </c>
    </row>
    <row r="35" customFormat="false" ht="15.75" hidden="false" customHeight="false" outlineLevel="0" collapsed="false">
      <c r="A35" s="26" t="n">
        <v>36831</v>
      </c>
      <c r="B35" s="57" t="n">
        <v>83.25</v>
      </c>
    </row>
    <row r="36" customFormat="false" ht="15.75" hidden="false" customHeight="false" outlineLevel="0" collapsed="false">
      <c r="A36" s="26" t="n">
        <v>36832</v>
      </c>
      <c r="B36" s="57" t="n">
        <v>81.75</v>
      </c>
    </row>
    <row r="37" customFormat="false" ht="15.75" hidden="false" customHeight="false" outlineLevel="0" collapsed="false">
      <c r="A37" s="26" t="n">
        <v>36833</v>
      </c>
      <c r="B37" s="57" t="n">
        <v>77.375</v>
      </c>
    </row>
    <row r="38" customFormat="false" ht="15.75" hidden="false" customHeight="false" outlineLevel="0" collapsed="false">
      <c r="A38" s="26" t="n">
        <v>36836</v>
      </c>
      <c r="B38" s="57" t="n">
        <v>81.563</v>
      </c>
    </row>
    <row r="39" customFormat="false" ht="15.75" hidden="false" customHeight="false" outlineLevel="0" collapsed="false">
      <c r="A39" s="26" t="n">
        <v>36837</v>
      </c>
      <c r="B39" s="57" t="n">
        <v>81.813</v>
      </c>
    </row>
    <row r="40" customFormat="false" ht="15.75" hidden="false" customHeight="false" outlineLevel="0" collapsed="false">
      <c r="A40" s="26" t="n">
        <v>36838</v>
      </c>
      <c r="B40" s="57" t="n">
        <v>82.125</v>
      </c>
    </row>
    <row r="41" customFormat="false" ht="15.75" hidden="false" customHeight="false" outlineLevel="0" collapsed="false">
      <c r="A41" s="26" t="n">
        <v>36839</v>
      </c>
      <c r="B41" s="57" t="n">
        <v>82.938</v>
      </c>
    </row>
    <row r="42" customFormat="false" ht="15.75" hidden="false" customHeight="false" outlineLevel="0" collapsed="false">
      <c r="A42" s="26" t="n">
        <v>36840</v>
      </c>
      <c r="B42" s="57" t="n">
        <f aca="false">82+0.9375</f>
        <v>82.9375</v>
      </c>
    </row>
    <row r="43" customFormat="false" ht="15.75" hidden="false" customHeight="false" outlineLevel="0" collapsed="false">
      <c r="A43" s="26" t="n">
        <v>36843</v>
      </c>
      <c r="B43" s="57" t="n">
        <v>79.438</v>
      </c>
    </row>
    <row r="44" customFormat="false" ht="15.75" hidden="false" customHeight="false" outlineLevel="0" collapsed="false">
      <c r="A44" s="26" t="n">
        <v>36844</v>
      </c>
      <c r="B44" s="57" t="n">
        <v>79.563</v>
      </c>
    </row>
    <row r="45" customFormat="false" ht="15.75" hidden="false" customHeight="false" outlineLevel="0" collapsed="false">
      <c r="A45" s="26" t="n">
        <v>36845</v>
      </c>
      <c r="B45" s="57" t="n">
        <v>80.375</v>
      </c>
    </row>
    <row r="46" customFormat="false" ht="15.75" hidden="false" customHeight="false" outlineLevel="0" collapsed="false">
      <c r="A46" s="26" t="n">
        <v>36846</v>
      </c>
      <c r="B46" s="57" t="n">
        <v>81.25</v>
      </c>
    </row>
    <row r="47" customFormat="false" ht="15.75" hidden="false" customHeight="false" outlineLevel="0" collapsed="false">
      <c r="A47" s="26" t="n">
        <v>36847</v>
      </c>
      <c r="B47" s="57" t="n">
        <v>81.5</v>
      </c>
    </row>
    <row r="48" customFormat="false" ht="15.75" hidden="false" customHeight="false" outlineLevel="0" collapsed="false">
      <c r="A48" s="26" t="n">
        <v>36850</v>
      </c>
      <c r="B48" s="57" t="n">
        <v>80.25</v>
      </c>
    </row>
    <row r="49" customFormat="false" ht="15.75" hidden="false" customHeight="false" outlineLevel="0" collapsed="false">
      <c r="A49" s="26" t="n">
        <v>36851</v>
      </c>
      <c r="B49" s="57" t="n">
        <v>80.375</v>
      </c>
    </row>
    <row r="50" customFormat="false" ht="15.75" hidden="false" customHeight="false" outlineLevel="0" collapsed="false">
      <c r="A50" s="26" t="n">
        <v>36852</v>
      </c>
      <c r="B50" s="57" t="n">
        <v>75.563</v>
      </c>
    </row>
    <row r="51" customFormat="false" ht="15.75" hidden="false" customHeight="false" outlineLevel="0" collapsed="false">
      <c r="A51" s="26" t="n">
        <v>36854</v>
      </c>
      <c r="B51" s="57" t="n">
        <v>77.75</v>
      </c>
    </row>
    <row r="52" customFormat="false" ht="15.75" hidden="false" customHeight="false" outlineLevel="0" collapsed="false">
      <c r="A52" s="26" t="n">
        <v>36857</v>
      </c>
      <c r="B52" s="57" t="n">
        <v>78.875</v>
      </c>
    </row>
    <row r="53" customFormat="false" ht="15.75" hidden="false" customHeight="false" outlineLevel="0" collapsed="false">
      <c r="A53" s="26" t="n">
        <v>36858</v>
      </c>
      <c r="B53" s="57" t="n">
        <v>78.438</v>
      </c>
    </row>
    <row r="54" customFormat="false" ht="15.75" hidden="false" customHeight="false" outlineLevel="0" collapsed="false">
      <c r="A54" s="26" t="n">
        <v>36859</v>
      </c>
      <c r="B54" s="57" t="n">
        <f aca="false">+[1]ENE!$D$8</f>
        <v>70.25</v>
      </c>
    </row>
    <row r="223" customFormat="false" ht="14.25" hidden="false" customHeight="true" outlineLevel="0" collapsed="false"/>
    <row r="340" customFormat="false" ht="15.75" hidden="false" customHeight="false" outlineLevel="0" collapsed="false">
      <c r="A340" s="56" t="s">
        <v>51</v>
      </c>
    </row>
    <row r="342" customFormat="false" ht="15.75" hidden="false" customHeight="false" outlineLevel="0" collapsed="false">
      <c r="A342" s="26"/>
    </row>
    <row r="343" customFormat="false" ht="15.75" hidden="false" customHeight="false" outlineLevel="0" collapsed="false">
      <c r="B343" s="0"/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7" activeCellId="0" sqref="B17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52</v>
      </c>
    </row>
    <row r="2" customFormat="false" ht="15.75" hidden="false" customHeight="false" outlineLevel="0" collapsed="false">
      <c r="A2" s="64" t="s">
        <v>53</v>
      </c>
      <c r="H2" s="68" t="n">
        <f aca="false">+Summary!C5</f>
        <v>36859</v>
      </c>
      <c r="I2" s="68"/>
      <c r="J2" s="69"/>
      <c r="L2" s="68" t="n">
        <f aca="false">H2</f>
        <v>36859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54</v>
      </c>
      <c r="I3" s="70"/>
      <c r="J3" s="71"/>
      <c r="L3" s="70" t="s">
        <v>54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55</v>
      </c>
      <c r="B4" s="72"/>
      <c r="C4" s="72"/>
      <c r="D4" s="72"/>
      <c r="E4" s="72"/>
      <c r="F4" s="72"/>
      <c r="H4" s="73" t="s">
        <v>56</v>
      </c>
      <c r="I4" s="74"/>
      <c r="J4" s="65"/>
    </row>
    <row r="5" customFormat="false" ht="16.5" hidden="false" customHeight="false" outlineLevel="0" collapsed="false">
      <c r="A5" s="75" t="s">
        <v>57</v>
      </c>
      <c r="B5" s="75"/>
      <c r="D5" s="75" t="s">
        <v>58</v>
      </c>
      <c r="E5" s="75"/>
      <c r="H5" s="76" t="s">
        <v>59</v>
      </c>
      <c r="I5" s="77" t="n">
        <f aca="false">+VLOOKUP(+Summary!C5,ene,2)</f>
        <v>70.25</v>
      </c>
      <c r="J5" s="65"/>
      <c r="L5" s="72" t="s">
        <v>60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61</v>
      </c>
      <c r="B6" s="64" t="n">
        <f aca="false">E6+E9+E10-B35</f>
        <v>71001000</v>
      </c>
      <c r="D6" s="64" t="s">
        <v>62</v>
      </c>
      <c r="E6" s="64" t="n">
        <v>41000000</v>
      </c>
      <c r="F6" s="78" t="s">
        <v>63</v>
      </c>
      <c r="H6" s="76" t="s">
        <v>64</v>
      </c>
      <c r="I6" s="79" t="n">
        <f aca="false">+'Cash-Int-Trans'!F45</f>
        <v>0.072925</v>
      </c>
      <c r="J6" s="65"/>
      <c r="L6" s="80" t="s">
        <v>65</v>
      </c>
      <c r="M6" s="81" t="n">
        <f aca="false">H2</f>
        <v>36859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66</v>
      </c>
      <c r="B7" s="64" t="n">
        <v>50000000</v>
      </c>
      <c r="D7" s="64" t="s">
        <v>67</v>
      </c>
      <c r="E7" s="64" t="n">
        <f aca="false">B11-E6-E9-E10</f>
        <v>400000000</v>
      </c>
      <c r="H7" s="84" t="s">
        <v>68</v>
      </c>
      <c r="I7" s="84"/>
      <c r="J7" s="65"/>
      <c r="L7" s="75" t="s">
        <v>57</v>
      </c>
      <c r="M7" s="75"/>
      <c r="O7" s="75" t="s">
        <v>58</v>
      </c>
      <c r="P7" s="75"/>
    </row>
    <row r="8" customFormat="false" ht="15.75" hidden="false" customHeight="false" outlineLevel="0" collapsed="false">
      <c r="A8" s="64" t="s">
        <v>69</v>
      </c>
      <c r="B8" s="64" t="n">
        <f aca="false">B18</f>
        <v>350000000</v>
      </c>
      <c r="C8" s="85" t="s">
        <v>70</v>
      </c>
      <c r="H8" s="86" t="s">
        <v>71</v>
      </c>
      <c r="I8" s="87"/>
      <c r="J8" s="65"/>
      <c r="L8" s="64" t="s">
        <v>72</v>
      </c>
      <c r="M8" s="64" t="n">
        <f aca="false">+'Cash-Int-Trans'!B35</f>
        <v>33452602.42625</v>
      </c>
      <c r="O8" s="64" t="s">
        <v>73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74</v>
      </c>
      <c r="E9" s="66" t="n">
        <f aca="false">30000000</f>
        <v>30000000</v>
      </c>
      <c r="F9" s="89" t="s">
        <v>75</v>
      </c>
      <c r="H9" s="65"/>
      <c r="I9" s="90"/>
      <c r="J9" s="65"/>
      <c r="L9" s="64" t="s">
        <v>66</v>
      </c>
      <c r="M9" s="64" t="n">
        <f aca="false">+B7-Amort!B24</f>
        <v>50000000</v>
      </c>
      <c r="O9" s="64" t="s">
        <v>62</v>
      </c>
      <c r="P9" s="64" t="n">
        <v>0</v>
      </c>
    </row>
    <row r="10" customFormat="false" ht="15.75" hidden="false" customHeight="false" outlineLevel="0" collapsed="false">
      <c r="D10" s="64" t="s">
        <v>49</v>
      </c>
      <c r="E10" s="64" t="n">
        <v>1000</v>
      </c>
      <c r="H10" s="91" t="s">
        <v>76</v>
      </c>
      <c r="I10" s="91"/>
      <c r="J10" s="65"/>
      <c r="L10" s="64" t="s">
        <v>69</v>
      </c>
      <c r="M10" s="64" t="n">
        <f aca="false">B8+I15</f>
        <v>376118016.952055</v>
      </c>
      <c r="N10" s="85"/>
      <c r="O10" s="64" t="s">
        <v>77</v>
      </c>
      <c r="P10" s="64" t="n">
        <f aca="false">IF(I19&gt;0,0,-I19)</f>
        <v>-0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78</v>
      </c>
      <c r="D11" s="92" t="s">
        <v>6</v>
      </c>
      <c r="E11" s="93" t="n">
        <f aca="false">SUM(E6:E10)</f>
        <v>471001000</v>
      </c>
      <c r="F11" s="88"/>
      <c r="H11" s="95" t="s">
        <v>79</v>
      </c>
      <c r="I11" s="96" t="n">
        <f aca="false">H2</f>
        <v>36859</v>
      </c>
      <c r="J11" s="65"/>
      <c r="L11" s="64" t="s">
        <v>80</v>
      </c>
      <c r="M11" s="64" t="n">
        <f aca="false">+Amort!B28</f>
        <v>1487500</v>
      </c>
      <c r="O11" s="64" t="s">
        <v>67</v>
      </c>
      <c r="P11" s="64" t="n">
        <f aca="false">E7-I16+'Cash-Int-Trans'!B9</f>
        <v>418722622.010111</v>
      </c>
      <c r="R11" s="25"/>
    </row>
    <row r="12" customFormat="false" ht="16.5" hidden="false" customHeight="false" outlineLevel="0" collapsed="false">
      <c r="H12" s="65" t="s">
        <v>81</v>
      </c>
      <c r="I12" s="90" t="n">
        <f aca="false">+'Cash-Int-Trans'!B6</f>
        <v>34266411</v>
      </c>
      <c r="J12" s="97" t="s">
        <v>82</v>
      </c>
      <c r="O12" s="64" t="s">
        <v>74</v>
      </c>
      <c r="P12" s="64" t="n">
        <f aca="false">IF(+I23+I35+'Cash-Int-Trans'!D64-'Cash-Int-Trans'!D63&gt;'Cash-Int-Trans'!D64,'Cash-Int-Trans'!D64,IF(+I23+I35+'Cash-Int-Trans'!D64&lt;0,0,+I23+I35+'Cash-Int-Trans'!D64-'Cash-Int-Trans'!D63))</f>
        <v>31124591.7808219</v>
      </c>
      <c r="Q12" s="98" t="s">
        <v>83</v>
      </c>
    </row>
    <row r="13" customFormat="false" ht="15.75" hidden="false" customHeight="false" outlineLevel="0" collapsed="false">
      <c r="A13" s="99" t="s">
        <v>84</v>
      </c>
      <c r="D13" s="100" t="s">
        <v>85</v>
      </c>
      <c r="E13" s="100" t="s">
        <v>32</v>
      </c>
      <c r="F13" s="101"/>
      <c r="H13" s="65" t="s">
        <v>86</v>
      </c>
      <c r="I13" s="90" t="n">
        <f aca="false">+'Cash-Int-Trans'!B38</f>
        <v>2351602.42625</v>
      </c>
      <c r="J13" s="97"/>
      <c r="L13" s="64" t="s">
        <v>87</v>
      </c>
      <c r="M13" s="64" t="n">
        <f aca="false">IF(I19&gt;0,I19,0)</f>
        <v>0</v>
      </c>
      <c r="O13" s="64" t="s">
        <v>49</v>
      </c>
      <c r="P13" s="64" t="n">
        <f aca="false">M14-SUM(P8:P12)</f>
        <v>11210905.5873718</v>
      </c>
    </row>
    <row r="14" customFormat="false" ht="16.5" hidden="false" customHeight="false" outlineLevel="0" collapsed="false">
      <c r="A14" s="64" t="s">
        <v>88</v>
      </c>
      <c r="B14" s="64" t="n">
        <f aca="false">D14*E14</f>
        <v>0</v>
      </c>
      <c r="D14" s="102" t="n">
        <v>0</v>
      </c>
      <c r="E14" s="103" t="n">
        <v>0</v>
      </c>
      <c r="H14" s="65" t="s">
        <v>89</v>
      </c>
      <c r="I14" s="90" t="n">
        <f aca="false">+Amort!B29</f>
        <v>1487500</v>
      </c>
      <c r="J14" s="65"/>
      <c r="L14" s="92" t="s">
        <v>6</v>
      </c>
      <c r="M14" s="93" t="n">
        <f aca="false">SUM(M8:M13)</f>
        <v>461058119.378305</v>
      </c>
      <c r="N14" s="94"/>
      <c r="O14" s="92" t="s">
        <v>6</v>
      </c>
      <c r="P14" s="93" t="n">
        <f aca="false">SUM(P8:P13)</f>
        <v>461058119.378305</v>
      </c>
      <c r="Q14" s="104" t="s">
        <v>90</v>
      </c>
    </row>
    <row r="15" customFormat="false" ht="16.5" hidden="false" customHeight="false" outlineLevel="0" collapsed="false">
      <c r="A15" s="64" t="s">
        <v>91</v>
      </c>
      <c r="B15" s="105" t="n">
        <f aca="false">+D15*E15</f>
        <v>536923062.5</v>
      </c>
      <c r="D15" s="106" t="n">
        <v>7809790</v>
      </c>
      <c r="E15" s="103" t="n">
        <v>68.75</v>
      </c>
      <c r="H15" s="65" t="s">
        <v>92</v>
      </c>
      <c r="I15" s="90" t="n">
        <f aca="false">-B17*D36/(3*365)</f>
        <v>26118016.9520548</v>
      </c>
      <c r="J15" s="107" t="s">
        <v>93</v>
      </c>
      <c r="P15" s="64" t="n">
        <f aca="false">M14-P14</f>
        <v>0</v>
      </c>
      <c r="Q15" s="88" t="str">
        <f aca="false">IF(ROUND(P15,0)=0,"","8/31/00 Balance Sheet does not Balance!")</f>
        <v/>
      </c>
    </row>
    <row r="16" customFormat="false" ht="15.75" hidden="false" customHeight="false" outlineLevel="0" collapsed="false">
      <c r="A16" s="64" t="s">
        <v>94</v>
      </c>
      <c r="B16" s="64" t="n">
        <f aca="false">SUM(B14:B15)</f>
        <v>536923062.5</v>
      </c>
      <c r="H16" s="65" t="s">
        <v>95</v>
      </c>
      <c r="I16" s="108" t="n">
        <f aca="false">-'Cash-Int-Trans'!B47</f>
        <v>-11989033.0101111</v>
      </c>
      <c r="J16" s="65"/>
      <c r="L16" s="109" t="s">
        <v>96</v>
      </c>
      <c r="M16" s="91"/>
      <c r="N16" s="91"/>
      <c r="O16" s="91"/>
      <c r="P16" s="91"/>
      <c r="Q16" s="90"/>
    </row>
    <row r="17" customFormat="false" ht="15.75" hidden="false" customHeight="false" outlineLevel="0" collapsed="false">
      <c r="A17" s="64" t="s">
        <v>97</v>
      </c>
      <c r="B17" s="64" t="n">
        <f aca="false">350000000-B16</f>
        <v>-186923062.5</v>
      </c>
      <c r="C17" s="110" t="s">
        <v>98</v>
      </c>
      <c r="D17" s="111" t="n">
        <f aca="false">-B17/B16</f>
        <v>0.348137518305986</v>
      </c>
      <c r="I17" s="64" t="n">
        <f aca="false">SUM(I12:I16)</f>
        <v>52234497.3681937</v>
      </c>
      <c r="L17" s="112" t="s">
        <v>99</v>
      </c>
      <c r="M17" s="112"/>
      <c r="P17" s="64" t="n">
        <f aca="false">M14</f>
        <v>461058119.378305</v>
      </c>
      <c r="Q17" s="104" t="s">
        <v>90</v>
      </c>
    </row>
    <row r="18" customFormat="false" ht="16.5" hidden="false" customHeight="false" outlineLevel="0" collapsed="false">
      <c r="A18" s="64" t="s">
        <v>100</v>
      </c>
      <c r="B18" s="93" t="n">
        <f aca="false">B16+B17</f>
        <v>350000000</v>
      </c>
      <c r="C18" s="85" t="s">
        <v>70</v>
      </c>
      <c r="I18" s="64"/>
      <c r="L18" s="64" t="s">
        <v>101</v>
      </c>
      <c r="M18" s="113"/>
      <c r="N18" s="113"/>
      <c r="O18" s="113"/>
      <c r="P18" s="64" t="n">
        <f aca="false">+M18+O18</f>
        <v>0</v>
      </c>
    </row>
    <row r="19" customFormat="false" ht="16.5" hidden="false" customHeight="false" outlineLevel="0" collapsed="false">
      <c r="H19" s="64" t="s">
        <v>102</v>
      </c>
      <c r="I19" s="64" t="n">
        <f aca="false">+'Daily Position'!L8</f>
        <v>0</v>
      </c>
      <c r="J19" s="65"/>
      <c r="L19" s="64" t="s">
        <v>103</v>
      </c>
      <c r="M19" s="113" t="n">
        <f aca="false">+'Daily Position'!I8-M18</f>
        <v>460000000</v>
      </c>
      <c r="N19" s="113"/>
      <c r="O19" s="113" t="n">
        <f aca="false">-P10</f>
        <v>0</v>
      </c>
      <c r="P19" s="105" t="n">
        <f aca="false">+M19+O19</f>
        <v>460000000</v>
      </c>
      <c r="T19" s="114"/>
    </row>
    <row r="20" customFormat="false" ht="16.5" hidden="false" customHeight="false" outlineLevel="0" collapsed="false">
      <c r="A20" s="115" t="s">
        <v>104</v>
      </c>
      <c r="B20" s="115"/>
      <c r="C20" s="115"/>
      <c r="D20" s="115"/>
      <c r="E20" s="115"/>
      <c r="H20" s="64" t="s">
        <v>105</v>
      </c>
      <c r="I20" s="105" t="n">
        <f aca="false">+'Daily Position'!M8</f>
        <v>0</v>
      </c>
      <c r="L20" s="64" t="s">
        <v>106</v>
      </c>
      <c r="P20" s="64" t="n">
        <f aca="false">+P17+P18+P19</f>
        <v>921058119.378305</v>
      </c>
    </row>
    <row r="21" customFormat="false" ht="15.75" hidden="false" customHeight="false" outlineLevel="0" collapsed="false">
      <c r="A21" s="116" t="s">
        <v>99</v>
      </c>
      <c r="B21" s="116"/>
      <c r="E21" s="64" t="n">
        <f aca="false">B11</f>
        <v>471001000</v>
      </c>
      <c r="F21" s="117" t="s">
        <v>78</v>
      </c>
      <c r="H21" s="0"/>
      <c r="I21" s="118" t="n">
        <f aca="false">SUM(I19:I20)</f>
        <v>0</v>
      </c>
      <c r="J21" s="65"/>
      <c r="K21" s="64"/>
      <c r="L21" s="64" t="s">
        <v>107</v>
      </c>
      <c r="P21" s="119" t="n">
        <f aca="false">E27</f>
        <v>0.0302</v>
      </c>
    </row>
    <row r="22" customFormat="false" ht="15.75" hidden="false" customHeight="false" outlineLevel="0" collapsed="false">
      <c r="A22" s="64" t="s">
        <v>108</v>
      </c>
      <c r="B22" s="64" t="s">
        <v>85</v>
      </c>
      <c r="D22" s="64" t="n">
        <v>7427536</v>
      </c>
      <c r="H22" s="120"/>
      <c r="I22" s="121"/>
      <c r="J22" s="65"/>
      <c r="K22" s="64"/>
      <c r="L22" s="64" t="s">
        <v>109</v>
      </c>
      <c r="P22" s="64" t="n">
        <f aca="false">P20*P21</f>
        <v>27815955.2052248</v>
      </c>
    </row>
    <row r="23" customFormat="false" ht="16.5" hidden="false" customHeight="false" outlineLevel="0" collapsed="false">
      <c r="A23" s="64" t="s">
        <v>110</v>
      </c>
      <c r="B23" s="64" t="s">
        <v>111</v>
      </c>
      <c r="D23" s="103" t="n">
        <v>57.5</v>
      </c>
      <c r="E23" s="105" t="n">
        <f aca="false">D22*D23</f>
        <v>427083320</v>
      </c>
      <c r="H23" s="122" t="s">
        <v>112</v>
      </c>
      <c r="I23" s="123" t="n">
        <f aca="false">I21+I17</f>
        <v>52234497.3681937</v>
      </c>
      <c r="J23" s="124" t="s">
        <v>113</v>
      </c>
      <c r="L23" s="64" t="s">
        <v>114</v>
      </c>
      <c r="P23" s="64" t="n">
        <f aca="false">P12</f>
        <v>31124591.7808219</v>
      </c>
      <c r="Q23" s="98" t="s">
        <v>83</v>
      </c>
    </row>
    <row r="24" customFormat="false" ht="16.5" hidden="false" customHeight="false" outlineLevel="0" collapsed="false">
      <c r="A24" s="64" t="s">
        <v>115</v>
      </c>
      <c r="E24" s="64" t="n">
        <f aca="false">SUM(E21:E23)</f>
        <v>898084320</v>
      </c>
      <c r="H24" s="65"/>
      <c r="I24" s="90"/>
      <c r="J24" s="65"/>
      <c r="L24" s="125" t="s">
        <v>116</v>
      </c>
      <c r="M24" s="118"/>
      <c r="N24" s="118"/>
      <c r="O24" s="118"/>
      <c r="P24" s="126" t="str">
        <f aca="false">IF(P23&gt;=P22,"Test Passed","Test Failed")</f>
        <v>Test Passed</v>
      </c>
      <c r="Q24" s="98"/>
    </row>
    <row r="25" customFormat="false" ht="15.75" hidden="false" customHeight="false" outlineLevel="0" collapsed="false">
      <c r="A25" s="64" t="s">
        <v>117</v>
      </c>
      <c r="E25" s="105" t="n">
        <f aca="false">E6</f>
        <v>41000000</v>
      </c>
      <c r="F25" s="78" t="s">
        <v>63</v>
      </c>
      <c r="H25" s="91" t="s">
        <v>118</v>
      </c>
      <c r="I25" s="91"/>
      <c r="J25" s="65"/>
      <c r="L25" s="65" t="s">
        <v>119</v>
      </c>
      <c r="M25" s="65"/>
      <c r="N25" s="65"/>
      <c r="O25" s="65"/>
      <c r="P25" s="65" t="n">
        <f aca="false">P23-P22</f>
        <v>3308636.57559712</v>
      </c>
    </row>
    <row r="26" customFormat="false" ht="15.75" hidden="false" customHeight="false" outlineLevel="0" collapsed="false">
      <c r="E26" s="64" t="n">
        <f aca="false">E24-E25</f>
        <v>857084320</v>
      </c>
      <c r="H26" s="65" t="s">
        <v>120</v>
      </c>
      <c r="I26" s="90"/>
      <c r="J26" s="65"/>
      <c r="K26" s="64"/>
      <c r="L26" s="122" t="s">
        <v>121</v>
      </c>
      <c r="M26" s="122"/>
      <c r="N26" s="122"/>
      <c r="O26" s="122"/>
      <c r="P26" s="122" t="n">
        <f aca="false">IF(P25&lt;0,0,P25/P21)</f>
        <v>109557502.503216</v>
      </c>
    </row>
    <row r="27" customFormat="false" ht="15.75" hidden="false" customHeight="false" outlineLevel="0" collapsed="false">
      <c r="A27" s="64" t="s">
        <v>107</v>
      </c>
      <c r="E27" s="119" t="n">
        <v>0.0302</v>
      </c>
      <c r="H27" s="65" t="s">
        <v>122</v>
      </c>
      <c r="I27" s="90" t="n">
        <f aca="false">E9</f>
        <v>30000000</v>
      </c>
      <c r="J27" s="89" t="s">
        <v>75</v>
      </c>
    </row>
    <row r="28" customFormat="false" ht="15.75" hidden="false" customHeight="false" outlineLevel="0" collapsed="false">
      <c r="A28" s="64" t="s">
        <v>109</v>
      </c>
      <c r="E28" s="64" t="n">
        <f aca="false">E26*E27</f>
        <v>25883946.464</v>
      </c>
      <c r="H28" s="65" t="s">
        <v>123</v>
      </c>
      <c r="I28" s="108" t="n">
        <f aca="false">-B17</f>
        <v>186923062.5</v>
      </c>
      <c r="J28" s="127" t="s">
        <v>98</v>
      </c>
      <c r="L28" s="128" t="s">
        <v>124</v>
      </c>
      <c r="M28" s="128"/>
    </row>
    <row r="29" customFormat="false" ht="15.75" hidden="false" customHeight="false" outlineLevel="0" collapsed="false">
      <c r="A29" s="64" t="s">
        <v>114</v>
      </c>
      <c r="E29" s="64" t="n">
        <f aca="false">E9</f>
        <v>30000000</v>
      </c>
      <c r="F29" s="89" t="s">
        <v>75</v>
      </c>
      <c r="H29" s="65" t="s">
        <v>125</v>
      </c>
      <c r="I29" s="90" t="n">
        <f aca="false">SUM(I27:I28)</f>
        <v>216923062.5</v>
      </c>
      <c r="J29" s="65"/>
      <c r="L29" s="64" t="s">
        <v>126</v>
      </c>
    </row>
    <row r="30" customFormat="false" ht="15.75" hidden="false" customHeight="false" outlineLevel="0" collapsed="false">
      <c r="A30" s="125" t="s">
        <v>116</v>
      </c>
      <c r="B30" s="118"/>
      <c r="C30" s="118"/>
      <c r="D30" s="118"/>
      <c r="E30" s="126" t="str">
        <f aca="false">IF(E29&gt;=E28,"Test Passed","Test Failed")</f>
        <v>Test Passed</v>
      </c>
      <c r="H30" s="65"/>
      <c r="I30" s="90"/>
      <c r="J30" s="65"/>
      <c r="L30" s="64" t="s">
        <v>127</v>
      </c>
      <c r="M30" s="64" t="n">
        <f aca="false">E9+'Cash-Int-Trans'!B13</f>
        <v>31100000</v>
      </c>
    </row>
    <row r="31" customFormat="false" ht="15.75" hidden="false" customHeight="false" outlineLevel="0" collapsed="false">
      <c r="H31" s="65" t="s">
        <v>128</v>
      </c>
      <c r="I31" s="90" t="n">
        <f aca="false">I23</f>
        <v>52234497.3681937</v>
      </c>
      <c r="J31" s="124" t="s">
        <v>113</v>
      </c>
      <c r="L31" s="64" t="s">
        <v>129</v>
      </c>
      <c r="M31" s="105" t="n">
        <f aca="false">E10</f>
        <v>1000</v>
      </c>
    </row>
    <row r="32" customFormat="false" ht="15.75" hidden="false" customHeight="false" outlineLevel="0" collapsed="false">
      <c r="H32" s="65" t="s">
        <v>130</v>
      </c>
      <c r="I32" s="90" t="n">
        <f aca="false">(+D15)*(I5-E15)</f>
        <v>11714685</v>
      </c>
      <c r="J32" s="124"/>
      <c r="M32" s="64" t="n">
        <f aca="false">SUM(M30:M31)</f>
        <v>31101000</v>
      </c>
    </row>
    <row r="33" customFormat="false" ht="15.75" hidden="false" customHeight="false" outlineLevel="0" collapsed="false">
      <c r="A33" s="0"/>
      <c r="B33" s="0"/>
      <c r="C33" s="0"/>
      <c r="D33" s="0"/>
      <c r="E33" s="0"/>
      <c r="H33" s="64" t="s">
        <v>131</v>
      </c>
      <c r="I33" s="66" t="n">
        <f aca="false">+'Cash-Int-Trans'!B13</f>
        <v>1100000</v>
      </c>
      <c r="L33" s="64" t="s">
        <v>132</v>
      </c>
      <c r="M33" s="64" t="n">
        <f aca="false">I23</f>
        <v>52234497.3681937</v>
      </c>
    </row>
    <row r="34" customFormat="false" ht="15.75" hidden="false" customHeight="false" outlineLevel="0" collapsed="false">
      <c r="A34" s="0"/>
      <c r="B34" s="0"/>
      <c r="C34" s="0"/>
      <c r="D34" s="129" t="n">
        <v>36706</v>
      </c>
      <c r="E34" s="65" t="s">
        <v>133</v>
      </c>
      <c r="H34" s="65" t="s">
        <v>134</v>
      </c>
      <c r="I34" s="90" t="n">
        <f aca="false">-I15</f>
        <v>-26118016.9520548</v>
      </c>
      <c r="J34" s="107" t="s">
        <v>93</v>
      </c>
      <c r="L34" s="64" t="s">
        <v>135</v>
      </c>
      <c r="M34" s="105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130" t="n">
        <f aca="false">+Summary!C5</f>
        <v>36859</v>
      </c>
      <c r="E35" s="65" t="s">
        <v>136</v>
      </c>
      <c r="H35" s="65" t="s">
        <v>137</v>
      </c>
      <c r="I35" s="90" t="n">
        <f aca="false">+'Cash-Int-Trans'!B12</f>
        <v>-41000000</v>
      </c>
      <c r="J35" s="131"/>
      <c r="L35" s="64" t="s">
        <v>138</v>
      </c>
      <c r="M35" s="64" t="n">
        <f aca="false">SUM(M32:M34)</f>
        <v>42335497.3681937</v>
      </c>
    </row>
    <row r="36" customFormat="false" ht="16.5" hidden="false" customHeight="false" outlineLevel="0" collapsed="false">
      <c r="A36" s="0"/>
      <c r="B36" s="0"/>
      <c r="C36" s="0"/>
      <c r="D36" s="132" t="n">
        <f aca="false">D35-D34</f>
        <v>153</v>
      </c>
      <c r="E36" s="65" t="s">
        <v>139</v>
      </c>
      <c r="H36" s="122" t="s">
        <v>140</v>
      </c>
      <c r="I36" s="133" t="n">
        <f aca="false">SUM(I29:I35)</f>
        <v>214854227.916139</v>
      </c>
      <c r="J36" s="65"/>
      <c r="L36" s="64" t="s">
        <v>141</v>
      </c>
      <c r="M36" s="64" t="n">
        <f aca="false">P12</f>
        <v>31124591.7808219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134" t="s">
        <v>142</v>
      </c>
      <c r="I37" s="135"/>
      <c r="K37" s="64"/>
      <c r="L37" s="64" t="s">
        <v>143</v>
      </c>
      <c r="M37" s="105" t="n">
        <f aca="false">P13</f>
        <v>11210905.5873718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M38" s="64" t="n">
        <f aca="false">M35-M36-M37</f>
        <v>0</v>
      </c>
      <c r="N38" s="136" t="str">
        <f aca="false">IF(ROUND(M38,0)=0,"OK","Not OK")</f>
        <v>OK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L39" s="64" t="s">
        <v>144</v>
      </c>
      <c r="M39" s="64" t="n">
        <f aca="false">ROUND(M35-SUM(M36:M37),0)</f>
        <v>0</v>
      </c>
      <c r="N39" s="137" t="str">
        <f aca="false">IF(M39=0,"OK","Not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38"/>
      <c r="M43" s="6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9"/>
      <c r="L44" s="65"/>
      <c r="M44" s="65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fals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B54" activeCellId="0" sqref="B5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40" t="s">
        <v>145</v>
      </c>
      <c r="B1" s="140"/>
    </row>
    <row r="3" customFormat="false" ht="15.75" hidden="false" customHeight="false" outlineLevel="0" collapsed="false">
      <c r="A3" s="65" t="s">
        <v>146</v>
      </c>
      <c r="B3" s="66"/>
      <c r="C3" s="64"/>
    </row>
    <row r="4" customFormat="false" ht="15.75" hidden="false" customHeight="false" outlineLevel="0" collapsed="false">
      <c r="A4" s="139" t="s">
        <v>147</v>
      </c>
      <c r="B4" s="90" t="n">
        <f aca="false">IF(Summary!C5&lt;'Cash-Int-Trans'!D4,0,+G4)</f>
        <v>34266411</v>
      </c>
      <c r="C4" s="64"/>
      <c r="D4" s="56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148</v>
      </c>
      <c r="B6" s="141" t="n">
        <f aca="false">SUM(B3:B5)</f>
        <v>34266411</v>
      </c>
      <c r="C6" s="97" t="s">
        <v>82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149</v>
      </c>
      <c r="B8" s="66" t="n">
        <f aca="false">IF(Summary!C5&lt;'Cash-Int-Trans'!D8,0,-Financials!E6+B4)</f>
        <v>-6733589</v>
      </c>
      <c r="C8" s="64"/>
      <c r="D8" s="56" t="n">
        <v>36791</v>
      </c>
    </row>
    <row r="9" customFormat="false" ht="15.75" hidden="false" customHeight="false" outlineLevel="0" collapsed="false">
      <c r="A9" s="64" t="s">
        <v>150</v>
      </c>
      <c r="B9" s="66" t="n">
        <f aca="false">-B8</f>
        <v>6733589</v>
      </c>
      <c r="C9" s="64"/>
      <c r="D9" s="56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151</v>
      </c>
      <c r="B11" s="66"/>
      <c r="C11" s="64"/>
    </row>
    <row r="12" customFormat="false" ht="15.75" hidden="false" customHeight="false" outlineLevel="0" collapsed="false">
      <c r="A12" s="64" t="s">
        <v>152</v>
      </c>
      <c r="B12" s="66" t="n">
        <f aca="false">IF(Summary!C5&lt;'Cash-Int-Trans'!D12,0,-41000000)</f>
        <v>-41000000</v>
      </c>
      <c r="C12" s="64"/>
      <c r="D12" s="56" t="n">
        <v>36791</v>
      </c>
    </row>
    <row r="13" customFormat="false" ht="15.75" hidden="false" customHeight="false" outlineLevel="0" collapsed="false">
      <c r="A13" s="64" t="s">
        <v>153</v>
      </c>
      <c r="B13" s="66" t="n">
        <v>1100000</v>
      </c>
      <c r="C13" s="64"/>
      <c r="D13" s="56" t="n">
        <v>36791</v>
      </c>
    </row>
    <row r="14" customFormat="false" ht="15.75" hidden="false" customHeight="false" outlineLevel="0" collapsed="false">
      <c r="A14" s="64"/>
      <c r="B14" s="66"/>
      <c r="C14" s="64"/>
      <c r="D14" s="56"/>
    </row>
    <row r="15" customFormat="false" ht="15.75" hidden="false" customHeight="false" outlineLevel="0" collapsed="false">
      <c r="A15" s="64" t="s">
        <v>154</v>
      </c>
      <c r="B15" s="66" t="n">
        <f aca="false">IF(Summary!$C$5&lt;'Cash-Int-Trans'!D15,0,-Amort!D11)</f>
        <v>-1779166.66666667</v>
      </c>
      <c r="C15" s="64"/>
      <c r="D15" s="56" t="n">
        <v>36800</v>
      </c>
    </row>
    <row r="16" customFormat="false" ht="15.75" hidden="false" customHeight="false" outlineLevel="0" collapsed="false">
      <c r="A16" s="64" t="s">
        <v>155</v>
      </c>
      <c r="B16" s="66" t="n">
        <f aca="false">-B15</f>
        <v>1779166.66666667</v>
      </c>
      <c r="C16" s="64"/>
      <c r="D16" s="56" t="n">
        <f aca="false">+D15</f>
        <v>36800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40" t="s">
        <v>156</v>
      </c>
      <c r="B18" s="140"/>
    </row>
    <row r="20" customFormat="false" ht="15.75" hidden="false" customHeight="false" outlineLevel="0" collapsed="false">
      <c r="A20" s="0" t="s">
        <v>157</v>
      </c>
      <c r="B20" s="64" t="n">
        <f aca="false">+Financials!B6</f>
        <v>71001000</v>
      </c>
      <c r="D20" s="56" t="n">
        <v>36634</v>
      </c>
    </row>
    <row r="22" customFormat="false" ht="15.75" hidden="false" customHeight="false" outlineLevel="0" collapsed="false">
      <c r="A22" s="0" t="s">
        <v>158</v>
      </c>
      <c r="B22" s="64" t="n">
        <f aca="false">+Financials!I23</f>
        <v>52234497.3681937</v>
      </c>
    </row>
    <row r="23" customFormat="false" ht="15.75" hidden="false" customHeight="false" outlineLevel="0" collapsed="false">
      <c r="A23" s="0" t="s">
        <v>159</v>
      </c>
      <c r="B23" s="64" t="n">
        <f aca="false">-Financials!I15</f>
        <v>-26118016.9520548</v>
      </c>
    </row>
    <row r="24" customFormat="false" ht="15.75" hidden="false" customHeight="false" outlineLevel="0" collapsed="false">
      <c r="A24" s="64" t="str">
        <f aca="false">+Financials!H19</f>
        <v>Unrealized Gains / (Losses)</v>
      </c>
      <c r="B24" s="64" t="n">
        <f aca="false">-Financials!I19</f>
        <v>-0</v>
      </c>
    </row>
    <row r="26" customFormat="false" ht="15.75" hidden="false" customHeight="false" outlineLevel="0" collapsed="false">
      <c r="A26" s="0" t="s">
        <v>160</v>
      </c>
    </row>
    <row r="27" customFormat="false" ht="15.75" hidden="false" customHeight="false" outlineLevel="0" collapsed="false">
      <c r="A27" s="0" t="s">
        <v>161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80</v>
      </c>
      <c r="B28" s="64" t="n">
        <f aca="false">0-Financials!M11</f>
        <v>-1487500</v>
      </c>
    </row>
    <row r="29" customFormat="false" ht="15.75" hidden="false" customHeight="false" outlineLevel="0" collapsed="false">
      <c r="A29" s="0" t="s">
        <v>162</v>
      </c>
      <c r="B29" s="64" t="n">
        <f aca="false">-Financials!E7+Financials!P11</f>
        <v>18722622.0101111</v>
      </c>
    </row>
    <row r="30" customFormat="false" ht="15.75" hidden="false" customHeight="false" outlineLevel="0" collapsed="false">
      <c r="A30" s="0" t="s">
        <v>163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151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164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165</v>
      </c>
      <c r="B35" s="93" t="n">
        <f aca="false">SUM(B20:B34)</f>
        <v>33452602.42625</v>
      </c>
      <c r="D35" s="64" t="n">
        <f aca="false">+B20+B12+B13+B38+B16</f>
        <v>35231769.0929167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40" t="s">
        <v>166</v>
      </c>
      <c r="B37" s="140"/>
      <c r="C37" s="140"/>
      <c r="D37" s="140"/>
      <c r="E37" s="140"/>
      <c r="F37" s="140"/>
    </row>
    <row r="38" customFormat="false" ht="15.75" hidden="false" customHeight="false" outlineLevel="0" collapsed="false">
      <c r="A38" s="142" t="s">
        <v>86</v>
      </c>
      <c r="B38" s="143" t="n">
        <f aca="false">+B44</f>
        <v>2351602.42625</v>
      </c>
    </row>
    <row r="39" customFormat="false" ht="15.75" hidden="false" customHeight="false" outlineLevel="0" collapsed="false">
      <c r="A39" s="144"/>
      <c r="E39" s="145" t="s">
        <v>167</v>
      </c>
      <c r="F39" s="146"/>
    </row>
    <row r="40" customFormat="false" ht="15.75" hidden="false" customHeight="false" outlineLevel="0" collapsed="false">
      <c r="A40" s="0" t="s">
        <v>28</v>
      </c>
      <c r="B40" s="56" t="n">
        <v>36705</v>
      </c>
      <c r="E40" s="56" t="n">
        <v>36692</v>
      </c>
      <c r="F40" s="147" t="n">
        <v>0.074</v>
      </c>
    </row>
    <row r="41" customFormat="false" ht="15.75" hidden="false" customHeight="false" outlineLevel="0" collapsed="false">
      <c r="A41" s="0" t="s">
        <v>157</v>
      </c>
      <c r="B41" s="64" t="n">
        <f aca="false">+Financials!B6</f>
        <v>71001000</v>
      </c>
      <c r="E41" s="56" t="n">
        <v>36722</v>
      </c>
      <c r="F41" s="147" t="n">
        <v>0.0733</v>
      </c>
    </row>
    <row r="42" customFormat="false" ht="15.75" hidden="false" customHeight="false" outlineLevel="0" collapsed="false">
      <c r="A42" s="0" t="s">
        <v>28</v>
      </c>
      <c r="B42" s="56" t="n">
        <f aca="false">IF(Summary!$C$5&lt;'Cash-Int-Trans'!B40,+'Cash-Int-Trans'!B40,Summary!$C$5)</f>
        <v>36859</v>
      </c>
      <c r="E42" s="56" t="n">
        <v>36753</v>
      </c>
      <c r="F42" s="147" t="n">
        <v>0.0724</v>
      </c>
    </row>
    <row r="43" customFormat="false" ht="15.75" hidden="false" customHeight="false" outlineLevel="0" collapsed="false">
      <c r="A43" s="0" t="s">
        <v>168</v>
      </c>
      <c r="B43" s="25" t="n">
        <f aca="false">+B42-B40</f>
        <v>154</v>
      </c>
      <c r="E43" s="56" t="n">
        <v>36784</v>
      </c>
      <c r="F43" s="147" t="n">
        <v>0.072</v>
      </c>
    </row>
    <row r="44" customFormat="false" ht="15.75" hidden="false" customHeight="false" outlineLevel="0" collapsed="false">
      <c r="A44" s="0" t="s">
        <v>169</v>
      </c>
      <c r="B44" s="148" t="n">
        <f aca="false">+B41*(F45+0.0045)/360*B43</f>
        <v>2351602.42625</v>
      </c>
      <c r="E44" s="56" t="n">
        <v>36814</v>
      </c>
      <c r="F44" s="147"/>
    </row>
    <row r="45" customFormat="false" ht="15.75" hidden="false" customHeight="false" outlineLevel="0" collapsed="false">
      <c r="E45" s="149" t="s">
        <v>170</v>
      </c>
      <c r="F45" s="150" t="n">
        <f aca="false">AVERAGE(F40:F44)</f>
        <v>0.072925</v>
      </c>
    </row>
    <row r="46" customFormat="false" ht="16.5" hidden="false" customHeight="false" outlineLevel="0" collapsed="false">
      <c r="A46" s="140" t="s">
        <v>171</v>
      </c>
      <c r="B46" s="140"/>
      <c r="C46" s="140"/>
      <c r="D46" s="140"/>
      <c r="E46" s="140"/>
      <c r="F46" s="140"/>
    </row>
    <row r="47" customFormat="false" ht="15.75" hidden="false" customHeight="false" outlineLevel="0" collapsed="false">
      <c r="A47" s="142" t="s">
        <v>172</v>
      </c>
      <c r="B47" s="143" t="n">
        <f aca="false">+B49+B56</f>
        <v>11989033.0101111</v>
      </c>
    </row>
    <row r="48" customFormat="false" ht="15.75" hidden="false" customHeight="false" outlineLevel="0" collapsed="false">
      <c r="A48" s="144"/>
    </row>
    <row r="49" customFormat="false" ht="15.75" hidden="false" customHeight="false" outlineLevel="0" collapsed="false">
      <c r="A49" s="0" t="s">
        <v>173</v>
      </c>
      <c r="B49" s="25" t="n">
        <f aca="false">+Amort!B61</f>
        <v>11900000</v>
      </c>
      <c r="E49" s="145"/>
      <c r="F49" s="145"/>
    </row>
    <row r="50" customFormat="false" ht="15.75" hidden="false" customHeight="false" outlineLevel="0" collapsed="false">
      <c r="B50" s="25"/>
      <c r="E50" s="145"/>
      <c r="F50" s="146"/>
    </row>
    <row r="51" customFormat="false" ht="15.75" hidden="false" customHeight="false" outlineLevel="0" collapsed="false">
      <c r="A51" s="0" t="s">
        <v>174</v>
      </c>
      <c r="B51" s="64"/>
      <c r="E51" s="138"/>
      <c r="F51" s="147"/>
    </row>
    <row r="52" customFormat="false" ht="15.75" hidden="false" customHeight="false" outlineLevel="0" collapsed="false">
      <c r="A52" s="0" t="s">
        <v>175</v>
      </c>
      <c r="B52" s="56" t="n">
        <v>36791</v>
      </c>
      <c r="E52" s="138"/>
      <c r="F52" s="147"/>
    </row>
    <row r="53" customFormat="false" ht="15.75" hidden="false" customHeight="false" outlineLevel="0" collapsed="false">
      <c r="A53" s="0" t="s">
        <v>176</v>
      </c>
      <c r="B53" s="25" t="n">
        <f aca="false">+B9</f>
        <v>6733589</v>
      </c>
      <c r="E53" s="138"/>
      <c r="F53" s="147"/>
    </row>
    <row r="54" customFormat="false" ht="15.75" hidden="false" customHeight="false" outlineLevel="0" collapsed="false">
      <c r="A54" s="0" t="s">
        <v>28</v>
      </c>
      <c r="B54" s="56" t="n">
        <f aca="false">IF(+Summary!C5&gt;Amort!A43,Amort!A43,Summary!C5)</f>
        <v>36859</v>
      </c>
    </row>
    <row r="55" customFormat="false" ht="15.75" hidden="false" customHeight="false" outlineLevel="0" collapsed="false">
      <c r="A55" s="0" t="s">
        <v>168</v>
      </c>
      <c r="B55" s="25" t="n">
        <f aca="false">+B54-B52</f>
        <v>68</v>
      </c>
    </row>
    <row r="56" customFormat="false" ht="15.75" hidden="false" customHeight="false" outlineLevel="0" collapsed="false">
      <c r="A56" s="0" t="s">
        <v>177</v>
      </c>
      <c r="B56" s="148" t="n">
        <f aca="false">+B53*0.07/360*B55</f>
        <v>89033.0101111111</v>
      </c>
    </row>
    <row r="58" customFormat="false" ht="16.5" hidden="false" customHeight="false" outlineLevel="0" collapsed="false">
      <c r="A58" s="140" t="s">
        <v>178</v>
      </c>
      <c r="B58" s="140"/>
      <c r="C58" s="140"/>
      <c r="D58" s="140"/>
      <c r="E58" s="140"/>
      <c r="F58" s="140"/>
    </row>
    <row r="60" customFormat="false" ht="15.75" hidden="false" customHeight="false" outlineLevel="0" collapsed="false">
      <c r="A60" s="0" t="s">
        <v>36</v>
      </c>
      <c r="B60" s="56" t="n">
        <f aca="false">+Summary!C5</f>
        <v>36859</v>
      </c>
    </row>
    <row r="61" customFormat="false" ht="15.75" hidden="false" customHeight="false" outlineLevel="0" collapsed="false">
      <c r="A61" s="0" t="s">
        <v>179</v>
      </c>
      <c r="B61" s="56" t="n">
        <v>36706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180</v>
      </c>
      <c r="B62" s="56" t="n">
        <v>36791</v>
      </c>
      <c r="D62" s="15" t="n">
        <f aca="false">IF(B60&gt;(B62-1),1100000,0)</f>
        <v>1100000</v>
      </c>
    </row>
    <row r="63" customFormat="false" ht="18" hidden="false" customHeight="false" outlineLevel="0" collapsed="false">
      <c r="A63" s="0" t="s">
        <v>181</v>
      </c>
      <c r="B63" s="56" t="n">
        <f aca="false">+Summary!C5</f>
        <v>36859</v>
      </c>
      <c r="D63" s="151" t="n">
        <f aca="false">IF(B63&gt;B62,+(+B63-B62)/365*0.12*D62,0)</f>
        <v>24591.7808219178</v>
      </c>
    </row>
    <row r="64" customFormat="false" ht="15.75" hidden="false" customHeight="false" outlineLevel="0" collapsed="false">
      <c r="A64" s="0" t="s">
        <v>182</v>
      </c>
      <c r="D64" s="46" t="n">
        <f aca="false">SUM(D61:D63)</f>
        <v>31124591.7808219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183</v>
      </c>
      <c r="B1" s="67"/>
      <c r="G1" s="139"/>
      <c r="H1" s="139"/>
    </row>
    <row r="2" customFormat="false" ht="15.75" hidden="false" customHeight="false" outlineLevel="0" collapsed="false">
      <c r="B2" s="152" t="s">
        <v>184</v>
      </c>
    </row>
    <row r="3" customFormat="false" ht="15.75" hidden="false" customHeight="false" outlineLevel="0" collapsed="false">
      <c r="A3" s="64" t="s">
        <v>185</v>
      </c>
      <c r="B3" s="153" t="n">
        <v>50000000</v>
      </c>
    </row>
    <row r="4" customFormat="false" ht="15.75" hidden="false" customHeight="false" outlineLevel="0" collapsed="false">
      <c r="A4" s="64" t="s">
        <v>186</v>
      </c>
      <c r="B4" s="154" t="n">
        <v>0.07</v>
      </c>
    </row>
    <row r="5" customFormat="false" ht="15.75" hidden="false" customHeight="false" outlineLevel="0" collapsed="false">
      <c r="A5" s="64" t="s">
        <v>187</v>
      </c>
      <c r="B5" s="155" t="n">
        <f aca="false">5*12</f>
        <v>60</v>
      </c>
    </row>
    <row r="6" customFormat="false" ht="15.75" hidden="false" customHeight="false" outlineLevel="0" collapsed="false">
      <c r="A6" s="64" t="s">
        <v>188</v>
      </c>
      <c r="B6" s="156" t="n">
        <v>2</v>
      </c>
    </row>
    <row r="7" customFormat="false" ht="15.75" hidden="false" customHeight="false" outlineLevel="0" collapsed="false">
      <c r="A7" s="64" t="s">
        <v>189</v>
      </c>
      <c r="B7" s="64" t="n">
        <v>0</v>
      </c>
    </row>
    <row r="9" customFormat="false" ht="25.5" hidden="false" customHeight="false" outlineLevel="0" collapsed="false">
      <c r="A9" s="157"/>
      <c r="B9" s="158" t="s">
        <v>190</v>
      </c>
      <c r="C9" s="159" t="s">
        <v>157</v>
      </c>
      <c r="D9" s="159" t="s">
        <v>189</v>
      </c>
      <c r="E9" s="159" t="s">
        <v>185</v>
      </c>
      <c r="F9" s="159" t="s">
        <v>169</v>
      </c>
      <c r="G9" s="159" t="s">
        <v>165</v>
      </c>
      <c r="H9" s="159" t="s">
        <v>191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</row>
    <row r="10" customFormat="false" ht="15.75" hidden="false" customHeight="false" outlineLevel="0" collapsed="false">
      <c r="A10" s="56" t="n">
        <v>36706</v>
      </c>
      <c r="B10" s="160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6" t="n">
        <f aca="false">+A10</f>
        <v>36706</v>
      </c>
    </row>
    <row r="11" customFormat="false" ht="15.75" hidden="false" customHeight="false" outlineLevel="0" collapsed="false">
      <c r="A11" s="56" t="n">
        <v>36889</v>
      </c>
      <c r="B11" s="160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6" t="n">
        <f aca="false">+A11</f>
        <v>36889</v>
      </c>
    </row>
    <row r="12" customFormat="false" ht="15.75" hidden="false" customHeight="false" outlineLevel="0" collapsed="false">
      <c r="A12" s="56" t="n">
        <v>37071</v>
      </c>
      <c r="B12" s="160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6" t="n">
        <f aca="false">+A12</f>
        <v>37071</v>
      </c>
    </row>
    <row r="13" customFormat="false" ht="15.75" hidden="false" customHeight="false" outlineLevel="0" collapsed="false">
      <c r="A13" s="56" t="n">
        <v>37254</v>
      </c>
      <c r="B13" s="160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6" t="n">
        <f aca="false">+A13</f>
        <v>37254</v>
      </c>
    </row>
    <row r="14" customFormat="false" ht="15.75" hidden="false" customHeight="false" outlineLevel="0" collapsed="false">
      <c r="A14" s="56" t="n">
        <v>37436</v>
      </c>
      <c r="B14" s="160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6" t="n">
        <f aca="false">+A14</f>
        <v>37436</v>
      </c>
    </row>
    <row r="15" customFormat="false" ht="15.75" hidden="false" customHeight="false" outlineLevel="0" collapsed="false">
      <c r="A15" s="56" t="n">
        <v>37619</v>
      </c>
      <c r="B15" s="160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6" t="n">
        <f aca="false">+A15</f>
        <v>37619</v>
      </c>
    </row>
    <row r="16" customFormat="false" ht="15.75" hidden="false" customHeight="false" outlineLevel="0" collapsed="false">
      <c r="A16" s="56" t="n">
        <v>37801</v>
      </c>
      <c r="B16" s="160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6" t="n">
        <f aca="false">+A16</f>
        <v>37801</v>
      </c>
    </row>
    <row r="17" customFormat="false" ht="15.75" hidden="false" customHeight="false" outlineLevel="0" collapsed="false">
      <c r="A17" s="56" t="n">
        <v>37984</v>
      </c>
      <c r="B17" s="160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6" t="n">
        <f aca="false">+A17</f>
        <v>37984</v>
      </c>
    </row>
    <row r="18" customFormat="false" ht="15.75" hidden="false" customHeight="false" outlineLevel="0" collapsed="false">
      <c r="A18" s="56" t="n">
        <v>38167</v>
      </c>
      <c r="B18" s="160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6" t="n">
        <f aca="false">+A18</f>
        <v>38167</v>
      </c>
    </row>
    <row r="19" customFormat="false" ht="15.75" hidden="false" customHeight="false" outlineLevel="0" collapsed="false">
      <c r="A19" s="56" t="n">
        <v>38350</v>
      </c>
      <c r="B19" s="160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6" t="n">
        <f aca="false">+A19</f>
        <v>38350</v>
      </c>
    </row>
    <row r="20" customFormat="false" ht="15.75" hidden="false" customHeight="false" outlineLevel="0" collapsed="false">
      <c r="A20" s="56" t="n">
        <v>38532</v>
      </c>
      <c r="B20" s="160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6" t="n">
        <f aca="false">+A20</f>
        <v>38532</v>
      </c>
    </row>
    <row r="21" customFormat="false" ht="16.5" hidden="false" customHeight="false" outlineLevel="0" collapsed="false">
      <c r="A21" s="56"/>
      <c r="B21" s="56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61"/>
      <c r="B22" s="161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2"/>
      <c r="BS22" s="162"/>
      <c r="BT22" s="162"/>
      <c r="BU22" s="162"/>
      <c r="BV22" s="162"/>
      <c r="BW22" s="162"/>
      <c r="BX22" s="162"/>
      <c r="BY22" s="162"/>
      <c r="BZ22" s="162"/>
      <c r="CA22" s="162"/>
      <c r="CB22" s="162"/>
      <c r="CC22" s="162"/>
      <c r="CD22" s="162"/>
      <c r="CE22" s="162"/>
      <c r="CF22" s="162"/>
      <c r="CG22" s="162"/>
      <c r="CH22" s="162"/>
      <c r="CI22" s="162"/>
      <c r="CJ22" s="162"/>
      <c r="CK22" s="162"/>
      <c r="CL22" s="162"/>
      <c r="CM22" s="162"/>
      <c r="CN22" s="162"/>
      <c r="CO22" s="162"/>
      <c r="CP22" s="162"/>
      <c r="CQ22" s="162"/>
      <c r="CR22" s="162"/>
      <c r="CS22" s="162"/>
      <c r="CT22" s="162"/>
      <c r="CU22" s="162"/>
      <c r="CV22" s="162"/>
      <c r="CW22" s="162"/>
      <c r="CX22" s="162"/>
      <c r="CY22" s="162"/>
      <c r="CZ22" s="162"/>
      <c r="DA22" s="162"/>
      <c r="DB22" s="162"/>
      <c r="DC22" s="162"/>
      <c r="DD22" s="162"/>
      <c r="DE22" s="162"/>
      <c r="DF22" s="162"/>
      <c r="DG22" s="162"/>
      <c r="DH22" s="162"/>
      <c r="DI22" s="162"/>
      <c r="DJ22" s="162"/>
      <c r="DK22" s="162"/>
      <c r="DL22" s="162"/>
      <c r="DM22" s="162"/>
      <c r="DN22" s="162"/>
      <c r="DO22" s="162"/>
      <c r="DP22" s="162"/>
      <c r="DQ22" s="162"/>
      <c r="DR22" s="162"/>
      <c r="DS22" s="162"/>
      <c r="DT22" s="162"/>
      <c r="DU22" s="162"/>
      <c r="DV22" s="162"/>
      <c r="DW22" s="162"/>
      <c r="DX22" s="162"/>
      <c r="DY22" s="162"/>
      <c r="DZ22" s="162"/>
      <c r="EA22" s="162"/>
      <c r="EB22" s="162"/>
      <c r="EC22" s="162"/>
      <c r="ED22" s="162"/>
      <c r="EE22" s="162"/>
      <c r="EF22" s="162"/>
      <c r="EG22" s="162"/>
      <c r="EH22" s="162"/>
      <c r="EI22" s="162"/>
      <c r="EJ22" s="162"/>
      <c r="EK22" s="162"/>
      <c r="EL22" s="162"/>
      <c r="EM22" s="162"/>
      <c r="EN22" s="162"/>
      <c r="EO22" s="162"/>
      <c r="EP22" s="162"/>
      <c r="EQ22" s="162"/>
      <c r="ER22" s="162"/>
      <c r="ES22" s="162"/>
      <c r="ET22" s="162"/>
      <c r="EU22" s="162"/>
      <c r="EV22" s="162"/>
      <c r="EW22" s="162"/>
      <c r="EX22" s="162"/>
      <c r="EY22" s="162"/>
      <c r="EZ22" s="162"/>
      <c r="FA22" s="162"/>
      <c r="FB22" s="162"/>
      <c r="FC22" s="162"/>
      <c r="FD22" s="162"/>
      <c r="FE22" s="162"/>
      <c r="FF22" s="162"/>
      <c r="FG22" s="162"/>
      <c r="FH22" s="162"/>
      <c r="FI22" s="162"/>
      <c r="FJ22" s="162"/>
      <c r="FK22" s="162"/>
      <c r="FL22" s="162"/>
      <c r="FM22" s="162"/>
      <c r="FN22" s="162"/>
      <c r="FO22" s="162"/>
      <c r="FP22" s="162"/>
      <c r="FQ22" s="162"/>
      <c r="FR22" s="162"/>
      <c r="FS22" s="162"/>
      <c r="FT22" s="162"/>
      <c r="FU22" s="162"/>
      <c r="FV22" s="162"/>
      <c r="FW22" s="162"/>
      <c r="FX22" s="162"/>
      <c r="FY22" s="162"/>
      <c r="FZ22" s="162"/>
      <c r="GA22" s="162"/>
      <c r="GB22" s="162"/>
      <c r="GC22" s="162"/>
      <c r="GD22" s="162"/>
      <c r="GE22" s="162"/>
      <c r="GF22" s="162"/>
      <c r="GG22" s="162"/>
      <c r="GH22" s="162"/>
      <c r="GI22" s="162"/>
      <c r="GJ22" s="162"/>
      <c r="GK22" s="162"/>
      <c r="GL22" s="162"/>
      <c r="GM22" s="162"/>
      <c r="GN22" s="162"/>
      <c r="GO22" s="162"/>
      <c r="GP22" s="162"/>
      <c r="GQ22" s="162"/>
      <c r="GR22" s="162"/>
      <c r="GS22" s="162"/>
      <c r="GT22" s="162"/>
      <c r="GU22" s="162"/>
      <c r="GV22" s="162"/>
      <c r="GW22" s="162"/>
      <c r="GX22" s="162"/>
      <c r="GY22" s="162"/>
      <c r="GZ22" s="162"/>
      <c r="HA22" s="162"/>
      <c r="HB22" s="162"/>
      <c r="HC22" s="162"/>
      <c r="HD22" s="162"/>
      <c r="HE22" s="162"/>
      <c r="HF22" s="162"/>
      <c r="HG22" s="162"/>
      <c r="HH22" s="162"/>
      <c r="HI22" s="162"/>
      <c r="HJ22" s="162"/>
      <c r="HK22" s="162"/>
      <c r="HL22" s="162"/>
      <c r="HM22" s="162"/>
      <c r="HN22" s="162"/>
      <c r="HO22" s="162"/>
      <c r="HP22" s="162"/>
      <c r="HQ22" s="162"/>
      <c r="HR22" s="162"/>
      <c r="HS22" s="162"/>
      <c r="HT22" s="162"/>
      <c r="HU22" s="162"/>
      <c r="HV22" s="162"/>
      <c r="HW22" s="162"/>
      <c r="HX22" s="162"/>
      <c r="HY22" s="162"/>
      <c r="HZ22" s="162"/>
      <c r="IA22" s="162"/>
      <c r="IB22" s="162"/>
      <c r="IC22" s="162"/>
      <c r="ID22" s="162"/>
      <c r="IE22" s="162"/>
      <c r="IF22" s="162"/>
      <c r="IG22" s="162"/>
      <c r="IH22" s="162"/>
      <c r="II22" s="162"/>
      <c r="IJ22" s="162"/>
      <c r="IK22" s="162"/>
      <c r="IL22" s="162"/>
      <c r="IM22" s="162"/>
      <c r="IN22" s="162"/>
      <c r="IO22" s="162"/>
      <c r="IP22" s="162"/>
      <c r="IQ22" s="162"/>
      <c r="IR22" s="162"/>
      <c r="IS22" s="162"/>
      <c r="IT22" s="162"/>
      <c r="IU22" s="162"/>
      <c r="IV22" s="162"/>
      <c r="IW22" s="162"/>
    </row>
    <row r="23" customFormat="false" ht="15.75" hidden="false" customHeight="false" outlineLevel="0" collapsed="false">
      <c r="A23" s="163" t="n">
        <f aca="false">+Summary!C5</f>
        <v>36859</v>
      </c>
      <c r="B23" s="163"/>
      <c r="C23" s="162"/>
      <c r="D23" s="162"/>
      <c r="E23" s="162" t="s">
        <v>190</v>
      </c>
      <c r="F23" s="162" t="n">
        <f aca="false">VLOOKUP(+A23,Amort,2)</f>
        <v>0</v>
      </c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62"/>
      <c r="CQ23" s="162"/>
      <c r="CR23" s="162"/>
      <c r="CS23" s="162"/>
      <c r="CT23" s="162"/>
      <c r="CU23" s="162"/>
      <c r="CV23" s="162"/>
      <c r="CW23" s="162"/>
      <c r="CX23" s="162"/>
      <c r="CY23" s="162"/>
      <c r="CZ23" s="162"/>
      <c r="DA23" s="162"/>
      <c r="DB23" s="162"/>
      <c r="DC23" s="162"/>
      <c r="DD23" s="162"/>
      <c r="DE23" s="162"/>
      <c r="DF23" s="162"/>
      <c r="DG23" s="162"/>
      <c r="DH23" s="162"/>
      <c r="DI23" s="162"/>
      <c r="DJ23" s="162"/>
      <c r="DK23" s="162"/>
      <c r="DL23" s="162"/>
      <c r="DM23" s="162"/>
      <c r="DN23" s="162"/>
      <c r="DO23" s="162"/>
      <c r="DP23" s="162"/>
      <c r="DQ23" s="162"/>
      <c r="DR23" s="162"/>
      <c r="DS23" s="162"/>
      <c r="DT23" s="162"/>
      <c r="DU23" s="162"/>
      <c r="DV23" s="162"/>
      <c r="DW23" s="162"/>
      <c r="DX23" s="162"/>
      <c r="DY23" s="162"/>
      <c r="DZ23" s="162"/>
      <c r="EA23" s="162"/>
      <c r="EB23" s="162"/>
      <c r="EC23" s="162"/>
      <c r="ED23" s="162"/>
      <c r="EE23" s="162"/>
      <c r="EF23" s="162"/>
      <c r="EG23" s="162"/>
      <c r="EH23" s="162"/>
      <c r="EI23" s="162"/>
      <c r="EJ23" s="162"/>
      <c r="EK23" s="162"/>
      <c r="EL23" s="162"/>
      <c r="EM23" s="162"/>
      <c r="EN23" s="162"/>
      <c r="EO23" s="162"/>
      <c r="EP23" s="162"/>
      <c r="EQ23" s="162"/>
      <c r="ER23" s="162"/>
      <c r="ES23" s="162"/>
      <c r="ET23" s="162"/>
      <c r="EU23" s="162"/>
      <c r="EV23" s="162"/>
      <c r="EW23" s="162"/>
      <c r="EX23" s="162"/>
      <c r="EY23" s="162"/>
      <c r="EZ23" s="162"/>
      <c r="FA23" s="162"/>
      <c r="FB23" s="162"/>
      <c r="FC23" s="162"/>
      <c r="FD23" s="162"/>
      <c r="FE23" s="162"/>
      <c r="FF23" s="162"/>
      <c r="FG23" s="162"/>
      <c r="FH23" s="162"/>
      <c r="FI23" s="162"/>
      <c r="FJ23" s="162"/>
      <c r="FK23" s="162"/>
      <c r="FL23" s="162"/>
      <c r="FM23" s="162"/>
      <c r="FN23" s="162"/>
      <c r="FO23" s="162"/>
      <c r="FP23" s="162"/>
      <c r="FQ23" s="162"/>
      <c r="FR23" s="162"/>
      <c r="FS23" s="162"/>
      <c r="FT23" s="162"/>
      <c r="FU23" s="162"/>
      <c r="FV23" s="162"/>
      <c r="FW23" s="162"/>
      <c r="FX23" s="162"/>
      <c r="FY23" s="162"/>
      <c r="FZ23" s="162"/>
      <c r="GA23" s="162"/>
      <c r="GB23" s="162"/>
      <c r="GC23" s="162"/>
      <c r="GD23" s="162"/>
      <c r="GE23" s="162"/>
      <c r="GF23" s="162"/>
      <c r="GG23" s="162"/>
      <c r="GH23" s="162"/>
      <c r="GI23" s="162"/>
      <c r="GJ23" s="162"/>
      <c r="GK23" s="162"/>
      <c r="GL23" s="162"/>
      <c r="GM23" s="162"/>
      <c r="GN23" s="162"/>
      <c r="GO23" s="162"/>
      <c r="GP23" s="162"/>
      <c r="GQ23" s="162"/>
      <c r="GR23" s="162"/>
      <c r="GS23" s="162"/>
      <c r="GT23" s="162"/>
      <c r="GU23" s="162"/>
      <c r="GV23" s="162"/>
      <c r="GW23" s="162"/>
      <c r="GX23" s="162"/>
      <c r="GY23" s="162"/>
      <c r="GZ23" s="162"/>
      <c r="HA23" s="162"/>
      <c r="HB23" s="162"/>
      <c r="HC23" s="162"/>
      <c r="HD23" s="162"/>
      <c r="HE23" s="162"/>
      <c r="HF23" s="162"/>
      <c r="HG23" s="162"/>
      <c r="HH23" s="162"/>
      <c r="HI23" s="162"/>
      <c r="HJ23" s="162"/>
      <c r="HK23" s="162"/>
      <c r="HL23" s="162"/>
      <c r="HM23" s="162"/>
      <c r="HN23" s="162"/>
      <c r="HO23" s="162"/>
      <c r="HP23" s="162"/>
      <c r="HQ23" s="162"/>
      <c r="HR23" s="162"/>
      <c r="HS23" s="162"/>
      <c r="HT23" s="162"/>
      <c r="HU23" s="162"/>
      <c r="HV23" s="162"/>
      <c r="HW23" s="162"/>
      <c r="HX23" s="162"/>
      <c r="HY23" s="162"/>
      <c r="HZ23" s="162"/>
      <c r="IA23" s="162"/>
      <c r="IB23" s="162"/>
      <c r="IC23" s="162"/>
      <c r="ID23" s="162"/>
      <c r="IE23" s="162"/>
      <c r="IF23" s="162"/>
      <c r="IG23" s="162"/>
      <c r="IH23" s="162"/>
      <c r="II23" s="162"/>
      <c r="IJ23" s="162"/>
      <c r="IK23" s="162"/>
      <c r="IL23" s="162"/>
      <c r="IM23" s="162"/>
      <c r="IN23" s="162"/>
      <c r="IO23" s="162"/>
      <c r="IP23" s="162"/>
      <c r="IQ23" s="162"/>
      <c r="IR23" s="162"/>
      <c r="IS23" s="162"/>
      <c r="IT23" s="162"/>
      <c r="IU23" s="162"/>
      <c r="IV23" s="162"/>
      <c r="IW23" s="162"/>
    </row>
    <row r="24" customFormat="false" ht="15.75" hidden="false" customHeight="false" outlineLevel="0" collapsed="false">
      <c r="A24" s="162" t="s">
        <v>192</v>
      </c>
      <c r="B24" s="162" t="n">
        <v>0</v>
      </c>
      <c r="C24" s="162"/>
      <c r="D24" s="162"/>
      <c r="E24" s="162" t="s">
        <v>28</v>
      </c>
      <c r="F24" s="161" t="n">
        <f aca="false">VLOOKUP(+A23,Amort,1)</f>
        <v>36706</v>
      </c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162"/>
      <c r="CU24" s="162"/>
      <c r="CV24" s="162"/>
      <c r="CW24" s="162"/>
      <c r="CX24" s="162"/>
      <c r="CY24" s="162"/>
      <c r="CZ24" s="162"/>
      <c r="DA24" s="162"/>
      <c r="DB24" s="162"/>
      <c r="DC24" s="162"/>
      <c r="DD24" s="162"/>
      <c r="DE24" s="162"/>
      <c r="DF24" s="162"/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2"/>
      <c r="DT24" s="162"/>
      <c r="DU24" s="162"/>
      <c r="DV24" s="162"/>
      <c r="DW24" s="162"/>
      <c r="DX24" s="162"/>
      <c r="DY24" s="162"/>
      <c r="DZ24" s="162"/>
      <c r="EA24" s="162"/>
      <c r="EB24" s="162"/>
      <c r="EC24" s="162"/>
      <c r="ED24" s="162"/>
      <c r="EE24" s="162"/>
      <c r="EF24" s="162"/>
      <c r="EG24" s="162"/>
      <c r="EH24" s="162"/>
      <c r="EI24" s="162"/>
      <c r="EJ24" s="162"/>
      <c r="EK24" s="162"/>
      <c r="EL24" s="162"/>
      <c r="EM24" s="162"/>
      <c r="EN24" s="162"/>
      <c r="EO24" s="162"/>
      <c r="EP24" s="162"/>
      <c r="EQ24" s="162"/>
      <c r="ER24" s="162"/>
      <c r="ES24" s="162"/>
      <c r="ET24" s="162"/>
      <c r="EU24" s="162"/>
      <c r="EV24" s="162"/>
      <c r="EW24" s="162"/>
      <c r="EX24" s="162"/>
      <c r="EY24" s="162"/>
      <c r="EZ24" s="162"/>
      <c r="FA24" s="162"/>
      <c r="FB24" s="162"/>
      <c r="FC24" s="162"/>
      <c r="FD24" s="162"/>
      <c r="FE24" s="162"/>
      <c r="FF24" s="162"/>
      <c r="FG24" s="162"/>
      <c r="FH24" s="162"/>
      <c r="FI24" s="162"/>
      <c r="FJ24" s="162"/>
      <c r="FK24" s="162"/>
      <c r="FL24" s="162"/>
      <c r="FM24" s="162"/>
      <c r="FN24" s="162"/>
      <c r="FO24" s="162"/>
      <c r="FP24" s="162"/>
      <c r="FQ24" s="162"/>
      <c r="FR24" s="162"/>
      <c r="FS24" s="162"/>
      <c r="FT24" s="162"/>
      <c r="FU24" s="162"/>
      <c r="FV24" s="162"/>
      <c r="FW24" s="162"/>
      <c r="FX24" s="162"/>
      <c r="FY24" s="162"/>
      <c r="FZ24" s="162"/>
      <c r="GA24" s="162"/>
      <c r="GB24" s="162"/>
      <c r="GC24" s="162"/>
      <c r="GD24" s="162"/>
      <c r="GE24" s="162"/>
      <c r="GF24" s="162"/>
      <c r="GG24" s="162"/>
      <c r="GH24" s="162"/>
      <c r="GI24" s="162"/>
      <c r="GJ24" s="162"/>
      <c r="GK24" s="162"/>
      <c r="GL24" s="162"/>
      <c r="GM24" s="162"/>
      <c r="GN24" s="162"/>
      <c r="GO24" s="162"/>
      <c r="GP24" s="162"/>
      <c r="GQ24" s="162"/>
      <c r="GR24" s="162"/>
      <c r="GS24" s="162"/>
      <c r="GT24" s="162"/>
      <c r="GU24" s="162"/>
      <c r="GV24" s="162"/>
      <c r="GW24" s="162"/>
      <c r="GX24" s="162"/>
      <c r="GY24" s="162"/>
      <c r="GZ24" s="162"/>
      <c r="HA24" s="162"/>
      <c r="HB24" s="162"/>
      <c r="HC24" s="162"/>
      <c r="HD24" s="162"/>
      <c r="HE24" s="162"/>
      <c r="HF24" s="162"/>
      <c r="HG24" s="162"/>
      <c r="HH24" s="162"/>
      <c r="HI24" s="162"/>
      <c r="HJ24" s="162"/>
      <c r="HK24" s="162"/>
      <c r="HL24" s="162"/>
      <c r="HM24" s="162"/>
      <c r="HN24" s="162"/>
      <c r="HO24" s="162"/>
      <c r="HP24" s="162"/>
      <c r="HQ24" s="162"/>
      <c r="HR24" s="162"/>
      <c r="HS24" s="162"/>
      <c r="HT24" s="162"/>
      <c r="HU24" s="162"/>
      <c r="HV24" s="162"/>
      <c r="HW24" s="162"/>
      <c r="HX24" s="162"/>
      <c r="HY24" s="162"/>
      <c r="HZ24" s="162"/>
      <c r="IA24" s="162"/>
      <c r="IB24" s="162"/>
      <c r="IC24" s="162"/>
      <c r="ID24" s="162"/>
      <c r="IE24" s="162"/>
      <c r="IF24" s="162"/>
      <c r="IG24" s="162"/>
      <c r="IH24" s="162"/>
      <c r="II24" s="162"/>
      <c r="IJ24" s="162"/>
      <c r="IK24" s="162"/>
      <c r="IL24" s="162"/>
      <c r="IM24" s="162"/>
      <c r="IN24" s="162"/>
      <c r="IO24" s="162"/>
      <c r="IP24" s="162"/>
      <c r="IQ24" s="162"/>
      <c r="IR24" s="162"/>
      <c r="IS24" s="162"/>
      <c r="IT24" s="162"/>
      <c r="IU24" s="162"/>
      <c r="IV24" s="162"/>
      <c r="IW24" s="162"/>
    </row>
    <row r="25" customFormat="false" ht="15.75" hidden="false" customHeight="false" outlineLevel="0" collapsed="false">
      <c r="A25" s="162" t="s">
        <v>193</v>
      </c>
      <c r="B25" s="164" t="n">
        <f aca="false">VLOOKUP(+A23,Note,8)</f>
        <v>0</v>
      </c>
      <c r="C25" s="162"/>
      <c r="D25" s="162"/>
      <c r="E25" s="162" t="s">
        <v>194</v>
      </c>
      <c r="F25" s="162" t="n">
        <f aca="false">VLOOKUP(+F23+1,NotePeriod,5)</f>
        <v>1779166.66666667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U25" s="162"/>
      <c r="CV25" s="162"/>
      <c r="CW25" s="162"/>
      <c r="CX25" s="162"/>
      <c r="CY25" s="162"/>
      <c r="CZ25" s="162"/>
      <c r="DA25" s="162"/>
      <c r="DB25" s="162"/>
      <c r="DC25" s="162"/>
      <c r="DD25" s="162"/>
      <c r="DE25" s="162"/>
      <c r="DF25" s="162"/>
      <c r="DG25" s="162"/>
      <c r="DH25" s="162"/>
      <c r="DI25" s="162"/>
      <c r="DJ25" s="162"/>
      <c r="DK25" s="162"/>
      <c r="DL25" s="162"/>
      <c r="DM25" s="162"/>
      <c r="DN25" s="162"/>
      <c r="DO25" s="162"/>
      <c r="DP25" s="162"/>
      <c r="DQ25" s="162"/>
      <c r="DR25" s="162"/>
      <c r="DS25" s="162"/>
      <c r="DT25" s="162"/>
      <c r="DU25" s="162"/>
      <c r="DV25" s="162"/>
      <c r="DW25" s="162"/>
      <c r="DX25" s="162"/>
      <c r="DY25" s="162"/>
      <c r="DZ25" s="162"/>
      <c r="EA25" s="162"/>
      <c r="EB25" s="162"/>
      <c r="EC25" s="162"/>
      <c r="ED25" s="162"/>
      <c r="EE25" s="162"/>
      <c r="EF25" s="162"/>
      <c r="EG25" s="162"/>
      <c r="EH25" s="162"/>
      <c r="EI25" s="162"/>
      <c r="EJ25" s="162"/>
      <c r="EK25" s="162"/>
      <c r="EL25" s="162"/>
      <c r="EM25" s="162"/>
      <c r="EN25" s="162"/>
      <c r="EO25" s="162"/>
      <c r="EP25" s="162"/>
      <c r="EQ25" s="162"/>
      <c r="ER25" s="162"/>
      <c r="ES25" s="162"/>
      <c r="ET25" s="162"/>
      <c r="EU25" s="162"/>
      <c r="EV25" s="162"/>
      <c r="EW25" s="162"/>
      <c r="EX25" s="162"/>
      <c r="EY25" s="162"/>
      <c r="EZ25" s="162"/>
      <c r="FA25" s="162"/>
      <c r="FB25" s="162"/>
      <c r="FC25" s="162"/>
      <c r="FD25" s="162"/>
      <c r="FE25" s="162"/>
      <c r="FF25" s="162"/>
      <c r="FG25" s="162"/>
      <c r="FH25" s="162"/>
      <c r="FI25" s="162"/>
      <c r="FJ25" s="162"/>
      <c r="FK25" s="162"/>
      <c r="FL25" s="162"/>
      <c r="FM25" s="162"/>
      <c r="FN25" s="162"/>
      <c r="FO25" s="162"/>
      <c r="FP25" s="162"/>
      <c r="FQ25" s="162"/>
      <c r="FR25" s="162"/>
      <c r="FS25" s="162"/>
      <c r="FT25" s="162"/>
      <c r="FU25" s="162"/>
      <c r="FV25" s="162"/>
      <c r="FW25" s="162"/>
      <c r="FX25" s="162"/>
      <c r="FY25" s="162"/>
      <c r="FZ25" s="162"/>
      <c r="GA25" s="162"/>
      <c r="GB25" s="162"/>
      <c r="GC25" s="162"/>
      <c r="GD25" s="162"/>
      <c r="GE25" s="162"/>
      <c r="GF25" s="162"/>
      <c r="GG25" s="162"/>
      <c r="GH25" s="162"/>
      <c r="GI25" s="162"/>
      <c r="GJ25" s="162"/>
      <c r="GK25" s="162"/>
      <c r="GL25" s="162"/>
      <c r="GM25" s="162"/>
      <c r="GN25" s="162"/>
      <c r="GO25" s="162"/>
      <c r="GP25" s="162"/>
      <c r="GQ25" s="162"/>
      <c r="GR25" s="162"/>
      <c r="GS25" s="162"/>
      <c r="GT25" s="162"/>
      <c r="GU25" s="162"/>
      <c r="GV25" s="162"/>
      <c r="GW25" s="162"/>
      <c r="GX25" s="162"/>
      <c r="GY25" s="162"/>
      <c r="GZ25" s="162"/>
      <c r="HA25" s="162"/>
      <c r="HB25" s="162"/>
      <c r="HC25" s="162"/>
      <c r="HD25" s="162"/>
      <c r="HE25" s="162"/>
      <c r="HF25" s="162"/>
      <c r="HG25" s="162"/>
      <c r="HH25" s="162"/>
      <c r="HI25" s="162"/>
      <c r="HJ25" s="162"/>
      <c r="HK25" s="162"/>
      <c r="HL25" s="162"/>
      <c r="HM25" s="162"/>
      <c r="HN25" s="162"/>
      <c r="HO25" s="162"/>
      <c r="HP25" s="162"/>
      <c r="HQ25" s="162"/>
      <c r="HR25" s="162"/>
      <c r="HS25" s="162"/>
      <c r="HT25" s="162"/>
      <c r="HU25" s="162"/>
      <c r="HV25" s="162"/>
      <c r="HW25" s="162"/>
      <c r="HX25" s="162"/>
      <c r="HY25" s="162"/>
      <c r="HZ25" s="162"/>
      <c r="IA25" s="162"/>
      <c r="IB25" s="162"/>
      <c r="IC25" s="162"/>
      <c r="ID25" s="162"/>
      <c r="IE25" s="162"/>
      <c r="IF25" s="162"/>
      <c r="IG25" s="162"/>
      <c r="IH25" s="162"/>
      <c r="II25" s="162"/>
      <c r="IJ25" s="162"/>
      <c r="IK25" s="162"/>
      <c r="IL25" s="162"/>
      <c r="IM25" s="162"/>
      <c r="IN25" s="162"/>
      <c r="IO25" s="162"/>
      <c r="IP25" s="162"/>
      <c r="IQ25" s="162"/>
      <c r="IR25" s="162"/>
      <c r="IS25" s="162"/>
      <c r="IT25" s="162"/>
      <c r="IU25" s="162"/>
      <c r="IV25" s="162"/>
      <c r="IW25" s="162"/>
    </row>
    <row r="26" customFormat="false" ht="15.75" hidden="false" customHeight="false" outlineLevel="0" collapsed="false">
      <c r="A26" s="161" t="s">
        <v>195</v>
      </c>
      <c r="B26" s="162" t="n">
        <f aca="false">+B24+B25</f>
        <v>0</v>
      </c>
      <c r="C26" s="162"/>
      <c r="D26" s="162"/>
      <c r="E26" s="162" t="s">
        <v>196</v>
      </c>
      <c r="F26" s="161" t="n">
        <f aca="false">VLOOKUP(+F23+1,NotePeriod,8)</f>
        <v>36889</v>
      </c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CU26" s="162"/>
      <c r="CV26" s="162"/>
      <c r="CW26" s="162"/>
      <c r="CX26" s="162"/>
      <c r="CY26" s="162"/>
      <c r="CZ26" s="162"/>
      <c r="DA26" s="162"/>
      <c r="DB26" s="162"/>
      <c r="DC26" s="162"/>
      <c r="DD26" s="162"/>
      <c r="DE26" s="162"/>
      <c r="DF26" s="162"/>
      <c r="DG26" s="162"/>
      <c r="DH26" s="162"/>
      <c r="DI26" s="162"/>
      <c r="DJ26" s="162"/>
      <c r="DK26" s="162"/>
      <c r="DL26" s="162"/>
      <c r="DM26" s="162"/>
      <c r="DN26" s="162"/>
      <c r="DO26" s="162"/>
      <c r="DP26" s="162"/>
      <c r="DQ26" s="162"/>
      <c r="DR26" s="162"/>
      <c r="DS26" s="162"/>
      <c r="DT26" s="162"/>
      <c r="DU26" s="162"/>
      <c r="DV26" s="162"/>
      <c r="DW26" s="162"/>
      <c r="DX26" s="162"/>
      <c r="DY26" s="162"/>
      <c r="DZ26" s="162"/>
      <c r="EA26" s="162"/>
      <c r="EB26" s="162"/>
      <c r="EC26" s="162"/>
      <c r="ED26" s="162"/>
      <c r="EE26" s="162"/>
      <c r="EF26" s="162"/>
      <c r="EG26" s="162"/>
      <c r="EH26" s="162"/>
      <c r="EI26" s="162"/>
      <c r="EJ26" s="162"/>
      <c r="EK26" s="162"/>
      <c r="EL26" s="162"/>
      <c r="EM26" s="162"/>
      <c r="EN26" s="162"/>
      <c r="EO26" s="162"/>
      <c r="EP26" s="162"/>
      <c r="EQ26" s="162"/>
      <c r="ER26" s="162"/>
      <c r="ES26" s="162"/>
      <c r="ET26" s="162"/>
      <c r="EU26" s="162"/>
      <c r="EV26" s="162"/>
      <c r="EW26" s="162"/>
      <c r="EX26" s="162"/>
      <c r="EY26" s="162"/>
      <c r="EZ26" s="162"/>
      <c r="FA26" s="162"/>
      <c r="FB26" s="162"/>
      <c r="FC26" s="162"/>
      <c r="FD26" s="162"/>
      <c r="FE26" s="162"/>
      <c r="FF26" s="162"/>
      <c r="FG26" s="162"/>
      <c r="FH26" s="162"/>
      <c r="FI26" s="162"/>
      <c r="FJ26" s="162"/>
      <c r="FK26" s="162"/>
      <c r="FL26" s="162"/>
      <c r="FM26" s="162"/>
      <c r="FN26" s="162"/>
      <c r="FO26" s="162"/>
      <c r="FP26" s="162"/>
      <c r="FQ26" s="162"/>
      <c r="FR26" s="162"/>
      <c r="FS26" s="162"/>
      <c r="FT26" s="162"/>
      <c r="FU26" s="162"/>
      <c r="FV26" s="162"/>
      <c r="FW26" s="162"/>
      <c r="FX26" s="162"/>
      <c r="FY26" s="162"/>
      <c r="FZ26" s="162"/>
      <c r="GA26" s="162"/>
      <c r="GB26" s="162"/>
      <c r="GC26" s="162"/>
      <c r="GD26" s="162"/>
      <c r="GE26" s="162"/>
      <c r="GF26" s="162"/>
      <c r="GG26" s="162"/>
      <c r="GH26" s="162"/>
      <c r="GI26" s="162"/>
      <c r="GJ26" s="162"/>
      <c r="GK26" s="162"/>
      <c r="GL26" s="162"/>
      <c r="GM26" s="162"/>
      <c r="GN26" s="162"/>
      <c r="GO26" s="162"/>
      <c r="GP26" s="162"/>
      <c r="GQ26" s="162"/>
      <c r="GR26" s="162"/>
      <c r="GS26" s="162"/>
      <c r="GT26" s="162"/>
      <c r="GU26" s="162"/>
      <c r="GV26" s="162"/>
      <c r="GW26" s="162"/>
      <c r="GX26" s="162"/>
      <c r="GY26" s="162"/>
      <c r="GZ26" s="162"/>
      <c r="HA26" s="162"/>
      <c r="HB26" s="162"/>
      <c r="HC26" s="162"/>
      <c r="HD26" s="162"/>
      <c r="HE26" s="162"/>
      <c r="HF26" s="162"/>
      <c r="HG26" s="162"/>
      <c r="HH26" s="162"/>
      <c r="HI26" s="162"/>
      <c r="HJ26" s="162"/>
      <c r="HK26" s="162"/>
      <c r="HL26" s="162"/>
      <c r="HM26" s="162"/>
      <c r="HN26" s="162"/>
      <c r="HO26" s="162"/>
      <c r="HP26" s="162"/>
      <c r="HQ26" s="162"/>
      <c r="HR26" s="162"/>
      <c r="HS26" s="162"/>
      <c r="HT26" s="162"/>
      <c r="HU26" s="162"/>
      <c r="HV26" s="162"/>
      <c r="HW26" s="162"/>
      <c r="HX26" s="162"/>
      <c r="HY26" s="162"/>
      <c r="HZ26" s="162"/>
      <c r="IA26" s="162"/>
      <c r="IB26" s="162"/>
      <c r="IC26" s="162"/>
      <c r="ID26" s="162"/>
      <c r="IE26" s="162"/>
      <c r="IF26" s="162"/>
      <c r="IG26" s="162"/>
      <c r="IH26" s="162"/>
      <c r="II26" s="162"/>
      <c r="IJ26" s="162"/>
      <c r="IK26" s="162"/>
      <c r="IL26" s="162"/>
      <c r="IM26" s="162"/>
      <c r="IN26" s="162"/>
      <c r="IO26" s="162"/>
      <c r="IP26" s="162"/>
      <c r="IQ26" s="162"/>
      <c r="IR26" s="162"/>
      <c r="IS26" s="162"/>
      <c r="IT26" s="162"/>
      <c r="IU26" s="162"/>
      <c r="IV26" s="162"/>
      <c r="IW26" s="162"/>
    </row>
    <row r="27" customFormat="false" ht="15.75" hidden="false" customHeight="false" outlineLevel="0" collapsed="false">
      <c r="A27" s="161" t="s">
        <v>197</v>
      </c>
      <c r="B27" s="162" t="n">
        <f aca="false">A23-F24</f>
        <v>153</v>
      </c>
      <c r="C27" s="162"/>
      <c r="D27" s="162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CU27" s="162"/>
      <c r="CV27" s="162"/>
      <c r="CW27" s="162"/>
      <c r="CX27" s="162"/>
      <c r="CY27" s="162"/>
      <c r="CZ27" s="162"/>
      <c r="DA27" s="162"/>
      <c r="DB27" s="162"/>
      <c r="DC27" s="162"/>
      <c r="DD27" s="162"/>
      <c r="DE27" s="162"/>
      <c r="DF27" s="162"/>
      <c r="DG27" s="162"/>
      <c r="DH27" s="162"/>
      <c r="DI27" s="162"/>
      <c r="DJ27" s="162"/>
      <c r="DK27" s="162"/>
      <c r="DL27" s="162"/>
      <c r="DM27" s="162"/>
      <c r="DN27" s="162"/>
      <c r="DO27" s="162"/>
      <c r="DP27" s="162"/>
      <c r="DQ27" s="162"/>
      <c r="DR27" s="162"/>
      <c r="DS27" s="162"/>
      <c r="DT27" s="162"/>
      <c r="DU27" s="162"/>
      <c r="DV27" s="162"/>
      <c r="DW27" s="162"/>
      <c r="DX27" s="162"/>
      <c r="DY27" s="162"/>
      <c r="DZ27" s="162"/>
      <c r="EA27" s="162"/>
      <c r="EB27" s="162"/>
      <c r="EC27" s="162"/>
      <c r="ED27" s="162"/>
      <c r="EE27" s="162"/>
      <c r="EF27" s="162"/>
      <c r="EG27" s="162"/>
      <c r="EH27" s="162"/>
      <c r="EI27" s="162"/>
      <c r="EJ27" s="162"/>
      <c r="EK27" s="162"/>
      <c r="EL27" s="162"/>
      <c r="EM27" s="162"/>
      <c r="EN27" s="162"/>
      <c r="EO27" s="162"/>
      <c r="EP27" s="162"/>
      <c r="EQ27" s="162"/>
      <c r="ER27" s="162"/>
      <c r="ES27" s="162"/>
      <c r="ET27" s="162"/>
      <c r="EU27" s="162"/>
      <c r="EV27" s="162"/>
      <c r="EW27" s="162"/>
      <c r="EX27" s="162"/>
      <c r="EY27" s="162"/>
      <c r="EZ27" s="162"/>
      <c r="FA27" s="162"/>
      <c r="FB27" s="162"/>
      <c r="FC27" s="162"/>
      <c r="FD27" s="162"/>
      <c r="FE27" s="162"/>
      <c r="FF27" s="162"/>
      <c r="FG27" s="162"/>
      <c r="FH27" s="162"/>
      <c r="FI27" s="162"/>
      <c r="FJ27" s="162"/>
      <c r="FK27" s="162"/>
      <c r="FL27" s="162"/>
      <c r="FM27" s="162"/>
      <c r="FN27" s="162"/>
      <c r="FO27" s="162"/>
      <c r="FP27" s="162"/>
      <c r="FQ27" s="162"/>
      <c r="FR27" s="162"/>
      <c r="FS27" s="162"/>
      <c r="FT27" s="162"/>
      <c r="FU27" s="162"/>
      <c r="FV27" s="162"/>
      <c r="FW27" s="162"/>
      <c r="FX27" s="162"/>
      <c r="FY27" s="162"/>
      <c r="FZ27" s="162"/>
      <c r="GA27" s="162"/>
      <c r="GB27" s="162"/>
      <c r="GC27" s="162"/>
      <c r="GD27" s="162"/>
      <c r="GE27" s="162"/>
      <c r="GF27" s="162"/>
      <c r="GG27" s="162"/>
      <c r="GH27" s="162"/>
      <c r="GI27" s="162"/>
      <c r="GJ27" s="162"/>
      <c r="GK27" s="162"/>
      <c r="GL27" s="162"/>
      <c r="GM27" s="162"/>
      <c r="GN27" s="162"/>
      <c r="GO27" s="162"/>
      <c r="GP27" s="162"/>
      <c r="GQ27" s="162"/>
      <c r="GR27" s="162"/>
      <c r="GS27" s="162"/>
      <c r="GT27" s="162"/>
      <c r="GU27" s="162"/>
      <c r="GV27" s="162"/>
      <c r="GW27" s="162"/>
      <c r="GX27" s="162"/>
      <c r="GY27" s="162"/>
      <c r="GZ27" s="162"/>
      <c r="HA27" s="162"/>
      <c r="HB27" s="162"/>
      <c r="HC27" s="162"/>
      <c r="HD27" s="162"/>
      <c r="HE27" s="162"/>
      <c r="HF27" s="162"/>
      <c r="HG27" s="162"/>
      <c r="HH27" s="162"/>
      <c r="HI27" s="162"/>
      <c r="HJ27" s="162"/>
      <c r="HK27" s="162"/>
      <c r="HL27" s="162"/>
      <c r="HM27" s="162"/>
      <c r="HN27" s="162"/>
      <c r="HO27" s="162"/>
      <c r="HP27" s="162"/>
      <c r="HQ27" s="162"/>
      <c r="HR27" s="162"/>
      <c r="HS27" s="162"/>
      <c r="HT27" s="162"/>
      <c r="HU27" s="162"/>
      <c r="HV27" s="162"/>
      <c r="HW27" s="162"/>
      <c r="HX27" s="162"/>
      <c r="HY27" s="162"/>
      <c r="HZ27" s="162"/>
      <c r="IA27" s="162"/>
      <c r="IB27" s="162"/>
      <c r="IC27" s="162"/>
      <c r="ID27" s="162"/>
      <c r="IE27" s="162"/>
      <c r="IF27" s="162"/>
      <c r="IG27" s="162"/>
      <c r="IH27" s="162"/>
      <c r="II27" s="162"/>
      <c r="IJ27" s="162"/>
      <c r="IK27" s="162"/>
      <c r="IL27" s="162"/>
      <c r="IM27" s="162"/>
      <c r="IN27" s="162"/>
      <c r="IO27" s="162"/>
      <c r="IP27" s="162"/>
      <c r="IQ27" s="162"/>
      <c r="IR27" s="162"/>
      <c r="IS27" s="162"/>
      <c r="IT27" s="162"/>
      <c r="IU27" s="162"/>
      <c r="IV27" s="162"/>
      <c r="IW27" s="162"/>
    </row>
    <row r="28" customFormat="false" ht="15.75" hidden="false" customHeight="false" outlineLevel="0" collapsed="false">
      <c r="A28" s="161" t="s">
        <v>198</v>
      </c>
      <c r="B28" s="162" t="n">
        <f aca="false">F25*B27/(F26-F24)</f>
        <v>1487500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CU28" s="162"/>
      <c r="CV28" s="162"/>
      <c r="CW28" s="162"/>
      <c r="CX28" s="162"/>
      <c r="CY28" s="162"/>
      <c r="CZ28" s="162"/>
      <c r="DA28" s="162"/>
      <c r="DB28" s="162"/>
      <c r="DC28" s="162"/>
      <c r="DD28" s="162"/>
      <c r="DE28" s="162"/>
      <c r="DF28" s="162"/>
      <c r="DG28" s="162"/>
      <c r="DH28" s="162"/>
      <c r="DI28" s="162"/>
      <c r="DJ28" s="162"/>
      <c r="DK28" s="162"/>
      <c r="DL28" s="162"/>
      <c r="DM28" s="162"/>
      <c r="DN28" s="162"/>
      <c r="DO28" s="162"/>
      <c r="DP28" s="162"/>
      <c r="DQ28" s="162"/>
      <c r="DR28" s="162"/>
      <c r="DS28" s="162"/>
      <c r="DT28" s="162"/>
      <c r="DU28" s="162"/>
      <c r="DV28" s="162"/>
      <c r="DW28" s="162"/>
      <c r="DX28" s="162"/>
      <c r="DY28" s="162"/>
      <c r="DZ28" s="162"/>
      <c r="EA28" s="162"/>
      <c r="EB28" s="162"/>
      <c r="EC28" s="162"/>
      <c r="ED28" s="162"/>
      <c r="EE28" s="162"/>
      <c r="EF28" s="162"/>
      <c r="EG28" s="162"/>
      <c r="EH28" s="162"/>
      <c r="EI28" s="162"/>
      <c r="EJ28" s="162"/>
      <c r="EK28" s="162"/>
      <c r="EL28" s="162"/>
      <c r="EM28" s="162"/>
      <c r="EN28" s="162"/>
      <c r="EO28" s="162"/>
      <c r="EP28" s="162"/>
      <c r="EQ28" s="162"/>
      <c r="ER28" s="162"/>
      <c r="ES28" s="162"/>
      <c r="ET28" s="162"/>
      <c r="EU28" s="162"/>
      <c r="EV28" s="162"/>
      <c r="EW28" s="162"/>
      <c r="EX28" s="162"/>
      <c r="EY28" s="162"/>
      <c r="EZ28" s="162"/>
      <c r="FA28" s="162"/>
      <c r="FB28" s="162"/>
      <c r="FC28" s="162"/>
      <c r="FD28" s="162"/>
      <c r="FE28" s="162"/>
      <c r="FF28" s="162"/>
      <c r="FG28" s="162"/>
      <c r="FH28" s="162"/>
      <c r="FI28" s="162"/>
      <c r="FJ28" s="162"/>
      <c r="FK28" s="162"/>
      <c r="FL28" s="162"/>
      <c r="FM28" s="162"/>
      <c r="FN28" s="162"/>
      <c r="FO28" s="162"/>
      <c r="FP28" s="162"/>
      <c r="FQ28" s="162"/>
      <c r="FR28" s="162"/>
      <c r="FS28" s="162"/>
      <c r="FT28" s="162"/>
      <c r="FU28" s="162"/>
      <c r="FV28" s="162"/>
      <c r="FW28" s="162"/>
      <c r="FX28" s="162"/>
      <c r="FY28" s="162"/>
      <c r="FZ28" s="162"/>
      <c r="GA28" s="162"/>
      <c r="GB28" s="162"/>
      <c r="GC28" s="162"/>
      <c r="GD28" s="162"/>
      <c r="GE28" s="162"/>
      <c r="GF28" s="162"/>
      <c r="GG28" s="162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2"/>
      <c r="HQ28" s="162"/>
      <c r="HR28" s="162"/>
      <c r="HS28" s="162"/>
      <c r="HT28" s="162"/>
      <c r="HU28" s="162"/>
      <c r="HV28" s="162"/>
      <c r="HW28" s="162"/>
      <c r="HX28" s="162"/>
      <c r="HY28" s="162"/>
      <c r="HZ28" s="162"/>
      <c r="IA28" s="162"/>
      <c r="IB28" s="162"/>
      <c r="IC28" s="162"/>
      <c r="ID28" s="162"/>
      <c r="IE28" s="162"/>
      <c r="IF28" s="162"/>
      <c r="IG28" s="162"/>
      <c r="IH28" s="162"/>
      <c r="II28" s="162"/>
      <c r="IJ28" s="162"/>
      <c r="IK28" s="162"/>
      <c r="IL28" s="162"/>
      <c r="IM28" s="162"/>
      <c r="IN28" s="162"/>
      <c r="IO28" s="162"/>
      <c r="IP28" s="162"/>
      <c r="IQ28" s="162"/>
      <c r="IR28" s="162"/>
      <c r="IS28" s="162"/>
      <c r="IT28" s="162"/>
      <c r="IU28" s="162"/>
      <c r="IV28" s="162"/>
      <c r="IW28" s="162"/>
    </row>
    <row r="29" customFormat="false" ht="15.75" hidden="false" customHeight="false" outlineLevel="0" collapsed="false">
      <c r="A29" s="161" t="s">
        <v>199</v>
      </c>
      <c r="B29" s="162" t="n">
        <f aca="false">+B25+B28</f>
        <v>1487500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2"/>
      <c r="CC29" s="162"/>
      <c r="CD29" s="162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CU29" s="162"/>
      <c r="CV29" s="162"/>
      <c r="CW29" s="162"/>
      <c r="CX29" s="162"/>
      <c r="CY29" s="162"/>
      <c r="CZ29" s="162"/>
      <c r="DA29" s="162"/>
      <c r="DB29" s="162"/>
      <c r="DC29" s="162"/>
      <c r="DD29" s="162"/>
      <c r="DE29" s="162"/>
      <c r="DF29" s="162"/>
      <c r="DG29" s="162"/>
      <c r="DH29" s="162"/>
      <c r="DI29" s="162"/>
      <c r="DJ29" s="162"/>
      <c r="DK29" s="162"/>
      <c r="DL29" s="162"/>
      <c r="DM29" s="162"/>
      <c r="DN29" s="162"/>
      <c r="DO29" s="162"/>
      <c r="DP29" s="162"/>
      <c r="DQ29" s="162"/>
      <c r="DR29" s="162"/>
      <c r="DS29" s="162"/>
      <c r="DT29" s="162"/>
      <c r="DU29" s="162"/>
      <c r="DV29" s="162"/>
      <c r="DW29" s="162"/>
      <c r="DX29" s="162"/>
      <c r="DY29" s="162"/>
      <c r="DZ29" s="162"/>
      <c r="EA29" s="162"/>
      <c r="EB29" s="162"/>
      <c r="EC29" s="162"/>
      <c r="ED29" s="162"/>
      <c r="EE29" s="162"/>
      <c r="EF29" s="162"/>
      <c r="EG29" s="162"/>
      <c r="EH29" s="162"/>
      <c r="EI29" s="162"/>
      <c r="EJ29" s="162"/>
      <c r="EK29" s="162"/>
      <c r="EL29" s="162"/>
      <c r="EM29" s="162"/>
      <c r="EN29" s="162"/>
      <c r="EO29" s="162"/>
      <c r="EP29" s="162"/>
      <c r="EQ29" s="162"/>
      <c r="ER29" s="162"/>
      <c r="ES29" s="162"/>
      <c r="ET29" s="162"/>
      <c r="EU29" s="162"/>
      <c r="EV29" s="162"/>
      <c r="EW29" s="162"/>
      <c r="EX29" s="162"/>
      <c r="EY29" s="162"/>
      <c r="EZ29" s="162"/>
      <c r="FA29" s="162"/>
      <c r="FB29" s="162"/>
      <c r="FC29" s="162"/>
      <c r="FD29" s="162"/>
      <c r="FE29" s="162"/>
      <c r="FF29" s="162"/>
      <c r="FG29" s="162"/>
      <c r="FH29" s="162"/>
      <c r="FI29" s="162"/>
      <c r="FJ29" s="162"/>
      <c r="FK29" s="162"/>
      <c r="FL29" s="162"/>
      <c r="FM29" s="162"/>
      <c r="FN29" s="162"/>
      <c r="FO29" s="162"/>
      <c r="FP29" s="162"/>
      <c r="FQ29" s="162"/>
      <c r="FR29" s="162"/>
      <c r="FS29" s="162"/>
      <c r="FT29" s="162"/>
      <c r="FU29" s="162"/>
      <c r="FV29" s="162"/>
      <c r="FW29" s="162"/>
      <c r="FX29" s="162"/>
      <c r="FY29" s="162"/>
      <c r="FZ29" s="162"/>
      <c r="GA29" s="162"/>
      <c r="GB29" s="162"/>
      <c r="GC29" s="162"/>
      <c r="GD29" s="162"/>
      <c r="GE29" s="162"/>
      <c r="GF29" s="162"/>
      <c r="GG29" s="162"/>
      <c r="GH29" s="162"/>
      <c r="GI29" s="162"/>
      <c r="GJ29" s="162"/>
      <c r="GK29" s="162"/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2"/>
      <c r="HQ29" s="162"/>
      <c r="HR29" s="162"/>
      <c r="HS29" s="162"/>
      <c r="HT29" s="162"/>
      <c r="HU29" s="162"/>
      <c r="HV29" s="162"/>
      <c r="HW29" s="162"/>
      <c r="HX29" s="162"/>
      <c r="HY29" s="162"/>
      <c r="HZ29" s="162"/>
      <c r="IA29" s="162"/>
      <c r="IB29" s="162"/>
      <c r="IC29" s="162"/>
      <c r="ID29" s="162"/>
      <c r="IE29" s="162"/>
      <c r="IF29" s="162"/>
      <c r="IG29" s="162"/>
      <c r="IH29" s="162"/>
      <c r="II29" s="162"/>
      <c r="IJ29" s="162"/>
      <c r="IK29" s="162"/>
      <c r="IL29" s="162"/>
      <c r="IM29" s="162"/>
      <c r="IN29" s="162"/>
      <c r="IO29" s="162"/>
      <c r="IP29" s="162"/>
      <c r="IQ29" s="162"/>
      <c r="IR29" s="162"/>
      <c r="IS29" s="162"/>
      <c r="IT29" s="162"/>
      <c r="IU29" s="162"/>
      <c r="IV29" s="162"/>
      <c r="IW29" s="162"/>
    </row>
    <row r="30" customFormat="false" ht="15.75" hidden="false" customHeight="false" outlineLevel="0" collapsed="false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2"/>
      <c r="BM30" s="162"/>
      <c r="BN30" s="162"/>
      <c r="BO30" s="162"/>
      <c r="BP30" s="162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2"/>
      <c r="DC30" s="162"/>
      <c r="DD30" s="162"/>
      <c r="DE30" s="162"/>
      <c r="DF30" s="162"/>
      <c r="DG30" s="162"/>
      <c r="DH30" s="162"/>
      <c r="DI30" s="162"/>
      <c r="DJ30" s="162"/>
      <c r="DK30" s="162"/>
      <c r="DL30" s="162"/>
      <c r="DM30" s="162"/>
      <c r="DN30" s="162"/>
      <c r="DO30" s="162"/>
      <c r="DP30" s="162"/>
      <c r="DQ30" s="162"/>
      <c r="DR30" s="162"/>
      <c r="DS30" s="162"/>
      <c r="DT30" s="162"/>
      <c r="DU30" s="162"/>
      <c r="DV30" s="162"/>
      <c r="DW30" s="162"/>
      <c r="DX30" s="162"/>
      <c r="DY30" s="162"/>
      <c r="DZ30" s="162"/>
      <c r="EA30" s="162"/>
      <c r="EB30" s="162"/>
      <c r="EC30" s="162"/>
      <c r="ED30" s="162"/>
      <c r="EE30" s="162"/>
      <c r="EF30" s="162"/>
      <c r="EG30" s="162"/>
      <c r="EH30" s="162"/>
      <c r="EI30" s="162"/>
      <c r="EJ30" s="162"/>
      <c r="EK30" s="162"/>
      <c r="EL30" s="162"/>
      <c r="EM30" s="162"/>
      <c r="EN30" s="162"/>
      <c r="EO30" s="162"/>
      <c r="EP30" s="162"/>
      <c r="EQ30" s="162"/>
      <c r="ER30" s="162"/>
      <c r="ES30" s="162"/>
      <c r="ET30" s="162"/>
      <c r="EU30" s="162"/>
      <c r="EV30" s="162"/>
      <c r="EW30" s="162"/>
      <c r="EX30" s="162"/>
      <c r="EY30" s="162"/>
      <c r="EZ30" s="162"/>
      <c r="FA30" s="162"/>
      <c r="FB30" s="162"/>
      <c r="FC30" s="162"/>
      <c r="FD30" s="162"/>
      <c r="FE30" s="162"/>
      <c r="FF30" s="162"/>
      <c r="FG30" s="162"/>
      <c r="FH30" s="162"/>
      <c r="FI30" s="162"/>
      <c r="FJ30" s="162"/>
      <c r="FK30" s="162"/>
      <c r="FL30" s="162"/>
      <c r="FM30" s="162"/>
      <c r="FN30" s="162"/>
      <c r="FO30" s="162"/>
      <c r="FP30" s="162"/>
      <c r="FQ30" s="162"/>
      <c r="FR30" s="162"/>
      <c r="FS30" s="162"/>
      <c r="FT30" s="162"/>
      <c r="FU30" s="162"/>
      <c r="FV30" s="162"/>
      <c r="FW30" s="162"/>
      <c r="FX30" s="162"/>
      <c r="FY30" s="162"/>
      <c r="FZ30" s="162"/>
      <c r="GA30" s="162"/>
      <c r="GB30" s="162"/>
      <c r="GC30" s="162"/>
      <c r="GD30" s="162"/>
      <c r="GE30" s="162"/>
      <c r="GF30" s="162"/>
      <c r="GG30" s="162"/>
      <c r="GH30" s="162"/>
      <c r="GI30" s="162"/>
      <c r="GJ30" s="162"/>
      <c r="GK30" s="162"/>
      <c r="GL30" s="162"/>
      <c r="GM30" s="162"/>
      <c r="GN30" s="162"/>
      <c r="GO30" s="162"/>
      <c r="GP30" s="162"/>
      <c r="GQ30" s="162"/>
      <c r="GR30" s="162"/>
      <c r="GS30" s="162"/>
      <c r="GT30" s="162"/>
      <c r="GU30" s="162"/>
      <c r="GV30" s="162"/>
      <c r="GW30" s="162"/>
      <c r="GX30" s="162"/>
      <c r="GY30" s="162"/>
      <c r="GZ30" s="162"/>
      <c r="HA30" s="162"/>
      <c r="HB30" s="162"/>
      <c r="HC30" s="162"/>
      <c r="HD30" s="162"/>
      <c r="HE30" s="162"/>
      <c r="HF30" s="162"/>
      <c r="HG30" s="162"/>
      <c r="HH30" s="162"/>
      <c r="HI30" s="162"/>
      <c r="HJ30" s="162"/>
      <c r="HK30" s="162"/>
      <c r="HL30" s="162"/>
      <c r="HM30" s="162"/>
      <c r="HN30" s="162"/>
      <c r="HO30" s="162"/>
      <c r="HP30" s="162"/>
      <c r="HQ30" s="162"/>
      <c r="HR30" s="162"/>
      <c r="HS30" s="162"/>
      <c r="HT30" s="162"/>
      <c r="HU30" s="162"/>
      <c r="HV30" s="162"/>
      <c r="HW30" s="162"/>
      <c r="HX30" s="162"/>
      <c r="HY30" s="162"/>
      <c r="HZ30" s="162"/>
      <c r="IA30" s="162"/>
      <c r="IB30" s="162"/>
      <c r="IC30" s="162"/>
      <c r="ID30" s="162"/>
      <c r="IE30" s="162"/>
      <c r="IF30" s="162"/>
      <c r="IG30" s="162"/>
      <c r="IH30" s="162"/>
      <c r="II30" s="162"/>
      <c r="IJ30" s="162"/>
      <c r="IK30" s="162"/>
      <c r="IL30" s="162"/>
      <c r="IM30" s="162"/>
      <c r="IN30" s="162"/>
      <c r="IO30" s="162"/>
      <c r="IP30" s="162"/>
      <c r="IQ30" s="162"/>
      <c r="IR30" s="162"/>
      <c r="IS30" s="162"/>
      <c r="IT30" s="162"/>
      <c r="IU30" s="162"/>
      <c r="IV30" s="162"/>
      <c r="IW30" s="162"/>
    </row>
    <row r="31" customFormat="false" ht="15.75" hidden="false" customHeight="false" outlineLevel="0" collapsed="false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  <c r="CY31" s="162"/>
      <c r="CZ31" s="162"/>
      <c r="DA31" s="162"/>
      <c r="DB31" s="162"/>
      <c r="DC31" s="162"/>
      <c r="DD31" s="162"/>
      <c r="DE31" s="162"/>
      <c r="DF31" s="162"/>
      <c r="DG31" s="162"/>
      <c r="DH31" s="162"/>
      <c r="DI31" s="162"/>
      <c r="DJ31" s="162"/>
      <c r="DK31" s="162"/>
      <c r="DL31" s="162"/>
      <c r="DM31" s="162"/>
      <c r="DN31" s="162"/>
      <c r="DO31" s="162"/>
      <c r="DP31" s="162"/>
      <c r="DQ31" s="162"/>
      <c r="DR31" s="162"/>
      <c r="DS31" s="162"/>
      <c r="DT31" s="162"/>
      <c r="DU31" s="162"/>
      <c r="DV31" s="162"/>
      <c r="DW31" s="162"/>
      <c r="DX31" s="162"/>
      <c r="DY31" s="162"/>
      <c r="DZ31" s="162"/>
      <c r="EA31" s="162"/>
      <c r="EB31" s="162"/>
      <c r="EC31" s="162"/>
      <c r="ED31" s="162"/>
      <c r="EE31" s="162"/>
      <c r="EF31" s="162"/>
      <c r="EG31" s="162"/>
      <c r="EH31" s="162"/>
      <c r="EI31" s="162"/>
      <c r="EJ31" s="162"/>
      <c r="EK31" s="162"/>
      <c r="EL31" s="162"/>
      <c r="EM31" s="162"/>
      <c r="EN31" s="162"/>
      <c r="EO31" s="162"/>
      <c r="EP31" s="162"/>
      <c r="EQ31" s="162"/>
      <c r="ER31" s="162"/>
      <c r="ES31" s="162"/>
      <c r="ET31" s="162"/>
      <c r="EU31" s="162"/>
      <c r="EV31" s="162"/>
      <c r="EW31" s="162"/>
      <c r="EX31" s="162"/>
      <c r="EY31" s="162"/>
      <c r="EZ31" s="162"/>
      <c r="FA31" s="162"/>
      <c r="FB31" s="162"/>
      <c r="FC31" s="162"/>
      <c r="FD31" s="162"/>
      <c r="FE31" s="162"/>
      <c r="FF31" s="162"/>
      <c r="FG31" s="162"/>
      <c r="FH31" s="162"/>
      <c r="FI31" s="162"/>
      <c r="FJ31" s="162"/>
      <c r="FK31" s="162"/>
      <c r="FL31" s="162"/>
      <c r="FM31" s="162"/>
      <c r="FN31" s="162"/>
      <c r="FO31" s="162"/>
      <c r="FP31" s="162"/>
      <c r="FQ31" s="162"/>
      <c r="FR31" s="162"/>
      <c r="FS31" s="162"/>
      <c r="FT31" s="162"/>
      <c r="FU31" s="162"/>
      <c r="FV31" s="162"/>
      <c r="FW31" s="162"/>
      <c r="FX31" s="162"/>
      <c r="FY31" s="162"/>
      <c r="FZ31" s="162"/>
      <c r="GA31" s="162"/>
      <c r="GB31" s="162"/>
      <c r="GC31" s="162"/>
      <c r="GD31" s="162"/>
      <c r="GE31" s="162"/>
      <c r="GF31" s="162"/>
      <c r="GG31" s="162"/>
      <c r="GH31" s="162"/>
      <c r="GI31" s="162"/>
      <c r="GJ31" s="162"/>
      <c r="GK31" s="162"/>
      <c r="GL31" s="162"/>
      <c r="GM31" s="162"/>
      <c r="GN31" s="162"/>
      <c r="GO31" s="162"/>
      <c r="GP31" s="162"/>
      <c r="GQ31" s="162"/>
      <c r="GR31" s="162"/>
      <c r="GS31" s="162"/>
      <c r="GT31" s="162"/>
      <c r="GU31" s="162"/>
      <c r="GV31" s="162"/>
      <c r="GW31" s="162"/>
      <c r="GX31" s="162"/>
      <c r="GY31" s="162"/>
      <c r="GZ31" s="162"/>
      <c r="HA31" s="162"/>
      <c r="HB31" s="162"/>
      <c r="HC31" s="162"/>
      <c r="HD31" s="162"/>
      <c r="HE31" s="162"/>
      <c r="HF31" s="162"/>
      <c r="HG31" s="162"/>
      <c r="HH31" s="162"/>
      <c r="HI31" s="162"/>
      <c r="HJ31" s="162"/>
      <c r="HK31" s="162"/>
      <c r="HL31" s="162"/>
      <c r="HM31" s="162"/>
      <c r="HN31" s="162"/>
      <c r="HO31" s="162"/>
      <c r="HP31" s="162"/>
      <c r="HQ31" s="162"/>
      <c r="HR31" s="162"/>
      <c r="HS31" s="162"/>
      <c r="HT31" s="162"/>
      <c r="HU31" s="162"/>
      <c r="HV31" s="162"/>
      <c r="HW31" s="162"/>
      <c r="HX31" s="162"/>
      <c r="HY31" s="162"/>
      <c r="HZ31" s="162"/>
      <c r="IA31" s="162"/>
      <c r="IB31" s="162"/>
      <c r="IC31" s="162"/>
      <c r="ID31" s="162"/>
      <c r="IE31" s="162"/>
      <c r="IF31" s="162"/>
      <c r="IG31" s="162"/>
      <c r="IH31" s="162"/>
      <c r="II31" s="162"/>
      <c r="IJ31" s="162"/>
      <c r="IK31" s="162"/>
      <c r="IL31" s="162"/>
      <c r="IM31" s="162"/>
      <c r="IN31" s="162"/>
      <c r="IO31" s="162"/>
      <c r="IP31" s="162"/>
      <c r="IQ31" s="162"/>
      <c r="IR31" s="162"/>
      <c r="IS31" s="162"/>
      <c r="IT31" s="162"/>
      <c r="IU31" s="162"/>
      <c r="IV31" s="162"/>
      <c r="IW31" s="162"/>
    </row>
    <row r="32" customFormat="false" ht="15.75" hidden="false" customHeight="false" outlineLevel="0" collapsed="false">
      <c r="A32" s="162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/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  <c r="CG32" s="162"/>
      <c r="CH32" s="162"/>
      <c r="CI32" s="162"/>
      <c r="CJ32" s="162"/>
      <c r="CK32" s="162"/>
      <c r="CL32" s="162"/>
      <c r="CM32" s="162"/>
      <c r="CN32" s="162"/>
      <c r="CO32" s="162"/>
      <c r="CP32" s="162"/>
      <c r="CQ32" s="162"/>
      <c r="CR32" s="162"/>
      <c r="CS32" s="162"/>
      <c r="CT32" s="162"/>
      <c r="CU32" s="162"/>
      <c r="CV32" s="162"/>
      <c r="CW32" s="162"/>
      <c r="CX32" s="162"/>
      <c r="CY32" s="162"/>
      <c r="CZ32" s="162"/>
      <c r="DA32" s="162"/>
      <c r="DB32" s="162"/>
      <c r="DC32" s="162"/>
      <c r="DD32" s="162"/>
      <c r="DE32" s="162"/>
      <c r="DF32" s="162"/>
      <c r="DG32" s="162"/>
      <c r="DH32" s="162"/>
      <c r="DI32" s="162"/>
      <c r="DJ32" s="162"/>
      <c r="DK32" s="162"/>
      <c r="DL32" s="162"/>
      <c r="DM32" s="162"/>
      <c r="DN32" s="162"/>
      <c r="DO32" s="162"/>
      <c r="DP32" s="162"/>
      <c r="DQ32" s="162"/>
      <c r="DR32" s="162"/>
      <c r="DS32" s="162"/>
      <c r="DT32" s="162"/>
      <c r="DU32" s="162"/>
      <c r="DV32" s="162"/>
      <c r="DW32" s="162"/>
      <c r="DX32" s="162"/>
      <c r="DY32" s="162"/>
      <c r="DZ32" s="162"/>
      <c r="EA32" s="162"/>
      <c r="EB32" s="162"/>
      <c r="EC32" s="162"/>
      <c r="ED32" s="162"/>
      <c r="EE32" s="162"/>
      <c r="EF32" s="162"/>
      <c r="EG32" s="162"/>
      <c r="EH32" s="162"/>
      <c r="EI32" s="162"/>
      <c r="EJ32" s="162"/>
      <c r="EK32" s="162"/>
      <c r="EL32" s="162"/>
      <c r="EM32" s="162"/>
      <c r="EN32" s="162"/>
      <c r="EO32" s="162"/>
      <c r="EP32" s="162"/>
      <c r="EQ32" s="162"/>
      <c r="ER32" s="162"/>
      <c r="ES32" s="162"/>
      <c r="ET32" s="162"/>
      <c r="EU32" s="162"/>
      <c r="EV32" s="162"/>
      <c r="EW32" s="162"/>
      <c r="EX32" s="162"/>
      <c r="EY32" s="162"/>
      <c r="EZ32" s="162"/>
      <c r="FA32" s="162"/>
      <c r="FB32" s="162"/>
      <c r="FC32" s="162"/>
      <c r="FD32" s="162"/>
      <c r="FE32" s="162"/>
      <c r="FF32" s="162"/>
      <c r="FG32" s="162"/>
      <c r="FH32" s="162"/>
      <c r="FI32" s="162"/>
      <c r="FJ32" s="162"/>
      <c r="FK32" s="162"/>
      <c r="FL32" s="162"/>
      <c r="FM32" s="162"/>
      <c r="FN32" s="162"/>
      <c r="FO32" s="162"/>
      <c r="FP32" s="162"/>
      <c r="FQ32" s="162"/>
      <c r="FR32" s="162"/>
      <c r="FS32" s="162"/>
      <c r="FT32" s="162"/>
      <c r="FU32" s="162"/>
      <c r="FV32" s="162"/>
      <c r="FW32" s="162"/>
      <c r="FX32" s="162"/>
      <c r="FY32" s="162"/>
      <c r="FZ32" s="162"/>
      <c r="GA32" s="162"/>
      <c r="GB32" s="162"/>
      <c r="GC32" s="162"/>
      <c r="GD32" s="162"/>
      <c r="GE32" s="162"/>
      <c r="GF32" s="162"/>
      <c r="GG32" s="162"/>
      <c r="GH32" s="162"/>
      <c r="GI32" s="162"/>
      <c r="GJ32" s="162"/>
      <c r="GK32" s="162"/>
      <c r="GL32" s="162"/>
      <c r="GM32" s="162"/>
      <c r="GN32" s="162"/>
      <c r="GO32" s="162"/>
      <c r="GP32" s="162"/>
      <c r="GQ32" s="162"/>
      <c r="GR32" s="162"/>
      <c r="GS32" s="162"/>
      <c r="GT32" s="162"/>
      <c r="GU32" s="162"/>
      <c r="GV32" s="162"/>
      <c r="GW32" s="162"/>
      <c r="GX32" s="162"/>
      <c r="GY32" s="162"/>
      <c r="GZ32" s="162"/>
      <c r="HA32" s="162"/>
      <c r="HB32" s="162"/>
      <c r="HC32" s="162"/>
      <c r="HD32" s="162"/>
      <c r="HE32" s="162"/>
      <c r="HF32" s="162"/>
      <c r="HG32" s="162"/>
      <c r="HH32" s="162"/>
      <c r="HI32" s="162"/>
      <c r="HJ32" s="162"/>
      <c r="HK32" s="162"/>
      <c r="HL32" s="162"/>
      <c r="HM32" s="162"/>
      <c r="HN32" s="162"/>
      <c r="HO32" s="162"/>
      <c r="HP32" s="162"/>
      <c r="HQ32" s="162"/>
      <c r="HR32" s="162"/>
      <c r="HS32" s="162"/>
      <c r="HT32" s="162"/>
      <c r="HU32" s="162"/>
      <c r="HV32" s="162"/>
      <c r="HW32" s="162"/>
      <c r="HX32" s="162"/>
      <c r="HY32" s="162"/>
      <c r="HZ32" s="162"/>
      <c r="IA32" s="162"/>
      <c r="IB32" s="162"/>
      <c r="IC32" s="162"/>
      <c r="ID32" s="162"/>
      <c r="IE32" s="162"/>
      <c r="IF32" s="162"/>
      <c r="IG32" s="162"/>
      <c r="IH32" s="162"/>
      <c r="II32" s="162"/>
      <c r="IJ32" s="162"/>
      <c r="IK32" s="162"/>
      <c r="IL32" s="162"/>
      <c r="IM32" s="162"/>
      <c r="IN32" s="162"/>
      <c r="IO32" s="162"/>
      <c r="IP32" s="162"/>
      <c r="IQ32" s="162"/>
      <c r="IR32" s="162"/>
      <c r="IS32" s="162"/>
      <c r="IT32" s="162"/>
      <c r="IU32" s="162"/>
      <c r="IV32" s="162"/>
      <c r="IW32" s="162"/>
    </row>
    <row r="33" customFormat="false" ht="15.75" hidden="false" customHeight="false" outlineLevel="0" collapsed="false">
      <c r="A33" s="162"/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15.75" hidden="false" customHeight="false" outlineLevel="0" collapsed="false">
      <c r="A34" s="162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  <c r="DB34" s="162"/>
      <c r="DC34" s="162"/>
      <c r="DD34" s="162"/>
      <c r="DE34" s="162"/>
      <c r="DF34" s="162"/>
      <c r="DG34" s="162"/>
      <c r="DH34" s="162"/>
      <c r="DI34" s="162"/>
      <c r="DJ34" s="162"/>
      <c r="DK34" s="162"/>
      <c r="DL34" s="162"/>
      <c r="DM34" s="162"/>
      <c r="DN34" s="162"/>
      <c r="DO34" s="162"/>
      <c r="DP34" s="162"/>
      <c r="DQ34" s="162"/>
      <c r="DR34" s="162"/>
      <c r="DS34" s="162"/>
      <c r="DT34" s="162"/>
      <c r="DU34" s="162"/>
      <c r="DV34" s="162"/>
      <c r="DW34" s="162"/>
      <c r="DX34" s="162"/>
      <c r="DY34" s="162"/>
      <c r="DZ34" s="162"/>
      <c r="EA34" s="162"/>
      <c r="EB34" s="162"/>
      <c r="EC34" s="162"/>
      <c r="ED34" s="162"/>
      <c r="EE34" s="162"/>
      <c r="EF34" s="162"/>
      <c r="EG34" s="162"/>
      <c r="EH34" s="162"/>
      <c r="EI34" s="162"/>
      <c r="EJ34" s="162"/>
      <c r="EK34" s="162"/>
      <c r="EL34" s="162"/>
      <c r="EM34" s="162"/>
      <c r="EN34" s="162"/>
      <c r="EO34" s="162"/>
      <c r="EP34" s="162"/>
      <c r="EQ34" s="162"/>
      <c r="ER34" s="162"/>
      <c r="ES34" s="162"/>
      <c r="ET34" s="162"/>
      <c r="EU34" s="162"/>
      <c r="EV34" s="162"/>
      <c r="EW34" s="162"/>
      <c r="EX34" s="162"/>
      <c r="EY34" s="162"/>
      <c r="EZ34" s="162"/>
      <c r="FA34" s="162"/>
      <c r="FB34" s="162"/>
      <c r="FC34" s="162"/>
      <c r="FD34" s="162"/>
      <c r="FE34" s="162"/>
      <c r="FF34" s="162"/>
      <c r="FG34" s="162"/>
      <c r="FH34" s="162"/>
      <c r="FI34" s="162"/>
      <c r="FJ34" s="162"/>
      <c r="FK34" s="162"/>
      <c r="FL34" s="162"/>
      <c r="FM34" s="162"/>
      <c r="FN34" s="162"/>
      <c r="FO34" s="162"/>
      <c r="FP34" s="162"/>
      <c r="FQ34" s="162"/>
      <c r="FR34" s="162"/>
      <c r="FS34" s="162"/>
      <c r="FT34" s="162"/>
      <c r="FU34" s="162"/>
      <c r="FV34" s="162"/>
      <c r="FW34" s="162"/>
      <c r="FX34" s="162"/>
      <c r="FY34" s="162"/>
      <c r="FZ34" s="162"/>
      <c r="GA34" s="162"/>
      <c r="GB34" s="162"/>
      <c r="GC34" s="162"/>
      <c r="GD34" s="162"/>
      <c r="GE34" s="162"/>
      <c r="GF34" s="162"/>
      <c r="GG34" s="162"/>
      <c r="GH34" s="162"/>
      <c r="GI34" s="162"/>
      <c r="GJ34" s="162"/>
      <c r="GK34" s="162"/>
      <c r="GL34" s="162"/>
      <c r="GM34" s="162"/>
      <c r="GN34" s="162"/>
      <c r="GO34" s="162"/>
      <c r="GP34" s="162"/>
      <c r="GQ34" s="162"/>
      <c r="GR34" s="162"/>
      <c r="GS34" s="162"/>
      <c r="GT34" s="162"/>
      <c r="GU34" s="162"/>
      <c r="GV34" s="162"/>
      <c r="GW34" s="162"/>
      <c r="GX34" s="162"/>
      <c r="GY34" s="162"/>
      <c r="GZ34" s="162"/>
      <c r="HA34" s="162"/>
      <c r="HB34" s="162"/>
      <c r="HC34" s="162"/>
      <c r="HD34" s="162"/>
      <c r="HE34" s="162"/>
      <c r="HF34" s="162"/>
      <c r="HG34" s="162"/>
      <c r="HH34" s="162"/>
      <c r="HI34" s="162"/>
      <c r="HJ34" s="162"/>
      <c r="HK34" s="162"/>
      <c r="HL34" s="162"/>
      <c r="HM34" s="162"/>
      <c r="HN34" s="162"/>
      <c r="HO34" s="162"/>
      <c r="HP34" s="162"/>
      <c r="HQ34" s="162"/>
      <c r="HR34" s="162"/>
      <c r="HS34" s="162"/>
      <c r="HT34" s="162"/>
      <c r="HU34" s="162"/>
      <c r="HV34" s="162"/>
      <c r="HW34" s="162"/>
      <c r="HX34" s="162"/>
      <c r="HY34" s="162"/>
      <c r="HZ34" s="162"/>
      <c r="IA34" s="162"/>
      <c r="IB34" s="162"/>
      <c r="IC34" s="162"/>
      <c r="ID34" s="162"/>
      <c r="IE34" s="162"/>
      <c r="IF34" s="162"/>
      <c r="IG34" s="162"/>
      <c r="IH34" s="162"/>
      <c r="II34" s="162"/>
      <c r="IJ34" s="162"/>
      <c r="IK34" s="162"/>
      <c r="IL34" s="162"/>
      <c r="IM34" s="162"/>
      <c r="IN34" s="162"/>
      <c r="IO34" s="162"/>
      <c r="IP34" s="162"/>
      <c r="IQ34" s="162"/>
      <c r="IR34" s="162"/>
      <c r="IS34" s="162"/>
      <c r="IT34" s="162"/>
      <c r="IU34" s="162"/>
      <c r="IV34" s="162"/>
      <c r="IW34" s="162"/>
    </row>
    <row r="35" customFormat="false" ht="15.75" hidden="false" customHeight="false" outlineLevel="0" collapsed="false">
      <c r="A35" s="67" t="s">
        <v>200</v>
      </c>
      <c r="B35" s="67"/>
      <c r="G35" s="139"/>
      <c r="H35" s="165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2"/>
      <c r="BM35" s="162"/>
      <c r="BN35" s="162"/>
      <c r="BO35" s="162"/>
      <c r="BP35" s="162"/>
      <c r="BQ35" s="162"/>
      <c r="BR35" s="162"/>
      <c r="BS35" s="162"/>
      <c r="BT35" s="162"/>
      <c r="BU35" s="162"/>
      <c r="BV35" s="162"/>
      <c r="BW35" s="162"/>
      <c r="BX35" s="162"/>
      <c r="BY35" s="162"/>
      <c r="BZ35" s="162"/>
      <c r="CA35" s="162"/>
      <c r="CB35" s="162"/>
      <c r="CC35" s="162"/>
      <c r="CD35" s="162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CU35" s="162"/>
      <c r="CV35" s="162"/>
      <c r="CW35" s="162"/>
      <c r="CX35" s="162"/>
      <c r="CY35" s="162"/>
      <c r="CZ35" s="162"/>
      <c r="DA35" s="162"/>
      <c r="DB35" s="162"/>
      <c r="DC35" s="162"/>
      <c r="DD35" s="162"/>
      <c r="DE35" s="162"/>
      <c r="DF35" s="162"/>
      <c r="DG35" s="162"/>
      <c r="DH35" s="162"/>
      <c r="DI35" s="162"/>
      <c r="DJ35" s="162"/>
      <c r="DK35" s="162"/>
      <c r="DL35" s="162"/>
      <c r="DM35" s="162"/>
      <c r="DN35" s="162"/>
      <c r="DO35" s="162"/>
      <c r="DP35" s="162"/>
      <c r="DQ35" s="162"/>
      <c r="DR35" s="162"/>
      <c r="DS35" s="162"/>
      <c r="DT35" s="162"/>
      <c r="DU35" s="162"/>
      <c r="DV35" s="162"/>
      <c r="DW35" s="162"/>
      <c r="DX35" s="162"/>
      <c r="DY35" s="162"/>
      <c r="DZ35" s="162"/>
      <c r="EA35" s="162"/>
      <c r="EB35" s="162"/>
      <c r="EC35" s="162"/>
      <c r="ED35" s="162"/>
      <c r="EE35" s="162"/>
      <c r="EF35" s="162"/>
      <c r="EG35" s="162"/>
      <c r="EH35" s="162"/>
      <c r="EI35" s="162"/>
      <c r="EJ35" s="162"/>
      <c r="EK35" s="162"/>
      <c r="EL35" s="162"/>
      <c r="EM35" s="162"/>
      <c r="EN35" s="162"/>
      <c r="EO35" s="162"/>
      <c r="EP35" s="162"/>
      <c r="EQ35" s="162"/>
      <c r="ER35" s="162"/>
      <c r="ES35" s="162"/>
      <c r="ET35" s="162"/>
      <c r="EU35" s="162"/>
      <c r="EV35" s="162"/>
      <c r="EW35" s="162"/>
      <c r="EX35" s="162"/>
      <c r="EY35" s="162"/>
      <c r="EZ35" s="162"/>
      <c r="FA35" s="162"/>
      <c r="FB35" s="162"/>
      <c r="FC35" s="162"/>
      <c r="FD35" s="162"/>
      <c r="FE35" s="162"/>
      <c r="FF35" s="162"/>
      <c r="FG35" s="162"/>
      <c r="FH35" s="162"/>
      <c r="FI35" s="162"/>
      <c r="FJ35" s="162"/>
      <c r="FK35" s="162"/>
      <c r="FL35" s="162"/>
      <c r="FM35" s="162"/>
      <c r="FN35" s="162"/>
      <c r="FO35" s="162"/>
      <c r="FP35" s="162"/>
      <c r="FQ35" s="162"/>
      <c r="FR35" s="162"/>
      <c r="FS35" s="162"/>
      <c r="FT35" s="162"/>
      <c r="FU35" s="162"/>
      <c r="FV35" s="162"/>
      <c r="FW35" s="162"/>
      <c r="FX35" s="162"/>
      <c r="FY35" s="162"/>
      <c r="FZ35" s="162"/>
      <c r="GA35" s="162"/>
      <c r="GB35" s="162"/>
      <c r="GC35" s="162"/>
      <c r="GD35" s="162"/>
      <c r="GE35" s="162"/>
      <c r="GF35" s="162"/>
      <c r="GG35" s="162"/>
      <c r="GH35" s="162"/>
      <c r="GI35" s="162"/>
      <c r="GJ35" s="162"/>
      <c r="GK35" s="162"/>
      <c r="GL35" s="162"/>
      <c r="GM35" s="162"/>
      <c r="GN35" s="162"/>
      <c r="GO35" s="162"/>
      <c r="GP35" s="162"/>
      <c r="GQ35" s="162"/>
      <c r="GR35" s="162"/>
      <c r="GS35" s="162"/>
      <c r="GT35" s="162"/>
      <c r="GU35" s="162"/>
      <c r="GV35" s="162"/>
      <c r="GW35" s="162"/>
      <c r="GX35" s="162"/>
      <c r="GY35" s="162"/>
      <c r="GZ35" s="162"/>
      <c r="HA35" s="162"/>
      <c r="HB35" s="162"/>
      <c r="HC35" s="162"/>
      <c r="HD35" s="162"/>
      <c r="HE35" s="162"/>
      <c r="HF35" s="162"/>
      <c r="HG35" s="162"/>
      <c r="HH35" s="162"/>
      <c r="HI35" s="162"/>
      <c r="HJ35" s="162"/>
      <c r="HK35" s="162"/>
      <c r="HL35" s="162"/>
      <c r="HM35" s="162"/>
      <c r="HN35" s="162"/>
      <c r="HO35" s="162"/>
      <c r="HP35" s="162"/>
      <c r="HQ35" s="162"/>
      <c r="HR35" s="162"/>
      <c r="HS35" s="162"/>
      <c r="HT35" s="162"/>
      <c r="HU35" s="162"/>
      <c r="HV35" s="162"/>
      <c r="HW35" s="162"/>
      <c r="HX35" s="162"/>
      <c r="HY35" s="162"/>
      <c r="HZ35" s="162"/>
      <c r="IA35" s="162"/>
      <c r="IB35" s="162"/>
      <c r="IC35" s="162"/>
      <c r="ID35" s="162"/>
      <c r="IE35" s="162"/>
      <c r="IF35" s="162"/>
      <c r="IG35" s="162"/>
      <c r="IH35" s="162"/>
      <c r="II35" s="162"/>
      <c r="IJ35" s="162"/>
      <c r="IK35" s="162"/>
      <c r="IL35" s="162"/>
      <c r="IM35" s="162"/>
      <c r="IN35" s="162"/>
      <c r="IO35" s="162"/>
      <c r="IP35" s="162"/>
      <c r="IQ35" s="162"/>
      <c r="IR35" s="162"/>
      <c r="IS35" s="162"/>
      <c r="IT35" s="162"/>
      <c r="IU35" s="162"/>
      <c r="IV35" s="162"/>
      <c r="IW35" s="162"/>
    </row>
    <row r="36" customFormat="false" ht="15.75" hidden="false" customHeight="false" outlineLevel="0" collapsed="false">
      <c r="B36" s="152" t="s">
        <v>184</v>
      </c>
      <c r="H36" s="165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2"/>
      <c r="BM36" s="162"/>
      <c r="BN36" s="162"/>
      <c r="BO36" s="162"/>
      <c r="BP36" s="162"/>
      <c r="BQ36" s="162"/>
      <c r="BR36" s="162"/>
      <c r="BS36" s="162"/>
      <c r="BT36" s="162"/>
      <c r="BU36" s="162"/>
      <c r="BV36" s="162"/>
      <c r="BW36" s="162"/>
      <c r="BX36" s="162"/>
      <c r="BY36" s="162"/>
      <c r="BZ36" s="162"/>
      <c r="CA36" s="162"/>
      <c r="CB36" s="162"/>
      <c r="CC36" s="162"/>
      <c r="CD36" s="162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CU36" s="162"/>
      <c r="CV36" s="162"/>
      <c r="CW36" s="162"/>
      <c r="CX36" s="162"/>
      <c r="CY36" s="162"/>
      <c r="CZ36" s="162"/>
      <c r="DA36" s="162"/>
      <c r="DB36" s="162"/>
      <c r="DC36" s="162"/>
      <c r="DD36" s="162"/>
      <c r="DE36" s="162"/>
      <c r="DF36" s="162"/>
      <c r="DG36" s="162"/>
      <c r="DH36" s="162"/>
      <c r="DI36" s="162"/>
      <c r="DJ36" s="162"/>
      <c r="DK36" s="162"/>
      <c r="DL36" s="162"/>
      <c r="DM36" s="162"/>
      <c r="DN36" s="162"/>
      <c r="DO36" s="162"/>
      <c r="DP36" s="162"/>
      <c r="DQ36" s="162"/>
      <c r="DR36" s="162"/>
      <c r="DS36" s="162"/>
      <c r="DT36" s="162"/>
      <c r="DU36" s="162"/>
      <c r="DV36" s="162"/>
      <c r="DW36" s="162"/>
      <c r="DX36" s="162"/>
      <c r="DY36" s="162"/>
      <c r="DZ36" s="162"/>
      <c r="EA36" s="162"/>
      <c r="EB36" s="162"/>
      <c r="EC36" s="162"/>
      <c r="ED36" s="162"/>
      <c r="EE36" s="162"/>
      <c r="EF36" s="162"/>
      <c r="EG36" s="162"/>
      <c r="EH36" s="162"/>
      <c r="EI36" s="162"/>
      <c r="EJ36" s="162"/>
      <c r="EK36" s="162"/>
      <c r="EL36" s="162"/>
      <c r="EM36" s="162"/>
      <c r="EN36" s="162"/>
      <c r="EO36" s="162"/>
      <c r="EP36" s="162"/>
      <c r="EQ36" s="162"/>
      <c r="ER36" s="162"/>
      <c r="ES36" s="162"/>
      <c r="ET36" s="162"/>
      <c r="EU36" s="162"/>
      <c r="EV36" s="162"/>
      <c r="EW36" s="162"/>
      <c r="EX36" s="162"/>
      <c r="EY36" s="162"/>
      <c r="EZ36" s="162"/>
      <c r="FA36" s="162"/>
      <c r="FB36" s="162"/>
      <c r="FC36" s="162"/>
      <c r="FD36" s="162"/>
      <c r="FE36" s="162"/>
      <c r="FF36" s="162"/>
      <c r="FG36" s="162"/>
      <c r="FH36" s="162"/>
      <c r="FI36" s="162"/>
      <c r="FJ36" s="162"/>
      <c r="FK36" s="162"/>
      <c r="FL36" s="162"/>
      <c r="FM36" s="162"/>
      <c r="FN36" s="162"/>
      <c r="FO36" s="162"/>
      <c r="FP36" s="162"/>
      <c r="FQ36" s="162"/>
      <c r="FR36" s="162"/>
      <c r="FS36" s="162"/>
      <c r="FT36" s="162"/>
      <c r="FU36" s="162"/>
      <c r="FV36" s="162"/>
      <c r="FW36" s="162"/>
      <c r="FX36" s="162"/>
      <c r="FY36" s="162"/>
      <c r="FZ36" s="162"/>
      <c r="GA36" s="162"/>
      <c r="GB36" s="162"/>
      <c r="GC36" s="162"/>
      <c r="GD36" s="162"/>
      <c r="GE36" s="162"/>
      <c r="GF36" s="162"/>
      <c r="GG36" s="162"/>
      <c r="GH36" s="162"/>
      <c r="GI36" s="162"/>
      <c r="GJ36" s="162"/>
      <c r="GK36" s="162"/>
      <c r="GL36" s="162"/>
      <c r="GM36" s="162"/>
      <c r="GN36" s="162"/>
      <c r="GO36" s="162"/>
      <c r="GP36" s="162"/>
      <c r="GQ36" s="162"/>
      <c r="GR36" s="162"/>
      <c r="GS36" s="162"/>
      <c r="GT36" s="162"/>
      <c r="GU36" s="162"/>
      <c r="GV36" s="162"/>
      <c r="GW36" s="162"/>
      <c r="GX36" s="162"/>
      <c r="GY36" s="162"/>
      <c r="GZ36" s="162"/>
      <c r="HA36" s="162"/>
      <c r="HB36" s="162"/>
      <c r="HC36" s="162"/>
      <c r="HD36" s="162"/>
      <c r="HE36" s="162"/>
      <c r="HF36" s="162"/>
      <c r="HG36" s="162"/>
      <c r="HH36" s="162"/>
      <c r="HI36" s="162"/>
      <c r="HJ36" s="162"/>
      <c r="HK36" s="162"/>
      <c r="HL36" s="162"/>
      <c r="HM36" s="162"/>
      <c r="HN36" s="162"/>
      <c r="HO36" s="162"/>
      <c r="HP36" s="162"/>
      <c r="HQ36" s="162"/>
      <c r="HR36" s="162"/>
      <c r="HS36" s="162"/>
      <c r="HT36" s="162"/>
      <c r="HU36" s="162"/>
      <c r="HV36" s="162"/>
      <c r="HW36" s="162"/>
      <c r="HX36" s="162"/>
      <c r="HY36" s="162"/>
      <c r="HZ36" s="162"/>
      <c r="IA36" s="162"/>
      <c r="IB36" s="162"/>
      <c r="IC36" s="162"/>
      <c r="ID36" s="162"/>
      <c r="IE36" s="162"/>
      <c r="IF36" s="162"/>
      <c r="IG36" s="162"/>
      <c r="IH36" s="162"/>
      <c r="II36" s="162"/>
      <c r="IJ36" s="162"/>
      <c r="IK36" s="162"/>
      <c r="IL36" s="162"/>
      <c r="IM36" s="162"/>
      <c r="IN36" s="162"/>
      <c r="IO36" s="162"/>
      <c r="IP36" s="162"/>
      <c r="IQ36" s="162"/>
      <c r="IR36" s="162"/>
      <c r="IS36" s="162"/>
      <c r="IT36" s="162"/>
      <c r="IU36" s="162"/>
      <c r="IV36" s="162"/>
      <c r="IW36" s="162"/>
    </row>
    <row r="37" customFormat="false" ht="15.75" hidden="false" customHeight="false" outlineLevel="0" collapsed="false">
      <c r="A37" s="64" t="s">
        <v>185</v>
      </c>
      <c r="B37" s="153" t="n">
        <v>400000000</v>
      </c>
      <c r="H37" s="165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62"/>
      <c r="GG37" s="162"/>
      <c r="GH37" s="162"/>
      <c r="GI37" s="162"/>
      <c r="GJ37" s="162"/>
      <c r="GK37" s="162"/>
      <c r="GL37" s="162"/>
      <c r="GM37" s="162"/>
      <c r="GN37" s="162"/>
      <c r="GO37" s="162"/>
      <c r="GP37" s="162"/>
      <c r="GQ37" s="162"/>
      <c r="GR37" s="162"/>
      <c r="GS37" s="162"/>
      <c r="GT37" s="162"/>
      <c r="GU37" s="162"/>
      <c r="GV37" s="162"/>
      <c r="GW37" s="162"/>
      <c r="GX37" s="162"/>
      <c r="GY37" s="162"/>
      <c r="GZ37" s="162"/>
      <c r="HA37" s="162"/>
      <c r="HB37" s="162"/>
      <c r="HC37" s="162"/>
      <c r="HD37" s="162"/>
      <c r="HE37" s="162"/>
      <c r="HF37" s="162"/>
      <c r="HG37" s="162"/>
      <c r="HH37" s="162"/>
      <c r="HI37" s="162"/>
      <c r="HJ37" s="162"/>
      <c r="HK37" s="162"/>
      <c r="HL37" s="162"/>
      <c r="HM37" s="162"/>
      <c r="HN37" s="162"/>
      <c r="HO37" s="162"/>
      <c r="HP37" s="162"/>
      <c r="HQ37" s="162"/>
      <c r="HR37" s="162"/>
      <c r="HS37" s="162"/>
      <c r="HT37" s="162"/>
      <c r="HU37" s="162"/>
      <c r="HV37" s="162"/>
      <c r="HW37" s="162"/>
      <c r="HX37" s="162"/>
      <c r="HY37" s="162"/>
      <c r="HZ37" s="162"/>
      <c r="IA37" s="162"/>
      <c r="IB37" s="162"/>
      <c r="IC37" s="162"/>
      <c r="ID37" s="162"/>
      <c r="IE37" s="162"/>
      <c r="IF37" s="162"/>
      <c r="IG37" s="162"/>
      <c r="IH37" s="162"/>
      <c r="II37" s="162"/>
      <c r="IJ37" s="162"/>
      <c r="IK37" s="162"/>
      <c r="IL37" s="162"/>
      <c r="IM37" s="162"/>
      <c r="IN37" s="162"/>
      <c r="IO37" s="162"/>
      <c r="IP37" s="162"/>
      <c r="IQ37" s="162"/>
      <c r="IR37" s="162"/>
      <c r="IS37" s="162"/>
      <c r="IT37" s="162"/>
      <c r="IU37" s="162"/>
      <c r="IV37" s="162"/>
      <c r="IW37" s="162"/>
    </row>
    <row r="38" customFormat="false" ht="15.75" hidden="false" customHeight="false" outlineLevel="0" collapsed="false">
      <c r="A38" s="64" t="s">
        <v>186</v>
      </c>
      <c r="B38" s="154" t="n">
        <v>0.07</v>
      </c>
      <c r="H38" s="165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  <c r="GW38" s="162"/>
      <c r="GX38" s="162"/>
      <c r="GY38" s="162"/>
      <c r="GZ38" s="162"/>
      <c r="HA38" s="162"/>
      <c r="HB38" s="162"/>
      <c r="HC38" s="162"/>
      <c r="HD38" s="162"/>
      <c r="HE38" s="162"/>
      <c r="HF38" s="162"/>
      <c r="HG38" s="162"/>
      <c r="HH38" s="162"/>
      <c r="HI38" s="162"/>
      <c r="HJ38" s="162"/>
      <c r="HK38" s="162"/>
      <c r="HL38" s="162"/>
      <c r="HM38" s="162"/>
      <c r="HN38" s="162"/>
      <c r="HO38" s="162"/>
      <c r="HP38" s="162"/>
      <c r="HQ38" s="162"/>
      <c r="HR38" s="162"/>
      <c r="HS38" s="162"/>
      <c r="HT38" s="162"/>
      <c r="HU38" s="162"/>
      <c r="HV38" s="162"/>
      <c r="HW38" s="162"/>
      <c r="HX38" s="162"/>
      <c r="HY38" s="162"/>
      <c r="HZ38" s="162"/>
      <c r="IA38" s="162"/>
      <c r="IB38" s="162"/>
      <c r="IC38" s="162"/>
      <c r="ID38" s="162"/>
      <c r="IE38" s="162"/>
      <c r="IF38" s="162"/>
      <c r="IG38" s="162"/>
      <c r="IH38" s="162"/>
      <c r="II38" s="162"/>
      <c r="IJ38" s="162"/>
      <c r="IK38" s="162"/>
      <c r="IL38" s="162"/>
      <c r="IM38" s="162"/>
      <c r="IN38" s="162"/>
      <c r="IO38" s="162"/>
      <c r="IP38" s="162"/>
      <c r="IQ38" s="162"/>
      <c r="IR38" s="162"/>
      <c r="IS38" s="162"/>
      <c r="IT38" s="162"/>
      <c r="IU38" s="162"/>
      <c r="IV38" s="162"/>
      <c r="IW38" s="162"/>
    </row>
    <row r="39" customFormat="false" ht="15.75" hidden="false" customHeight="false" outlineLevel="0" collapsed="false">
      <c r="A39" s="64" t="s">
        <v>188</v>
      </c>
      <c r="B39" s="156" t="n">
        <v>2</v>
      </c>
      <c r="H39" s="165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2"/>
      <c r="CC39" s="162"/>
      <c r="CD39" s="162"/>
      <c r="CE39" s="162"/>
      <c r="CF39" s="162"/>
      <c r="CG39" s="162"/>
      <c r="CH39" s="162"/>
      <c r="CI39" s="162"/>
      <c r="CJ39" s="162"/>
      <c r="CK39" s="162"/>
      <c r="CL39" s="162"/>
      <c r="CM39" s="162"/>
      <c r="CN39" s="162"/>
      <c r="CO39" s="162"/>
      <c r="CP39" s="162"/>
      <c r="CQ39" s="162"/>
      <c r="CR39" s="162"/>
      <c r="CS39" s="162"/>
      <c r="CT39" s="162"/>
      <c r="CU39" s="162"/>
      <c r="CV39" s="162"/>
      <c r="CW39" s="162"/>
      <c r="CX39" s="162"/>
      <c r="CY39" s="162"/>
      <c r="CZ39" s="162"/>
      <c r="DA39" s="162"/>
      <c r="DB39" s="162"/>
      <c r="DC39" s="162"/>
      <c r="DD39" s="162"/>
      <c r="DE39" s="162"/>
      <c r="DF39" s="162"/>
      <c r="DG39" s="162"/>
      <c r="DH39" s="162"/>
      <c r="DI39" s="162"/>
      <c r="DJ39" s="162"/>
      <c r="DK39" s="162"/>
      <c r="DL39" s="162"/>
      <c r="DM39" s="162"/>
      <c r="DN39" s="162"/>
      <c r="DO39" s="162"/>
      <c r="DP39" s="162"/>
      <c r="DQ39" s="162"/>
      <c r="DR39" s="162"/>
      <c r="DS39" s="162"/>
      <c r="DT39" s="162"/>
      <c r="DU39" s="162"/>
      <c r="DV39" s="162"/>
      <c r="DW39" s="162"/>
      <c r="DX39" s="162"/>
      <c r="DY39" s="162"/>
      <c r="DZ39" s="162"/>
      <c r="EA39" s="162"/>
      <c r="EB39" s="162"/>
      <c r="EC39" s="162"/>
      <c r="ED39" s="162"/>
      <c r="EE39" s="162"/>
      <c r="EF39" s="162"/>
      <c r="EG39" s="162"/>
      <c r="EH39" s="162"/>
      <c r="EI39" s="162"/>
      <c r="EJ39" s="162"/>
      <c r="EK39" s="162"/>
      <c r="EL39" s="162"/>
      <c r="EM39" s="162"/>
      <c r="EN39" s="162"/>
      <c r="EO39" s="162"/>
      <c r="EP39" s="162"/>
      <c r="EQ39" s="162"/>
      <c r="ER39" s="162"/>
      <c r="ES39" s="162"/>
      <c r="ET39" s="162"/>
      <c r="EU39" s="162"/>
      <c r="EV39" s="162"/>
      <c r="EW39" s="162"/>
      <c r="EX39" s="162"/>
      <c r="EY39" s="162"/>
      <c r="EZ39" s="162"/>
      <c r="FA39" s="162"/>
      <c r="FB39" s="162"/>
      <c r="FC39" s="162"/>
      <c r="FD39" s="162"/>
      <c r="FE39" s="162"/>
      <c r="FF39" s="162"/>
      <c r="FG39" s="162"/>
      <c r="FH39" s="162"/>
      <c r="FI39" s="162"/>
      <c r="FJ39" s="162"/>
      <c r="FK39" s="162"/>
      <c r="FL39" s="162"/>
      <c r="FM39" s="162"/>
      <c r="FN39" s="162"/>
      <c r="FO39" s="162"/>
      <c r="FP39" s="162"/>
      <c r="FQ39" s="162"/>
      <c r="FR39" s="162"/>
      <c r="FS39" s="162"/>
      <c r="FT39" s="162"/>
      <c r="FU39" s="162"/>
      <c r="FV39" s="162"/>
      <c r="FW39" s="162"/>
      <c r="FX39" s="162"/>
      <c r="FY39" s="162"/>
      <c r="FZ39" s="162"/>
      <c r="GA39" s="162"/>
      <c r="GB39" s="162"/>
      <c r="GC39" s="162"/>
      <c r="GD39" s="162"/>
      <c r="GE39" s="162"/>
      <c r="GF39" s="162"/>
      <c r="GG39" s="162"/>
      <c r="GH39" s="162"/>
      <c r="GI39" s="162"/>
      <c r="GJ39" s="162"/>
      <c r="GK39" s="162"/>
      <c r="GL39" s="162"/>
      <c r="GM39" s="162"/>
      <c r="GN39" s="162"/>
      <c r="GO39" s="162"/>
      <c r="GP39" s="162"/>
      <c r="GQ39" s="162"/>
      <c r="GR39" s="162"/>
      <c r="GS39" s="162"/>
      <c r="GT39" s="162"/>
      <c r="GU39" s="162"/>
      <c r="GV39" s="162"/>
      <c r="GW39" s="162"/>
      <c r="GX39" s="162"/>
      <c r="GY39" s="162"/>
      <c r="GZ39" s="162"/>
      <c r="HA39" s="162"/>
      <c r="HB39" s="162"/>
      <c r="HC39" s="162"/>
      <c r="HD39" s="162"/>
      <c r="HE39" s="162"/>
      <c r="HF39" s="162"/>
      <c r="HG39" s="162"/>
      <c r="HH39" s="162"/>
      <c r="HI39" s="162"/>
      <c r="HJ39" s="162"/>
      <c r="HK39" s="162"/>
      <c r="HL39" s="162"/>
      <c r="HM39" s="162"/>
      <c r="HN39" s="162"/>
      <c r="HO39" s="162"/>
      <c r="HP39" s="162"/>
      <c r="HQ39" s="162"/>
      <c r="HR39" s="162"/>
      <c r="HS39" s="162"/>
      <c r="HT39" s="162"/>
      <c r="HU39" s="162"/>
      <c r="HV39" s="162"/>
      <c r="HW39" s="162"/>
      <c r="HX39" s="162"/>
      <c r="HY39" s="162"/>
      <c r="HZ39" s="162"/>
      <c r="IA39" s="162"/>
      <c r="IB39" s="162"/>
      <c r="IC39" s="162"/>
      <c r="ID39" s="162"/>
      <c r="IE39" s="162"/>
      <c r="IF39" s="162"/>
      <c r="IG39" s="162"/>
      <c r="IH39" s="162"/>
      <c r="II39" s="162"/>
      <c r="IJ39" s="162"/>
      <c r="IK39" s="162"/>
      <c r="IL39" s="162"/>
      <c r="IM39" s="162"/>
      <c r="IN39" s="162"/>
      <c r="IO39" s="162"/>
      <c r="IP39" s="162"/>
      <c r="IQ39" s="162"/>
      <c r="IR39" s="162"/>
      <c r="IS39" s="162"/>
      <c r="IT39" s="162"/>
      <c r="IU39" s="162"/>
      <c r="IV39" s="162"/>
      <c r="IW39" s="162"/>
    </row>
    <row r="40" customFormat="false" ht="15.75" hidden="false" customHeight="false" outlineLevel="0" collapsed="false">
      <c r="H40" s="165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2"/>
      <c r="BM40" s="162"/>
      <c r="BN40" s="162"/>
      <c r="BO40" s="162"/>
      <c r="BP40" s="162"/>
      <c r="BQ40" s="162"/>
      <c r="BR40" s="162"/>
      <c r="BS40" s="162"/>
      <c r="BT40" s="162"/>
      <c r="BU40" s="162"/>
      <c r="BV40" s="162"/>
      <c r="BW40" s="162"/>
      <c r="BX40" s="162"/>
      <c r="BY40" s="162"/>
      <c r="BZ40" s="162"/>
      <c r="CA40" s="162"/>
      <c r="CB40" s="162"/>
      <c r="CC40" s="162"/>
      <c r="CD40" s="162"/>
      <c r="CE40" s="162"/>
      <c r="CF40" s="162"/>
      <c r="CG40" s="162"/>
      <c r="CH40" s="162"/>
      <c r="CI40" s="162"/>
      <c r="CJ40" s="162"/>
      <c r="CK40" s="162"/>
      <c r="CL40" s="162"/>
      <c r="CM40" s="162"/>
      <c r="CN40" s="162"/>
      <c r="CO40" s="162"/>
      <c r="CP40" s="162"/>
      <c r="CQ40" s="162"/>
      <c r="CR40" s="162"/>
      <c r="CS40" s="162"/>
      <c r="CT40" s="162"/>
      <c r="CU40" s="162"/>
      <c r="CV40" s="162"/>
      <c r="CW40" s="162"/>
      <c r="CX40" s="162"/>
      <c r="CY40" s="162"/>
      <c r="CZ40" s="162"/>
      <c r="DA40" s="162"/>
      <c r="DB40" s="162"/>
      <c r="DC40" s="162"/>
      <c r="DD40" s="162"/>
      <c r="DE40" s="162"/>
      <c r="DF40" s="162"/>
      <c r="DG40" s="162"/>
      <c r="DH40" s="162"/>
      <c r="DI40" s="162"/>
      <c r="DJ40" s="162"/>
      <c r="DK40" s="162"/>
      <c r="DL40" s="162"/>
      <c r="DM40" s="162"/>
      <c r="DN40" s="162"/>
      <c r="DO40" s="162"/>
      <c r="DP40" s="162"/>
      <c r="DQ40" s="162"/>
      <c r="DR40" s="162"/>
      <c r="DS40" s="162"/>
      <c r="DT40" s="162"/>
      <c r="DU40" s="162"/>
      <c r="DV40" s="162"/>
      <c r="DW40" s="162"/>
      <c r="DX40" s="162"/>
      <c r="DY40" s="162"/>
      <c r="DZ40" s="162"/>
      <c r="EA40" s="162"/>
      <c r="EB40" s="162"/>
      <c r="EC40" s="162"/>
      <c r="ED40" s="162"/>
      <c r="EE40" s="162"/>
      <c r="EF40" s="162"/>
      <c r="EG40" s="162"/>
      <c r="EH40" s="162"/>
      <c r="EI40" s="162"/>
      <c r="EJ40" s="162"/>
      <c r="EK40" s="162"/>
      <c r="EL40" s="162"/>
      <c r="EM40" s="162"/>
      <c r="EN40" s="162"/>
      <c r="EO40" s="162"/>
      <c r="EP40" s="162"/>
      <c r="EQ40" s="162"/>
      <c r="ER40" s="162"/>
      <c r="ES40" s="162"/>
      <c r="ET40" s="162"/>
      <c r="EU40" s="162"/>
      <c r="EV40" s="162"/>
      <c r="EW40" s="162"/>
      <c r="EX40" s="162"/>
      <c r="EY40" s="162"/>
      <c r="EZ40" s="162"/>
      <c r="FA40" s="162"/>
      <c r="FB40" s="162"/>
      <c r="FC40" s="162"/>
      <c r="FD40" s="162"/>
      <c r="FE40" s="162"/>
      <c r="FF40" s="162"/>
      <c r="FG40" s="162"/>
      <c r="FH40" s="162"/>
      <c r="FI40" s="162"/>
      <c r="FJ40" s="162"/>
      <c r="FK40" s="162"/>
      <c r="FL40" s="162"/>
      <c r="FM40" s="162"/>
      <c r="FN40" s="162"/>
      <c r="FO40" s="162"/>
      <c r="FP40" s="162"/>
      <c r="FQ40" s="162"/>
      <c r="FR40" s="162"/>
      <c r="FS40" s="162"/>
      <c r="FT40" s="162"/>
      <c r="FU40" s="162"/>
      <c r="FV40" s="162"/>
      <c r="FW40" s="162"/>
      <c r="FX40" s="162"/>
      <c r="FY40" s="162"/>
      <c r="FZ40" s="162"/>
      <c r="GA40" s="162"/>
      <c r="GB40" s="162"/>
      <c r="GC40" s="162"/>
      <c r="GD40" s="162"/>
      <c r="GE40" s="162"/>
      <c r="GF40" s="162"/>
      <c r="GG40" s="162"/>
      <c r="GH40" s="162"/>
      <c r="GI40" s="162"/>
      <c r="GJ40" s="162"/>
      <c r="GK40" s="162"/>
      <c r="GL40" s="162"/>
      <c r="GM40" s="162"/>
      <c r="GN40" s="162"/>
      <c r="GO40" s="162"/>
      <c r="GP40" s="162"/>
      <c r="GQ40" s="162"/>
      <c r="GR40" s="162"/>
      <c r="GS40" s="162"/>
      <c r="GT40" s="162"/>
      <c r="GU40" s="162"/>
      <c r="GV40" s="162"/>
      <c r="GW40" s="162"/>
      <c r="GX40" s="162"/>
      <c r="GY40" s="162"/>
      <c r="GZ40" s="162"/>
      <c r="HA40" s="162"/>
      <c r="HB40" s="162"/>
      <c r="HC40" s="162"/>
      <c r="HD40" s="162"/>
      <c r="HE40" s="162"/>
      <c r="HF40" s="162"/>
      <c r="HG40" s="162"/>
      <c r="HH40" s="162"/>
      <c r="HI40" s="162"/>
      <c r="HJ40" s="162"/>
      <c r="HK40" s="162"/>
      <c r="HL40" s="162"/>
      <c r="HM40" s="162"/>
      <c r="HN40" s="162"/>
      <c r="HO40" s="162"/>
      <c r="HP40" s="162"/>
      <c r="HQ40" s="162"/>
      <c r="HR40" s="162"/>
      <c r="HS40" s="162"/>
      <c r="HT40" s="162"/>
      <c r="HU40" s="162"/>
      <c r="HV40" s="162"/>
      <c r="HW40" s="162"/>
      <c r="HX40" s="162"/>
      <c r="HY40" s="162"/>
      <c r="HZ40" s="162"/>
      <c r="IA40" s="162"/>
      <c r="IB40" s="162"/>
      <c r="IC40" s="162"/>
      <c r="ID40" s="162"/>
      <c r="IE40" s="162"/>
      <c r="IF40" s="162"/>
      <c r="IG40" s="162"/>
      <c r="IH40" s="162"/>
      <c r="II40" s="162"/>
      <c r="IJ40" s="162"/>
      <c r="IK40" s="162"/>
      <c r="IL40" s="162"/>
      <c r="IM40" s="162"/>
      <c r="IN40" s="162"/>
      <c r="IO40" s="162"/>
      <c r="IP40" s="162"/>
      <c r="IQ40" s="162"/>
      <c r="IR40" s="162"/>
      <c r="IS40" s="162"/>
      <c r="IT40" s="162"/>
      <c r="IU40" s="162"/>
      <c r="IV40" s="162"/>
      <c r="IW40" s="162"/>
    </row>
    <row r="41" customFormat="false" ht="26.25" hidden="false" customHeight="false" outlineLevel="0" collapsed="false">
      <c r="A41" s="157"/>
      <c r="B41" s="158" t="s">
        <v>190</v>
      </c>
      <c r="C41" s="159" t="s">
        <v>157</v>
      </c>
      <c r="D41" s="159" t="s">
        <v>201</v>
      </c>
      <c r="E41" s="159" t="s">
        <v>185</v>
      </c>
      <c r="F41" s="159" t="s">
        <v>169</v>
      </c>
      <c r="G41" s="159" t="s">
        <v>165</v>
      </c>
      <c r="H41" s="159" t="s">
        <v>191</v>
      </c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  <c r="CY41" s="162"/>
      <c r="CZ41" s="162"/>
      <c r="DA41" s="162"/>
      <c r="DB41" s="162"/>
      <c r="DC41" s="162"/>
      <c r="DD41" s="162"/>
      <c r="DE41" s="162"/>
      <c r="DF41" s="162"/>
      <c r="DG41" s="162"/>
      <c r="DH41" s="162"/>
      <c r="DI41" s="162"/>
      <c r="DJ41" s="162"/>
      <c r="DK41" s="162"/>
      <c r="DL41" s="162"/>
      <c r="DM41" s="162"/>
      <c r="DN41" s="162"/>
      <c r="DO41" s="162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  <c r="FW41" s="162"/>
      <c r="FX41" s="162"/>
      <c r="FY41" s="162"/>
      <c r="FZ41" s="162"/>
      <c r="GA41" s="162"/>
      <c r="GB41" s="162"/>
      <c r="GC41" s="162"/>
      <c r="GD41" s="162"/>
      <c r="GE41" s="162"/>
      <c r="GF41" s="162"/>
      <c r="GG41" s="162"/>
      <c r="GH41" s="162"/>
      <c r="GI41" s="162"/>
      <c r="GJ41" s="162"/>
      <c r="GK41" s="162"/>
      <c r="GL41" s="162"/>
      <c r="GM41" s="162"/>
      <c r="GN41" s="162"/>
      <c r="GO41" s="162"/>
      <c r="GP41" s="162"/>
      <c r="GQ41" s="162"/>
      <c r="GR41" s="162"/>
      <c r="GS41" s="162"/>
      <c r="GT41" s="162"/>
      <c r="GU41" s="162"/>
      <c r="GV41" s="162"/>
      <c r="GW41" s="162"/>
      <c r="GX41" s="162"/>
      <c r="GY41" s="162"/>
      <c r="GZ41" s="162"/>
      <c r="HA41" s="162"/>
      <c r="HB41" s="162"/>
      <c r="HC41" s="162"/>
      <c r="HD41" s="162"/>
      <c r="HE41" s="162"/>
      <c r="HF41" s="162"/>
      <c r="HG41" s="162"/>
      <c r="HH41" s="162"/>
      <c r="HI41" s="162"/>
      <c r="HJ41" s="162"/>
      <c r="HK41" s="162"/>
      <c r="HL41" s="162"/>
      <c r="HM41" s="162"/>
      <c r="HN41" s="162"/>
      <c r="HO41" s="162"/>
      <c r="HP41" s="162"/>
      <c r="HQ41" s="162"/>
      <c r="HR41" s="162"/>
      <c r="HS41" s="162"/>
      <c r="HT41" s="162"/>
      <c r="HU41" s="162"/>
      <c r="HV41" s="162"/>
      <c r="HW41" s="162"/>
      <c r="HX41" s="162"/>
      <c r="HY41" s="162"/>
      <c r="HZ41" s="162"/>
      <c r="IA41" s="162"/>
      <c r="IB41" s="162"/>
      <c r="IC41" s="162"/>
      <c r="ID41" s="162"/>
      <c r="IE41" s="162"/>
      <c r="IF41" s="162"/>
      <c r="IG41" s="162"/>
      <c r="IH41" s="162"/>
      <c r="II41" s="162"/>
      <c r="IJ41" s="162"/>
      <c r="IK41" s="162"/>
      <c r="IL41" s="162"/>
      <c r="IM41" s="162"/>
      <c r="IN41" s="162"/>
      <c r="IO41" s="162"/>
      <c r="IP41" s="162"/>
      <c r="IQ41" s="162"/>
      <c r="IR41" s="162"/>
      <c r="IS41" s="162"/>
      <c r="IT41" s="162"/>
      <c r="IU41" s="162"/>
      <c r="IV41" s="162"/>
      <c r="IW41" s="162"/>
    </row>
    <row r="42" customFormat="false" ht="15.75" hidden="false" customHeight="false" outlineLevel="0" collapsed="false">
      <c r="A42" s="56" t="n">
        <v>36706</v>
      </c>
      <c r="B42" s="160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6" t="n">
        <f aca="false">+A42</f>
        <v>36706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2"/>
      <c r="BM42" s="162"/>
      <c r="BN42" s="162"/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2"/>
      <c r="CR42" s="162"/>
      <c r="CS42" s="162"/>
      <c r="CT42" s="162"/>
      <c r="CU42" s="162"/>
      <c r="CV42" s="162"/>
      <c r="CW42" s="162"/>
      <c r="CX42" s="162"/>
      <c r="CY42" s="162"/>
      <c r="CZ42" s="162"/>
      <c r="DA42" s="162"/>
      <c r="DB42" s="162"/>
      <c r="DC42" s="162"/>
      <c r="DD42" s="162"/>
      <c r="DE42" s="162"/>
      <c r="DF42" s="162"/>
      <c r="DG42" s="162"/>
      <c r="DH42" s="162"/>
      <c r="DI42" s="162"/>
      <c r="DJ42" s="162"/>
      <c r="DK42" s="162"/>
      <c r="DL42" s="162"/>
      <c r="DM42" s="162"/>
      <c r="DN42" s="162"/>
      <c r="DO42" s="162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  <c r="FW42" s="162"/>
      <c r="FX42" s="162"/>
      <c r="FY42" s="162"/>
      <c r="FZ42" s="162"/>
      <c r="GA42" s="162"/>
      <c r="GB42" s="162"/>
      <c r="GC42" s="162"/>
      <c r="GD42" s="162"/>
      <c r="GE42" s="162"/>
      <c r="GF42" s="162"/>
      <c r="GG42" s="162"/>
      <c r="GH42" s="162"/>
      <c r="GI42" s="162"/>
      <c r="GJ42" s="162"/>
      <c r="GK42" s="162"/>
      <c r="GL42" s="162"/>
      <c r="GM42" s="162"/>
      <c r="GN42" s="162"/>
      <c r="GO42" s="162"/>
      <c r="GP42" s="162"/>
      <c r="GQ42" s="162"/>
      <c r="GR42" s="162"/>
      <c r="GS42" s="162"/>
      <c r="GT42" s="162"/>
      <c r="GU42" s="162"/>
      <c r="GV42" s="162"/>
      <c r="GW42" s="162"/>
      <c r="GX42" s="162"/>
      <c r="GY42" s="162"/>
      <c r="GZ42" s="162"/>
      <c r="HA42" s="162"/>
      <c r="HB42" s="162"/>
      <c r="HC42" s="162"/>
      <c r="HD42" s="162"/>
      <c r="HE42" s="162"/>
      <c r="HF42" s="162"/>
      <c r="HG42" s="162"/>
      <c r="HH42" s="162"/>
      <c r="HI42" s="162"/>
      <c r="HJ42" s="162"/>
      <c r="HK42" s="162"/>
      <c r="HL42" s="162"/>
      <c r="HM42" s="162"/>
      <c r="HN42" s="162"/>
      <c r="HO42" s="162"/>
      <c r="HP42" s="162"/>
      <c r="HQ42" s="162"/>
      <c r="HR42" s="162"/>
      <c r="HS42" s="162"/>
      <c r="HT42" s="162"/>
      <c r="HU42" s="162"/>
      <c r="HV42" s="162"/>
      <c r="HW42" s="162"/>
      <c r="HX42" s="162"/>
      <c r="HY42" s="162"/>
      <c r="HZ42" s="162"/>
      <c r="IA42" s="162"/>
      <c r="IB42" s="162"/>
      <c r="IC42" s="162"/>
      <c r="ID42" s="162"/>
      <c r="IE42" s="162"/>
      <c r="IF42" s="162"/>
      <c r="IG42" s="162"/>
      <c r="IH42" s="162"/>
      <c r="II42" s="162"/>
      <c r="IJ42" s="162"/>
      <c r="IK42" s="162"/>
      <c r="IL42" s="162"/>
      <c r="IM42" s="162"/>
      <c r="IN42" s="162"/>
      <c r="IO42" s="162"/>
      <c r="IP42" s="162"/>
      <c r="IQ42" s="162"/>
      <c r="IR42" s="162"/>
      <c r="IS42" s="162"/>
      <c r="IT42" s="162"/>
      <c r="IU42" s="162"/>
      <c r="IV42" s="162"/>
      <c r="IW42" s="162"/>
    </row>
    <row r="43" customFormat="false" ht="15.75" hidden="false" customHeight="false" outlineLevel="0" collapsed="false">
      <c r="A43" s="56" t="n">
        <v>36889</v>
      </c>
      <c r="B43" s="160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6" t="n">
        <f aca="false">+A43</f>
        <v>36889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2"/>
      <c r="BM43" s="162"/>
      <c r="BN43" s="162"/>
      <c r="BO43" s="162"/>
      <c r="BP43" s="162"/>
      <c r="BQ43" s="162"/>
      <c r="BR43" s="162"/>
      <c r="BS43" s="162"/>
      <c r="BT43" s="162"/>
      <c r="BU43" s="162"/>
      <c r="BV43" s="162"/>
      <c r="BW43" s="162"/>
      <c r="BX43" s="162"/>
      <c r="BY43" s="162"/>
      <c r="BZ43" s="162"/>
      <c r="CA43" s="162"/>
      <c r="CB43" s="162"/>
      <c r="CC43" s="162"/>
      <c r="CD43" s="162"/>
      <c r="CE43" s="162"/>
      <c r="CF43" s="162"/>
      <c r="CG43" s="162"/>
      <c r="CH43" s="162"/>
      <c r="CI43" s="162"/>
      <c r="CJ43" s="162"/>
      <c r="CK43" s="162"/>
      <c r="CL43" s="162"/>
      <c r="CM43" s="162"/>
      <c r="CN43" s="162"/>
      <c r="CO43" s="162"/>
      <c r="CP43" s="162"/>
      <c r="CQ43" s="162"/>
      <c r="CR43" s="162"/>
      <c r="CS43" s="162"/>
      <c r="CT43" s="162"/>
      <c r="CU43" s="162"/>
      <c r="CV43" s="162"/>
      <c r="CW43" s="162"/>
      <c r="CX43" s="162"/>
      <c r="CY43" s="162"/>
      <c r="CZ43" s="162"/>
      <c r="DA43" s="162"/>
      <c r="DB43" s="162"/>
      <c r="DC43" s="162"/>
      <c r="DD43" s="162"/>
      <c r="DE43" s="162"/>
      <c r="DF43" s="162"/>
      <c r="DG43" s="162"/>
      <c r="DH43" s="162"/>
      <c r="DI43" s="162"/>
      <c r="DJ43" s="162"/>
      <c r="DK43" s="162"/>
      <c r="DL43" s="162"/>
      <c r="DM43" s="162"/>
      <c r="DN43" s="162"/>
      <c r="DO43" s="162"/>
      <c r="DP43" s="162"/>
      <c r="DQ43" s="162"/>
      <c r="DR43" s="162"/>
      <c r="DS43" s="162"/>
      <c r="DT43" s="162"/>
      <c r="DU43" s="162"/>
      <c r="DV43" s="162"/>
      <c r="DW43" s="162"/>
      <c r="DX43" s="162"/>
      <c r="DY43" s="162"/>
      <c r="DZ43" s="162"/>
      <c r="EA43" s="162"/>
      <c r="EB43" s="162"/>
      <c r="EC43" s="162"/>
      <c r="ED43" s="162"/>
      <c r="EE43" s="162"/>
      <c r="EF43" s="162"/>
      <c r="EG43" s="162"/>
      <c r="EH43" s="162"/>
      <c r="EI43" s="162"/>
      <c r="EJ43" s="162"/>
      <c r="EK43" s="162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  <c r="FW43" s="162"/>
      <c r="FX43" s="162"/>
      <c r="FY43" s="162"/>
      <c r="FZ43" s="162"/>
      <c r="GA43" s="162"/>
      <c r="GB43" s="162"/>
      <c r="GC43" s="162"/>
      <c r="GD43" s="162"/>
      <c r="GE43" s="162"/>
      <c r="GF43" s="162"/>
      <c r="GG43" s="162"/>
      <c r="GH43" s="162"/>
      <c r="GI43" s="162"/>
      <c r="GJ43" s="162"/>
      <c r="GK43" s="162"/>
      <c r="GL43" s="162"/>
      <c r="GM43" s="162"/>
      <c r="GN43" s="162"/>
      <c r="GO43" s="162"/>
      <c r="GP43" s="162"/>
      <c r="GQ43" s="162"/>
      <c r="GR43" s="162"/>
      <c r="GS43" s="162"/>
      <c r="GT43" s="162"/>
      <c r="GU43" s="162"/>
      <c r="GV43" s="162"/>
      <c r="GW43" s="162"/>
      <c r="GX43" s="162"/>
      <c r="GY43" s="162"/>
      <c r="GZ43" s="162"/>
      <c r="HA43" s="162"/>
      <c r="HB43" s="162"/>
      <c r="HC43" s="162"/>
      <c r="HD43" s="162"/>
      <c r="HE43" s="162"/>
      <c r="HF43" s="162"/>
      <c r="HG43" s="162"/>
      <c r="HH43" s="162"/>
      <c r="HI43" s="162"/>
      <c r="HJ43" s="162"/>
      <c r="HK43" s="162"/>
      <c r="HL43" s="162"/>
      <c r="HM43" s="162"/>
      <c r="HN43" s="162"/>
      <c r="HO43" s="162"/>
      <c r="HP43" s="162"/>
      <c r="HQ43" s="162"/>
      <c r="HR43" s="162"/>
      <c r="HS43" s="162"/>
      <c r="HT43" s="162"/>
      <c r="HU43" s="162"/>
      <c r="HV43" s="162"/>
      <c r="HW43" s="162"/>
      <c r="HX43" s="162"/>
      <c r="HY43" s="162"/>
      <c r="HZ43" s="162"/>
      <c r="IA43" s="162"/>
      <c r="IB43" s="162"/>
      <c r="IC43" s="162"/>
      <c r="ID43" s="162"/>
      <c r="IE43" s="162"/>
      <c r="IF43" s="162"/>
      <c r="IG43" s="162"/>
      <c r="IH43" s="162"/>
      <c r="II43" s="162"/>
      <c r="IJ43" s="162"/>
      <c r="IK43" s="162"/>
      <c r="IL43" s="162"/>
      <c r="IM43" s="162"/>
      <c r="IN43" s="162"/>
      <c r="IO43" s="162"/>
      <c r="IP43" s="162"/>
      <c r="IQ43" s="162"/>
      <c r="IR43" s="162"/>
      <c r="IS43" s="162"/>
      <c r="IT43" s="162"/>
      <c r="IU43" s="162"/>
      <c r="IV43" s="162"/>
      <c r="IW43" s="162"/>
    </row>
    <row r="44" customFormat="false" ht="15.75" hidden="false" customHeight="false" outlineLevel="0" collapsed="false">
      <c r="A44" s="56" t="n">
        <v>37071</v>
      </c>
      <c r="B44" s="160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6" t="n">
        <f aca="false">+A44</f>
        <v>37071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162"/>
      <c r="DT44" s="162"/>
      <c r="DU44" s="162"/>
      <c r="DV44" s="162"/>
      <c r="DW44" s="162"/>
      <c r="DX44" s="162"/>
      <c r="DY44" s="162"/>
      <c r="DZ44" s="162"/>
      <c r="EA44" s="162"/>
      <c r="EB44" s="162"/>
      <c r="EC44" s="162"/>
      <c r="ED44" s="162"/>
      <c r="EE44" s="162"/>
      <c r="EF44" s="162"/>
      <c r="EG44" s="162"/>
      <c r="EH44" s="162"/>
      <c r="EI44" s="162"/>
      <c r="EJ44" s="162"/>
      <c r="EK44" s="162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  <c r="FW44" s="162"/>
      <c r="FX44" s="162"/>
      <c r="FY44" s="162"/>
      <c r="FZ44" s="162"/>
      <c r="GA44" s="162"/>
      <c r="GB44" s="162"/>
      <c r="GC44" s="162"/>
      <c r="GD44" s="162"/>
      <c r="GE44" s="162"/>
      <c r="GF44" s="162"/>
      <c r="GG44" s="162"/>
      <c r="GH44" s="162"/>
      <c r="GI44" s="162"/>
      <c r="GJ44" s="162"/>
      <c r="GK44" s="162"/>
      <c r="GL44" s="162"/>
      <c r="GM44" s="162"/>
      <c r="GN44" s="162"/>
      <c r="GO44" s="162"/>
      <c r="GP44" s="162"/>
      <c r="GQ44" s="162"/>
      <c r="GR44" s="162"/>
      <c r="GS44" s="162"/>
      <c r="GT44" s="162"/>
      <c r="GU44" s="162"/>
      <c r="GV44" s="162"/>
      <c r="GW44" s="162"/>
      <c r="GX44" s="162"/>
      <c r="GY44" s="162"/>
      <c r="GZ44" s="162"/>
      <c r="HA44" s="162"/>
      <c r="HB44" s="162"/>
      <c r="HC44" s="162"/>
      <c r="HD44" s="162"/>
      <c r="HE44" s="162"/>
      <c r="HF44" s="162"/>
      <c r="HG44" s="162"/>
      <c r="HH44" s="162"/>
      <c r="HI44" s="162"/>
      <c r="HJ44" s="162"/>
      <c r="HK44" s="162"/>
      <c r="HL44" s="162"/>
      <c r="HM44" s="162"/>
      <c r="HN44" s="162"/>
      <c r="HO44" s="162"/>
      <c r="HP44" s="162"/>
      <c r="HQ44" s="162"/>
      <c r="HR44" s="162"/>
      <c r="HS44" s="162"/>
      <c r="HT44" s="162"/>
      <c r="HU44" s="162"/>
      <c r="HV44" s="162"/>
      <c r="HW44" s="162"/>
      <c r="HX44" s="162"/>
      <c r="HY44" s="162"/>
      <c r="HZ44" s="162"/>
      <c r="IA44" s="162"/>
      <c r="IB44" s="162"/>
      <c r="IC44" s="162"/>
      <c r="ID44" s="162"/>
      <c r="IE44" s="162"/>
      <c r="IF44" s="162"/>
      <c r="IG44" s="162"/>
      <c r="IH44" s="162"/>
      <c r="II44" s="162"/>
      <c r="IJ44" s="162"/>
      <c r="IK44" s="162"/>
      <c r="IL44" s="162"/>
      <c r="IM44" s="162"/>
      <c r="IN44" s="162"/>
      <c r="IO44" s="162"/>
      <c r="IP44" s="162"/>
      <c r="IQ44" s="162"/>
      <c r="IR44" s="162"/>
      <c r="IS44" s="162"/>
      <c r="IT44" s="162"/>
      <c r="IU44" s="162"/>
      <c r="IV44" s="162"/>
      <c r="IW44" s="162"/>
    </row>
    <row r="45" customFormat="false" ht="15.75" hidden="false" customHeight="false" outlineLevel="0" collapsed="false">
      <c r="A45" s="56" t="n">
        <v>37254</v>
      </c>
      <c r="B45" s="160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6" t="n">
        <f aca="false">+A45</f>
        <v>37254</v>
      </c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2"/>
      <c r="BM45" s="162"/>
      <c r="BN45" s="162"/>
      <c r="BO45" s="162"/>
      <c r="BP45" s="162"/>
      <c r="BQ45" s="162"/>
      <c r="BR45" s="162"/>
      <c r="BS45" s="162"/>
      <c r="BT45" s="162"/>
      <c r="BU45" s="162"/>
      <c r="BV45" s="162"/>
      <c r="BW45" s="162"/>
      <c r="BX45" s="162"/>
      <c r="BY45" s="162"/>
      <c r="BZ45" s="162"/>
      <c r="CA45" s="162"/>
      <c r="CB45" s="162"/>
      <c r="CC45" s="162"/>
      <c r="CD45" s="162"/>
      <c r="CE45" s="162"/>
      <c r="CF45" s="162"/>
      <c r="CG45" s="162"/>
      <c r="CH45" s="162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62"/>
      <c r="CU45" s="162"/>
      <c r="CV45" s="162"/>
      <c r="CW45" s="162"/>
      <c r="CX45" s="162"/>
      <c r="CY45" s="162"/>
      <c r="CZ45" s="162"/>
      <c r="DA45" s="162"/>
      <c r="DB45" s="162"/>
      <c r="DC45" s="162"/>
      <c r="DD45" s="162"/>
      <c r="DE45" s="162"/>
      <c r="DF45" s="162"/>
      <c r="DG45" s="162"/>
      <c r="DH45" s="162"/>
      <c r="DI45" s="162"/>
      <c r="DJ45" s="162"/>
      <c r="DK45" s="162"/>
      <c r="DL45" s="162"/>
      <c r="DM45" s="162"/>
      <c r="DN45" s="162"/>
      <c r="DO45" s="162"/>
      <c r="DP45" s="162"/>
      <c r="DQ45" s="162"/>
      <c r="DR45" s="162"/>
      <c r="DS45" s="162"/>
      <c r="DT45" s="162"/>
      <c r="DU45" s="162"/>
      <c r="DV45" s="162"/>
      <c r="DW45" s="162"/>
      <c r="DX45" s="162"/>
      <c r="DY45" s="162"/>
      <c r="DZ45" s="162"/>
      <c r="EA45" s="162"/>
      <c r="EB45" s="162"/>
      <c r="EC45" s="162"/>
      <c r="ED45" s="162"/>
      <c r="EE45" s="162"/>
      <c r="EF45" s="162"/>
      <c r="EG45" s="162"/>
      <c r="EH45" s="162"/>
      <c r="EI45" s="162"/>
      <c r="EJ45" s="162"/>
      <c r="EK45" s="162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  <c r="FW45" s="162"/>
      <c r="FX45" s="162"/>
      <c r="FY45" s="162"/>
      <c r="FZ45" s="162"/>
      <c r="GA45" s="162"/>
      <c r="GB45" s="162"/>
      <c r="GC45" s="162"/>
      <c r="GD45" s="162"/>
      <c r="GE45" s="162"/>
      <c r="GF45" s="162"/>
      <c r="GG45" s="162"/>
      <c r="GH45" s="162"/>
      <c r="GI45" s="162"/>
      <c r="GJ45" s="162"/>
      <c r="GK45" s="162"/>
      <c r="GL45" s="162"/>
      <c r="GM45" s="162"/>
      <c r="GN45" s="162"/>
      <c r="GO45" s="162"/>
      <c r="GP45" s="162"/>
      <c r="GQ45" s="162"/>
      <c r="GR45" s="162"/>
      <c r="GS45" s="162"/>
      <c r="GT45" s="162"/>
      <c r="GU45" s="162"/>
      <c r="GV45" s="162"/>
      <c r="GW45" s="162"/>
      <c r="GX45" s="162"/>
      <c r="GY45" s="162"/>
      <c r="GZ45" s="162"/>
      <c r="HA45" s="162"/>
      <c r="HB45" s="162"/>
      <c r="HC45" s="162"/>
      <c r="HD45" s="162"/>
      <c r="HE45" s="162"/>
      <c r="HF45" s="162"/>
      <c r="HG45" s="162"/>
      <c r="HH45" s="162"/>
      <c r="HI45" s="162"/>
      <c r="HJ45" s="162"/>
      <c r="HK45" s="162"/>
      <c r="HL45" s="162"/>
      <c r="HM45" s="162"/>
      <c r="HN45" s="162"/>
      <c r="HO45" s="162"/>
      <c r="HP45" s="162"/>
      <c r="HQ45" s="162"/>
      <c r="HR45" s="162"/>
      <c r="HS45" s="162"/>
      <c r="HT45" s="162"/>
      <c r="HU45" s="162"/>
      <c r="HV45" s="162"/>
      <c r="HW45" s="162"/>
      <c r="HX45" s="162"/>
      <c r="HY45" s="162"/>
      <c r="HZ45" s="162"/>
      <c r="IA45" s="162"/>
      <c r="IB45" s="162"/>
      <c r="IC45" s="162"/>
      <c r="ID45" s="162"/>
      <c r="IE45" s="162"/>
      <c r="IF45" s="162"/>
      <c r="IG45" s="162"/>
      <c r="IH45" s="162"/>
      <c r="II45" s="162"/>
      <c r="IJ45" s="162"/>
      <c r="IK45" s="162"/>
      <c r="IL45" s="162"/>
      <c r="IM45" s="162"/>
      <c r="IN45" s="162"/>
      <c r="IO45" s="162"/>
      <c r="IP45" s="162"/>
      <c r="IQ45" s="162"/>
      <c r="IR45" s="162"/>
      <c r="IS45" s="162"/>
      <c r="IT45" s="162"/>
      <c r="IU45" s="162"/>
      <c r="IV45" s="162"/>
      <c r="IW45" s="162"/>
    </row>
    <row r="46" customFormat="false" ht="15.75" hidden="false" customHeight="false" outlineLevel="0" collapsed="false">
      <c r="A46" s="56" t="n">
        <v>37436</v>
      </c>
      <c r="B46" s="160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6" t="n">
        <f aca="false">+A46</f>
        <v>37436</v>
      </c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15.75" hidden="false" customHeight="false" outlineLevel="0" collapsed="false">
      <c r="A47" s="56" t="n">
        <v>37619</v>
      </c>
      <c r="B47" s="160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6" t="n">
        <f aca="false">+A47</f>
        <v>37619</v>
      </c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  <c r="BI47" s="162"/>
      <c r="BJ47" s="162"/>
      <c r="BK47" s="162"/>
      <c r="BL47" s="162"/>
      <c r="BM47" s="162"/>
      <c r="BN47" s="162"/>
      <c r="BO47" s="162"/>
      <c r="BP47" s="162"/>
      <c r="BQ47" s="162"/>
      <c r="BR47" s="162"/>
      <c r="BS47" s="162"/>
      <c r="BT47" s="162"/>
      <c r="BU47" s="162"/>
      <c r="BV47" s="162"/>
      <c r="BW47" s="162"/>
      <c r="BX47" s="162"/>
      <c r="BY47" s="162"/>
      <c r="BZ47" s="162"/>
      <c r="CA47" s="162"/>
      <c r="CB47" s="162"/>
      <c r="CC47" s="162"/>
      <c r="CD47" s="162"/>
      <c r="CE47" s="162"/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U47" s="162"/>
      <c r="CV47" s="162"/>
      <c r="CW47" s="162"/>
      <c r="CX47" s="162"/>
      <c r="CY47" s="162"/>
      <c r="CZ47" s="162"/>
      <c r="DA47" s="162"/>
      <c r="DB47" s="162"/>
      <c r="DC47" s="162"/>
      <c r="DD47" s="162"/>
      <c r="DE47" s="162"/>
      <c r="DF47" s="162"/>
      <c r="DG47" s="162"/>
      <c r="DH47" s="162"/>
      <c r="DI47" s="162"/>
      <c r="DJ47" s="162"/>
      <c r="DK47" s="162"/>
      <c r="DL47" s="162"/>
      <c r="DM47" s="162"/>
      <c r="DN47" s="162"/>
      <c r="DO47" s="162"/>
      <c r="DP47" s="162"/>
      <c r="DQ47" s="162"/>
      <c r="DR47" s="162"/>
      <c r="DS47" s="162"/>
      <c r="DT47" s="162"/>
      <c r="DU47" s="162"/>
      <c r="DV47" s="162"/>
      <c r="DW47" s="162"/>
      <c r="DX47" s="162"/>
      <c r="DY47" s="162"/>
      <c r="DZ47" s="162"/>
      <c r="EA47" s="162"/>
      <c r="EB47" s="162"/>
      <c r="EC47" s="162"/>
      <c r="ED47" s="162"/>
      <c r="EE47" s="162"/>
      <c r="EF47" s="162"/>
      <c r="EG47" s="162"/>
      <c r="EH47" s="162"/>
      <c r="EI47" s="162"/>
      <c r="EJ47" s="162"/>
      <c r="EK47" s="162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  <c r="FW47" s="162"/>
      <c r="FX47" s="162"/>
      <c r="FY47" s="162"/>
      <c r="FZ47" s="162"/>
      <c r="GA47" s="162"/>
      <c r="GB47" s="162"/>
      <c r="GC47" s="162"/>
      <c r="GD47" s="162"/>
      <c r="GE47" s="162"/>
      <c r="GF47" s="162"/>
      <c r="GG47" s="162"/>
      <c r="GH47" s="162"/>
      <c r="GI47" s="162"/>
      <c r="GJ47" s="162"/>
      <c r="GK47" s="162"/>
      <c r="GL47" s="162"/>
      <c r="GM47" s="162"/>
      <c r="GN47" s="162"/>
      <c r="GO47" s="162"/>
      <c r="GP47" s="162"/>
      <c r="GQ47" s="162"/>
      <c r="GR47" s="162"/>
      <c r="GS47" s="162"/>
      <c r="GT47" s="162"/>
      <c r="GU47" s="162"/>
      <c r="GV47" s="162"/>
      <c r="GW47" s="162"/>
      <c r="GX47" s="162"/>
      <c r="GY47" s="162"/>
      <c r="GZ47" s="162"/>
      <c r="HA47" s="162"/>
      <c r="HB47" s="162"/>
      <c r="HC47" s="162"/>
      <c r="HD47" s="162"/>
      <c r="HE47" s="162"/>
      <c r="HF47" s="162"/>
      <c r="HG47" s="162"/>
      <c r="HH47" s="162"/>
      <c r="HI47" s="162"/>
      <c r="HJ47" s="162"/>
      <c r="HK47" s="162"/>
      <c r="HL47" s="162"/>
      <c r="HM47" s="162"/>
      <c r="HN47" s="162"/>
      <c r="HO47" s="162"/>
      <c r="HP47" s="162"/>
      <c r="HQ47" s="162"/>
      <c r="HR47" s="162"/>
      <c r="HS47" s="162"/>
      <c r="HT47" s="162"/>
      <c r="HU47" s="162"/>
      <c r="HV47" s="162"/>
      <c r="HW47" s="162"/>
      <c r="HX47" s="162"/>
      <c r="HY47" s="162"/>
      <c r="HZ47" s="162"/>
      <c r="IA47" s="162"/>
      <c r="IB47" s="162"/>
      <c r="IC47" s="162"/>
      <c r="ID47" s="162"/>
      <c r="IE47" s="162"/>
      <c r="IF47" s="162"/>
      <c r="IG47" s="162"/>
      <c r="IH47" s="162"/>
      <c r="II47" s="162"/>
      <c r="IJ47" s="162"/>
      <c r="IK47" s="162"/>
      <c r="IL47" s="162"/>
      <c r="IM47" s="162"/>
      <c r="IN47" s="162"/>
      <c r="IO47" s="162"/>
      <c r="IP47" s="162"/>
      <c r="IQ47" s="162"/>
      <c r="IR47" s="162"/>
      <c r="IS47" s="162"/>
      <c r="IT47" s="162"/>
      <c r="IU47" s="162"/>
      <c r="IV47" s="162"/>
      <c r="IW47" s="162"/>
    </row>
    <row r="48" customFormat="false" ht="15.75" hidden="false" customHeight="false" outlineLevel="0" collapsed="false">
      <c r="A48" s="56" t="n">
        <v>37801</v>
      </c>
      <c r="B48" s="160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6" t="n">
        <f aca="false">+A48</f>
        <v>37801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2"/>
      <c r="BG48" s="162"/>
      <c r="BH48" s="162"/>
      <c r="BI48" s="162"/>
      <c r="BJ48" s="162"/>
      <c r="BK48" s="162"/>
      <c r="BL48" s="162"/>
      <c r="BM48" s="162"/>
      <c r="BN48" s="162"/>
      <c r="BO48" s="162"/>
      <c r="BP48" s="162"/>
      <c r="BQ48" s="162"/>
      <c r="BR48" s="162"/>
      <c r="BS48" s="162"/>
      <c r="BT48" s="162"/>
      <c r="BU48" s="162"/>
      <c r="BV48" s="162"/>
      <c r="BW48" s="162"/>
      <c r="BX48" s="162"/>
      <c r="BY48" s="162"/>
      <c r="BZ48" s="162"/>
      <c r="CA48" s="162"/>
      <c r="CB48" s="162"/>
      <c r="CC48" s="162"/>
      <c r="CD48" s="162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CU48" s="162"/>
      <c r="CV48" s="162"/>
      <c r="CW48" s="162"/>
      <c r="CX48" s="162"/>
      <c r="CY48" s="162"/>
      <c r="CZ48" s="162"/>
      <c r="DA48" s="162"/>
      <c r="DB48" s="162"/>
      <c r="DC48" s="162"/>
      <c r="DD48" s="162"/>
      <c r="DE48" s="162"/>
      <c r="DF48" s="162"/>
      <c r="DG48" s="162"/>
      <c r="DH48" s="162"/>
      <c r="DI48" s="162"/>
      <c r="DJ48" s="162"/>
      <c r="DK48" s="162"/>
      <c r="DL48" s="162"/>
      <c r="DM48" s="162"/>
      <c r="DN48" s="162"/>
      <c r="DO48" s="162"/>
      <c r="DP48" s="162"/>
      <c r="DQ48" s="162"/>
      <c r="DR48" s="162"/>
      <c r="DS48" s="162"/>
      <c r="DT48" s="162"/>
      <c r="DU48" s="162"/>
      <c r="DV48" s="162"/>
      <c r="DW48" s="162"/>
      <c r="DX48" s="162"/>
      <c r="DY48" s="162"/>
      <c r="DZ48" s="162"/>
      <c r="EA48" s="162"/>
      <c r="EB48" s="162"/>
      <c r="EC48" s="162"/>
      <c r="ED48" s="162"/>
      <c r="EE48" s="162"/>
      <c r="EF48" s="162"/>
      <c r="EG48" s="162"/>
      <c r="EH48" s="162"/>
      <c r="EI48" s="162"/>
      <c r="EJ48" s="162"/>
      <c r="EK48" s="162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  <c r="FW48" s="162"/>
      <c r="FX48" s="162"/>
      <c r="FY48" s="162"/>
      <c r="FZ48" s="162"/>
      <c r="GA48" s="162"/>
      <c r="GB48" s="162"/>
      <c r="GC48" s="162"/>
      <c r="GD48" s="162"/>
      <c r="GE48" s="162"/>
      <c r="GF48" s="162"/>
      <c r="GG48" s="162"/>
      <c r="GH48" s="162"/>
      <c r="GI48" s="162"/>
      <c r="GJ48" s="162"/>
      <c r="GK48" s="162"/>
      <c r="GL48" s="162"/>
      <c r="GM48" s="162"/>
      <c r="GN48" s="162"/>
      <c r="GO48" s="162"/>
      <c r="GP48" s="162"/>
      <c r="GQ48" s="162"/>
      <c r="GR48" s="162"/>
      <c r="GS48" s="162"/>
      <c r="GT48" s="162"/>
      <c r="GU48" s="162"/>
      <c r="GV48" s="162"/>
      <c r="GW48" s="162"/>
      <c r="GX48" s="162"/>
      <c r="GY48" s="162"/>
      <c r="GZ48" s="162"/>
      <c r="HA48" s="162"/>
      <c r="HB48" s="162"/>
      <c r="HC48" s="162"/>
      <c r="HD48" s="162"/>
      <c r="HE48" s="162"/>
      <c r="HF48" s="162"/>
      <c r="HG48" s="162"/>
      <c r="HH48" s="162"/>
      <c r="HI48" s="162"/>
      <c r="HJ48" s="162"/>
      <c r="HK48" s="162"/>
      <c r="HL48" s="162"/>
      <c r="HM48" s="162"/>
      <c r="HN48" s="162"/>
      <c r="HO48" s="162"/>
      <c r="HP48" s="162"/>
      <c r="HQ48" s="162"/>
      <c r="HR48" s="162"/>
      <c r="HS48" s="162"/>
      <c r="HT48" s="162"/>
      <c r="HU48" s="162"/>
      <c r="HV48" s="162"/>
      <c r="HW48" s="162"/>
      <c r="HX48" s="162"/>
      <c r="HY48" s="162"/>
      <c r="HZ48" s="162"/>
      <c r="IA48" s="162"/>
      <c r="IB48" s="162"/>
      <c r="IC48" s="162"/>
      <c r="ID48" s="162"/>
      <c r="IE48" s="162"/>
      <c r="IF48" s="162"/>
      <c r="IG48" s="162"/>
      <c r="IH48" s="162"/>
      <c r="II48" s="162"/>
      <c r="IJ48" s="162"/>
      <c r="IK48" s="162"/>
      <c r="IL48" s="162"/>
      <c r="IM48" s="162"/>
      <c r="IN48" s="162"/>
      <c r="IO48" s="162"/>
      <c r="IP48" s="162"/>
      <c r="IQ48" s="162"/>
      <c r="IR48" s="162"/>
      <c r="IS48" s="162"/>
      <c r="IT48" s="162"/>
      <c r="IU48" s="162"/>
      <c r="IV48" s="162"/>
      <c r="IW48" s="162"/>
    </row>
    <row r="49" customFormat="false" ht="15.75" hidden="false" customHeight="false" outlineLevel="0" collapsed="false">
      <c r="A49" s="56" t="n">
        <v>37984</v>
      </c>
      <c r="B49" s="160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6" t="n">
        <f aca="false">+A49</f>
        <v>37984</v>
      </c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  <c r="DG49" s="162"/>
      <c r="DH49" s="162"/>
      <c r="DI49" s="162"/>
      <c r="DJ49" s="162"/>
      <c r="DK49" s="162"/>
      <c r="DL49" s="162"/>
      <c r="DM49" s="162"/>
      <c r="DN49" s="162"/>
      <c r="DO49" s="162"/>
      <c r="DP49" s="162"/>
      <c r="DQ49" s="162"/>
      <c r="DR49" s="162"/>
      <c r="DS49" s="162"/>
      <c r="DT49" s="162"/>
      <c r="DU49" s="162"/>
      <c r="DV49" s="162"/>
      <c r="DW49" s="162"/>
      <c r="DX49" s="162"/>
      <c r="DY49" s="162"/>
      <c r="DZ49" s="162"/>
      <c r="EA49" s="162"/>
      <c r="EB49" s="162"/>
      <c r="EC49" s="162"/>
      <c r="ED49" s="162"/>
      <c r="EE49" s="162"/>
      <c r="EF49" s="162"/>
      <c r="EG49" s="162"/>
      <c r="EH49" s="162"/>
      <c r="EI49" s="162"/>
      <c r="EJ49" s="162"/>
      <c r="EK49" s="162"/>
      <c r="EL49" s="162"/>
      <c r="EM49" s="162"/>
      <c r="EN49" s="162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162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162"/>
      <c r="FU49" s="162"/>
      <c r="FV49" s="162"/>
      <c r="FW49" s="162"/>
      <c r="FX49" s="162"/>
      <c r="FY49" s="162"/>
      <c r="FZ49" s="162"/>
      <c r="GA49" s="162"/>
      <c r="GB49" s="162"/>
      <c r="GC49" s="162"/>
      <c r="GD49" s="162"/>
      <c r="GE49" s="162"/>
      <c r="GF49" s="162"/>
      <c r="GG49" s="162"/>
      <c r="GH49" s="162"/>
      <c r="GI49" s="162"/>
      <c r="GJ49" s="162"/>
      <c r="GK49" s="162"/>
      <c r="GL49" s="162"/>
      <c r="GM49" s="162"/>
      <c r="GN49" s="162"/>
      <c r="GO49" s="162"/>
      <c r="GP49" s="162"/>
      <c r="GQ49" s="162"/>
      <c r="GR49" s="162"/>
      <c r="GS49" s="162"/>
      <c r="GT49" s="162"/>
      <c r="GU49" s="162"/>
      <c r="GV49" s="162"/>
      <c r="GW49" s="162"/>
      <c r="GX49" s="162"/>
      <c r="GY49" s="162"/>
      <c r="GZ49" s="162"/>
      <c r="HA49" s="162"/>
      <c r="HB49" s="162"/>
      <c r="HC49" s="162"/>
      <c r="HD49" s="162"/>
      <c r="HE49" s="162"/>
      <c r="HF49" s="162"/>
      <c r="HG49" s="162"/>
      <c r="HH49" s="162"/>
      <c r="HI49" s="162"/>
      <c r="HJ49" s="162"/>
      <c r="HK49" s="162"/>
      <c r="HL49" s="162"/>
      <c r="HM49" s="162"/>
      <c r="HN49" s="162"/>
      <c r="HO49" s="162"/>
      <c r="HP49" s="162"/>
      <c r="HQ49" s="162"/>
      <c r="HR49" s="162"/>
      <c r="HS49" s="162"/>
      <c r="HT49" s="162"/>
      <c r="HU49" s="162"/>
      <c r="HV49" s="162"/>
      <c r="HW49" s="162"/>
      <c r="HX49" s="162"/>
      <c r="HY49" s="162"/>
      <c r="HZ49" s="162"/>
      <c r="IA49" s="162"/>
      <c r="IB49" s="162"/>
      <c r="IC49" s="162"/>
      <c r="ID49" s="162"/>
      <c r="IE49" s="162"/>
      <c r="IF49" s="162"/>
      <c r="IG49" s="162"/>
      <c r="IH49" s="162"/>
      <c r="II49" s="162"/>
      <c r="IJ49" s="162"/>
      <c r="IK49" s="162"/>
      <c r="IL49" s="162"/>
      <c r="IM49" s="162"/>
      <c r="IN49" s="162"/>
      <c r="IO49" s="162"/>
      <c r="IP49" s="162"/>
      <c r="IQ49" s="162"/>
      <c r="IR49" s="162"/>
      <c r="IS49" s="162"/>
      <c r="IT49" s="162"/>
      <c r="IU49" s="162"/>
      <c r="IV49" s="162"/>
      <c r="IW49" s="162"/>
    </row>
    <row r="50" customFormat="false" ht="15.75" hidden="false" customHeight="false" outlineLevel="0" collapsed="false">
      <c r="A50" s="56" t="n">
        <v>38167</v>
      </c>
      <c r="B50" s="160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6" t="n">
        <f aca="false">+A50</f>
        <v>38167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2"/>
      <c r="BR50" s="162"/>
      <c r="BS50" s="162"/>
      <c r="BT50" s="162"/>
      <c r="BU50" s="162"/>
      <c r="BV50" s="162"/>
      <c r="BW50" s="162"/>
      <c r="BX50" s="162"/>
      <c r="BY50" s="162"/>
      <c r="BZ50" s="162"/>
      <c r="CA50" s="162"/>
      <c r="CB50" s="162"/>
      <c r="CC50" s="162"/>
      <c r="CD50" s="162"/>
      <c r="CE50" s="162"/>
      <c r="CF50" s="162"/>
      <c r="CG50" s="162"/>
      <c r="CH50" s="162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62"/>
      <c r="CU50" s="162"/>
      <c r="CV50" s="162"/>
      <c r="CW50" s="162"/>
      <c r="CX50" s="162"/>
      <c r="CY50" s="162"/>
      <c r="CZ50" s="162"/>
      <c r="DA50" s="162"/>
      <c r="DB50" s="162"/>
      <c r="DC50" s="162"/>
      <c r="DD50" s="162"/>
      <c r="DE50" s="162"/>
      <c r="DF50" s="162"/>
      <c r="DG50" s="162"/>
      <c r="DH50" s="162"/>
      <c r="DI50" s="162"/>
      <c r="DJ50" s="162"/>
      <c r="DK50" s="162"/>
      <c r="DL50" s="162"/>
      <c r="DM50" s="162"/>
      <c r="DN50" s="162"/>
      <c r="DO50" s="162"/>
      <c r="DP50" s="162"/>
      <c r="DQ50" s="162"/>
      <c r="DR50" s="162"/>
      <c r="DS50" s="162"/>
      <c r="DT50" s="162"/>
      <c r="DU50" s="162"/>
      <c r="DV50" s="162"/>
      <c r="DW50" s="162"/>
      <c r="DX50" s="162"/>
      <c r="DY50" s="162"/>
      <c r="DZ50" s="162"/>
      <c r="EA50" s="162"/>
      <c r="EB50" s="162"/>
      <c r="EC50" s="162"/>
      <c r="ED50" s="162"/>
      <c r="EE50" s="162"/>
      <c r="EF50" s="162"/>
      <c r="EG50" s="162"/>
      <c r="EH50" s="162"/>
      <c r="EI50" s="162"/>
      <c r="EJ50" s="162"/>
      <c r="EK50" s="162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  <c r="FW50" s="162"/>
      <c r="FX50" s="162"/>
      <c r="FY50" s="162"/>
      <c r="FZ50" s="162"/>
      <c r="GA50" s="162"/>
      <c r="GB50" s="162"/>
      <c r="GC50" s="162"/>
      <c r="GD50" s="162"/>
      <c r="GE50" s="162"/>
      <c r="GF50" s="162"/>
      <c r="GG50" s="162"/>
      <c r="GH50" s="162"/>
      <c r="GI50" s="162"/>
      <c r="GJ50" s="162"/>
      <c r="GK50" s="162"/>
      <c r="GL50" s="162"/>
      <c r="GM50" s="162"/>
      <c r="GN50" s="162"/>
      <c r="GO50" s="162"/>
      <c r="GP50" s="162"/>
      <c r="GQ50" s="162"/>
      <c r="GR50" s="162"/>
      <c r="GS50" s="162"/>
      <c r="GT50" s="162"/>
      <c r="GU50" s="162"/>
      <c r="GV50" s="162"/>
      <c r="GW50" s="162"/>
      <c r="GX50" s="162"/>
      <c r="GY50" s="162"/>
      <c r="GZ50" s="162"/>
      <c r="HA50" s="162"/>
      <c r="HB50" s="162"/>
      <c r="HC50" s="162"/>
      <c r="HD50" s="162"/>
      <c r="HE50" s="162"/>
      <c r="HF50" s="162"/>
      <c r="HG50" s="162"/>
      <c r="HH50" s="162"/>
      <c r="HI50" s="162"/>
      <c r="HJ50" s="162"/>
      <c r="HK50" s="162"/>
      <c r="HL50" s="162"/>
      <c r="HM50" s="162"/>
      <c r="HN50" s="162"/>
      <c r="HO50" s="162"/>
      <c r="HP50" s="162"/>
      <c r="HQ50" s="162"/>
      <c r="HR50" s="162"/>
      <c r="HS50" s="162"/>
      <c r="HT50" s="162"/>
      <c r="HU50" s="162"/>
      <c r="HV50" s="162"/>
      <c r="HW50" s="162"/>
      <c r="HX50" s="162"/>
      <c r="HY50" s="162"/>
      <c r="HZ50" s="162"/>
      <c r="IA50" s="162"/>
      <c r="IB50" s="162"/>
      <c r="IC50" s="162"/>
      <c r="ID50" s="162"/>
      <c r="IE50" s="162"/>
      <c r="IF50" s="162"/>
      <c r="IG50" s="162"/>
      <c r="IH50" s="162"/>
      <c r="II50" s="162"/>
      <c r="IJ50" s="162"/>
      <c r="IK50" s="162"/>
      <c r="IL50" s="162"/>
      <c r="IM50" s="162"/>
      <c r="IN50" s="162"/>
      <c r="IO50" s="162"/>
      <c r="IP50" s="162"/>
      <c r="IQ50" s="162"/>
      <c r="IR50" s="162"/>
      <c r="IS50" s="162"/>
      <c r="IT50" s="162"/>
      <c r="IU50" s="162"/>
      <c r="IV50" s="162"/>
      <c r="IW50" s="162"/>
    </row>
    <row r="51" customFormat="false" ht="15.75" hidden="false" customHeight="false" outlineLevel="0" collapsed="false">
      <c r="A51" s="56" t="n">
        <v>38350</v>
      </c>
      <c r="B51" s="160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6" t="n">
        <f aca="false">+A51</f>
        <v>38350</v>
      </c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2"/>
      <c r="BR51" s="162"/>
      <c r="BS51" s="162"/>
      <c r="BT51" s="162"/>
      <c r="BU51" s="162"/>
      <c r="BV51" s="162"/>
      <c r="BW51" s="162"/>
      <c r="BX51" s="162"/>
      <c r="BY51" s="162"/>
      <c r="BZ51" s="162"/>
      <c r="CA51" s="162"/>
      <c r="CB51" s="162"/>
      <c r="CC51" s="162"/>
      <c r="CD51" s="162"/>
      <c r="CE51" s="162"/>
      <c r="CF51" s="162"/>
      <c r="CG51" s="162"/>
      <c r="CH51" s="162"/>
      <c r="CI51" s="162"/>
      <c r="CJ51" s="162"/>
      <c r="CK51" s="162"/>
      <c r="CL51" s="162"/>
      <c r="CM51" s="162"/>
      <c r="CN51" s="162"/>
      <c r="CO51" s="162"/>
      <c r="CP51" s="162"/>
      <c r="CQ51" s="162"/>
      <c r="CR51" s="162"/>
      <c r="CS51" s="162"/>
      <c r="CT51" s="162"/>
      <c r="CU51" s="162"/>
      <c r="CV51" s="162"/>
      <c r="CW51" s="162"/>
      <c r="CX51" s="162"/>
      <c r="CY51" s="162"/>
      <c r="CZ51" s="162"/>
      <c r="DA51" s="162"/>
      <c r="DB51" s="162"/>
      <c r="DC51" s="162"/>
      <c r="DD51" s="162"/>
      <c r="DE51" s="162"/>
      <c r="DF51" s="162"/>
      <c r="DG51" s="162"/>
      <c r="DH51" s="162"/>
      <c r="DI51" s="162"/>
      <c r="DJ51" s="162"/>
      <c r="DK51" s="162"/>
      <c r="DL51" s="162"/>
      <c r="DM51" s="162"/>
      <c r="DN51" s="162"/>
      <c r="DO51" s="162"/>
      <c r="DP51" s="162"/>
      <c r="DQ51" s="162"/>
      <c r="DR51" s="162"/>
      <c r="DS51" s="162"/>
      <c r="DT51" s="162"/>
      <c r="DU51" s="162"/>
      <c r="DV51" s="162"/>
      <c r="DW51" s="162"/>
      <c r="DX51" s="162"/>
      <c r="DY51" s="162"/>
      <c r="DZ51" s="162"/>
      <c r="EA51" s="162"/>
      <c r="EB51" s="162"/>
      <c r="EC51" s="162"/>
      <c r="ED51" s="162"/>
      <c r="EE51" s="162"/>
      <c r="EF51" s="162"/>
      <c r="EG51" s="162"/>
      <c r="EH51" s="162"/>
      <c r="EI51" s="162"/>
      <c r="EJ51" s="162"/>
      <c r="EK51" s="162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162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  <c r="FW51" s="162"/>
      <c r="FX51" s="162"/>
      <c r="FY51" s="162"/>
      <c r="FZ51" s="162"/>
      <c r="GA51" s="162"/>
      <c r="GB51" s="162"/>
      <c r="GC51" s="162"/>
      <c r="GD51" s="162"/>
      <c r="GE51" s="162"/>
      <c r="GF51" s="162"/>
      <c r="GG51" s="162"/>
      <c r="GH51" s="162"/>
      <c r="GI51" s="162"/>
      <c r="GJ51" s="162"/>
      <c r="GK51" s="162"/>
      <c r="GL51" s="162"/>
      <c r="GM51" s="162"/>
      <c r="GN51" s="162"/>
      <c r="GO51" s="162"/>
      <c r="GP51" s="162"/>
      <c r="GQ51" s="162"/>
      <c r="GR51" s="162"/>
      <c r="GS51" s="162"/>
      <c r="GT51" s="162"/>
      <c r="GU51" s="162"/>
      <c r="GV51" s="162"/>
      <c r="GW51" s="162"/>
      <c r="GX51" s="162"/>
      <c r="GY51" s="162"/>
      <c r="GZ51" s="162"/>
      <c r="HA51" s="162"/>
      <c r="HB51" s="162"/>
      <c r="HC51" s="162"/>
      <c r="HD51" s="162"/>
      <c r="HE51" s="162"/>
      <c r="HF51" s="162"/>
      <c r="HG51" s="162"/>
      <c r="HH51" s="162"/>
      <c r="HI51" s="162"/>
      <c r="HJ51" s="162"/>
      <c r="HK51" s="162"/>
      <c r="HL51" s="162"/>
      <c r="HM51" s="162"/>
      <c r="HN51" s="162"/>
      <c r="HO51" s="162"/>
      <c r="HP51" s="162"/>
      <c r="HQ51" s="162"/>
      <c r="HR51" s="162"/>
      <c r="HS51" s="162"/>
      <c r="HT51" s="162"/>
      <c r="HU51" s="162"/>
      <c r="HV51" s="162"/>
      <c r="HW51" s="162"/>
      <c r="HX51" s="162"/>
      <c r="HY51" s="162"/>
      <c r="HZ51" s="162"/>
      <c r="IA51" s="162"/>
      <c r="IB51" s="162"/>
      <c r="IC51" s="162"/>
      <c r="ID51" s="162"/>
      <c r="IE51" s="162"/>
      <c r="IF51" s="162"/>
      <c r="IG51" s="162"/>
      <c r="IH51" s="162"/>
      <c r="II51" s="162"/>
      <c r="IJ51" s="162"/>
      <c r="IK51" s="162"/>
      <c r="IL51" s="162"/>
      <c r="IM51" s="162"/>
      <c r="IN51" s="162"/>
      <c r="IO51" s="162"/>
      <c r="IP51" s="162"/>
      <c r="IQ51" s="162"/>
      <c r="IR51" s="162"/>
      <c r="IS51" s="162"/>
      <c r="IT51" s="162"/>
      <c r="IU51" s="162"/>
      <c r="IV51" s="162"/>
      <c r="IW51" s="162"/>
    </row>
    <row r="52" customFormat="false" ht="15.75" hidden="false" customHeight="false" outlineLevel="0" collapsed="false">
      <c r="A52" s="56" t="n">
        <v>38532</v>
      </c>
      <c r="B52" s="160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6" t="n">
        <f aca="false">+A52</f>
        <v>38532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2"/>
      <c r="CC52" s="162"/>
      <c r="CD52" s="162"/>
      <c r="CE52" s="162"/>
      <c r="CF52" s="162"/>
      <c r="CG52" s="162"/>
      <c r="CH52" s="162"/>
      <c r="CI52" s="162"/>
      <c r="CJ52" s="162"/>
      <c r="CK52" s="162"/>
      <c r="CL52" s="162"/>
      <c r="CM52" s="162"/>
      <c r="CN52" s="162"/>
      <c r="CO52" s="162"/>
      <c r="CP52" s="162"/>
      <c r="CQ52" s="162"/>
      <c r="CR52" s="162"/>
      <c r="CS52" s="162"/>
      <c r="CT52" s="162"/>
      <c r="CU52" s="162"/>
      <c r="CV52" s="162"/>
      <c r="CW52" s="162"/>
      <c r="CX52" s="162"/>
      <c r="CY52" s="162"/>
      <c r="CZ52" s="162"/>
      <c r="DA52" s="162"/>
      <c r="DB52" s="162"/>
      <c r="DC52" s="162"/>
      <c r="DD52" s="162"/>
      <c r="DE52" s="162"/>
      <c r="DF52" s="162"/>
      <c r="DG52" s="162"/>
      <c r="DH52" s="162"/>
      <c r="DI52" s="162"/>
      <c r="DJ52" s="162"/>
      <c r="DK52" s="162"/>
      <c r="DL52" s="162"/>
      <c r="DM52" s="162"/>
      <c r="DN52" s="162"/>
      <c r="DO52" s="162"/>
      <c r="DP52" s="162"/>
      <c r="DQ52" s="162"/>
      <c r="DR52" s="162"/>
      <c r="DS52" s="162"/>
      <c r="DT52" s="162"/>
      <c r="DU52" s="162"/>
      <c r="DV52" s="162"/>
      <c r="DW52" s="162"/>
      <c r="DX52" s="162"/>
      <c r="DY52" s="162"/>
      <c r="DZ52" s="162"/>
      <c r="EA52" s="162"/>
      <c r="EB52" s="162"/>
      <c r="EC52" s="162"/>
      <c r="ED52" s="162"/>
      <c r="EE52" s="162"/>
      <c r="EF52" s="162"/>
      <c r="EG52" s="162"/>
      <c r="EH52" s="162"/>
      <c r="EI52" s="162"/>
      <c r="EJ52" s="162"/>
      <c r="EK52" s="162"/>
      <c r="EL52" s="162"/>
      <c r="EM52" s="162"/>
      <c r="EN52" s="162"/>
      <c r="EO52" s="162"/>
      <c r="EP52" s="162"/>
      <c r="EQ52" s="162"/>
      <c r="ER52" s="162"/>
      <c r="ES52" s="162"/>
      <c r="ET52" s="162"/>
      <c r="EU52" s="162"/>
      <c r="EV52" s="162"/>
      <c r="EW52" s="162"/>
      <c r="EX52" s="162"/>
      <c r="EY52" s="162"/>
      <c r="EZ52" s="162"/>
      <c r="FA52" s="162"/>
      <c r="FB52" s="162"/>
      <c r="FC52" s="162"/>
      <c r="FD52" s="162"/>
      <c r="FE52" s="162"/>
      <c r="FF52" s="162"/>
      <c r="FG52" s="162"/>
      <c r="FH52" s="162"/>
      <c r="FI52" s="162"/>
      <c r="FJ52" s="162"/>
      <c r="FK52" s="162"/>
      <c r="FL52" s="162"/>
      <c r="FM52" s="162"/>
      <c r="FN52" s="162"/>
      <c r="FO52" s="162"/>
      <c r="FP52" s="162"/>
      <c r="FQ52" s="162"/>
      <c r="FR52" s="162"/>
      <c r="FS52" s="162"/>
      <c r="FT52" s="162"/>
      <c r="FU52" s="162"/>
      <c r="FV52" s="162"/>
      <c r="FW52" s="162"/>
      <c r="FX52" s="162"/>
      <c r="FY52" s="162"/>
      <c r="FZ52" s="162"/>
      <c r="GA52" s="162"/>
      <c r="GB52" s="162"/>
      <c r="GC52" s="162"/>
      <c r="GD52" s="162"/>
      <c r="GE52" s="162"/>
      <c r="GF52" s="162"/>
      <c r="GG52" s="162"/>
      <c r="GH52" s="162"/>
      <c r="GI52" s="162"/>
      <c r="GJ52" s="162"/>
      <c r="GK52" s="162"/>
      <c r="GL52" s="162"/>
      <c r="GM52" s="162"/>
      <c r="GN52" s="162"/>
      <c r="GO52" s="162"/>
      <c r="GP52" s="162"/>
      <c r="GQ52" s="162"/>
      <c r="GR52" s="162"/>
      <c r="GS52" s="162"/>
      <c r="GT52" s="162"/>
      <c r="GU52" s="162"/>
      <c r="GV52" s="162"/>
      <c r="GW52" s="162"/>
      <c r="GX52" s="162"/>
      <c r="GY52" s="162"/>
      <c r="GZ52" s="162"/>
      <c r="HA52" s="162"/>
      <c r="HB52" s="162"/>
      <c r="HC52" s="162"/>
      <c r="HD52" s="162"/>
      <c r="HE52" s="162"/>
      <c r="HF52" s="162"/>
      <c r="HG52" s="162"/>
      <c r="HH52" s="162"/>
      <c r="HI52" s="162"/>
      <c r="HJ52" s="162"/>
      <c r="HK52" s="162"/>
      <c r="HL52" s="162"/>
      <c r="HM52" s="162"/>
      <c r="HN52" s="162"/>
      <c r="HO52" s="162"/>
      <c r="HP52" s="162"/>
      <c r="HQ52" s="162"/>
      <c r="HR52" s="162"/>
      <c r="HS52" s="162"/>
      <c r="HT52" s="162"/>
      <c r="HU52" s="162"/>
      <c r="HV52" s="162"/>
      <c r="HW52" s="162"/>
      <c r="HX52" s="162"/>
      <c r="HY52" s="162"/>
      <c r="HZ52" s="162"/>
      <c r="IA52" s="162"/>
      <c r="IB52" s="162"/>
      <c r="IC52" s="162"/>
      <c r="ID52" s="162"/>
      <c r="IE52" s="162"/>
      <c r="IF52" s="162"/>
      <c r="IG52" s="162"/>
      <c r="IH52" s="162"/>
      <c r="II52" s="162"/>
      <c r="IJ52" s="162"/>
      <c r="IK52" s="162"/>
      <c r="IL52" s="162"/>
      <c r="IM52" s="162"/>
      <c r="IN52" s="162"/>
      <c r="IO52" s="162"/>
      <c r="IP52" s="162"/>
      <c r="IQ52" s="162"/>
      <c r="IR52" s="162"/>
      <c r="IS52" s="162"/>
      <c r="IT52" s="162"/>
      <c r="IU52" s="162"/>
      <c r="IV52" s="162"/>
      <c r="IW52" s="162"/>
    </row>
    <row r="53" customFormat="false" ht="16.5" hidden="false" customHeight="false" outlineLevel="0" collapsed="false">
      <c r="A53" s="56"/>
      <c r="B53" s="56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2"/>
      <c r="BR53" s="162"/>
      <c r="BS53" s="162"/>
      <c r="BT53" s="162"/>
      <c r="BU53" s="162"/>
      <c r="BV53" s="162"/>
      <c r="BW53" s="162"/>
      <c r="BX53" s="162"/>
      <c r="BY53" s="162"/>
      <c r="BZ53" s="162"/>
      <c r="CA53" s="162"/>
      <c r="CB53" s="162"/>
      <c r="CC53" s="162"/>
      <c r="CD53" s="162"/>
      <c r="CE53" s="162"/>
      <c r="CF53" s="162"/>
      <c r="CG53" s="162"/>
      <c r="CH53" s="162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  <c r="DG53" s="162"/>
      <c r="DH53" s="162"/>
      <c r="DI53" s="162"/>
      <c r="DJ53" s="162"/>
      <c r="DK53" s="162"/>
      <c r="DL53" s="162"/>
      <c r="DM53" s="162"/>
      <c r="DN53" s="162"/>
      <c r="DO53" s="162"/>
      <c r="DP53" s="162"/>
      <c r="DQ53" s="162"/>
      <c r="DR53" s="162"/>
      <c r="DS53" s="162"/>
      <c r="DT53" s="162"/>
      <c r="DU53" s="162"/>
      <c r="DV53" s="162"/>
      <c r="DW53" s="162"/>
      <c r="DX53" s="162"/>
      <c r="DY53" s="162"/>
      <c r="DZ53" s="162"/>
      <c r="EA53" s="162"/>
      <c r="EB53" s="162"/>
      <c r="EC53" s="162"/>
      <c r="ED53" s="162"/>
      <c r="EE53" s="162"/>
      <c r="EF53" s="162"/>
      <c r="EG53" s="162"/>
      <c r="EH53" s="162"/>
      <c r="EI53" s="162"/>
      <c r="EJ53" s="162"/>
      <c r="EK53" s="162"/>
      <c r="EL53" s="162"/>
      <c r="EM53" s="162"/>
      <c r="EN53" s="162"/>
      <c r="EO53" s="162"/>
      <c r="EP53" s="162"/>
      <c r="EQ53" s="162"/>
      <c r="ER53" s="162"/>
      <c r="ES53" s="162"/>
      <c r="ET53" s="162"/>
      <c r="EU53" s="162"/>
      <c r="EV53" s="162"/>
      <c r="EW53" s="162"/>
      <c r="EX53" s="162"/>
      <c r="EY53" s="162"/>
      <c r="EZ53" s="162"/>
      <c r="FA53" s="162"/>
      <c r="FB53" s="162"/>
      <c r="FC53" s="162"/>
      <c r="FD53" s="162"/>
      <c r="FE53" s="162"/>
      <c r="FF53" s="162"/>
      <c r="FG53" s="162"/>
      <c r="FH53" s="162"/>
      <c r="FI53" s="162"/>
      <c r="FJ53" s="162"/>
      <c r="FK53" s="162"/>
      <c r="FL53" s="162"/>
      <c r="FM53" s="162"/>
      <c r="FN53" s="162"/>
      <c r="FO53" s="162"/>
      <c r="FP53" s="162"/>
      <c r="FQ53" s="162"/>
      <c r="FR53" s="162"/>
      <c r="FS53" s="162"/>
      <c r="FT53" s="162"/>
      <c r="FU53" s="162"/>
      <c r="FV53" s="162"/>
      <c r="FW53" s="162"/>
      <c r="FX53" s="162"/>
      <c r="FY53" s="162"/>
      <c r="FZ53" s="162"/>
      <c r="GA53" s="162"/>
      <c r="GB53" s="162"/>
      <c r="GC53" s="162"/>
      <c r="GD53" s="162"/>
      <c r="GE53" s="162"/>
      <c r="GF53" s="162"/>
      <c r="GG53" s="162"/>
      <c r="GH53" s="162"/>
      <c r="GI53" s="162"/>
      <c r="GJ53" s="162"/>
      <c r="GK53" s="162"/>
      <c r="GL53" s="162"/>
      <c r="GM53" s="162"/>
      <c r="GN53" s="162"/>
      <c r="GO53" s="162"/>
      <c r="GP53" s="162"/>
      <c r="GQ53" s="162"/>
      <c r="GR53" s="162"/>
      <c r="GS53" s="162"/>
      <c r="GT53" s="162"/>
      <c r="GU53" s="162"/>
      <c r="GV53" s="162"/>
      <c r="GW53" s="162"/>
      <c r="GX53" s="162"/>
      <c r="GY53" s="162"/>
      <c r="GZ53" s="162"/>
      <c r="HA53" s="162"/>
      <c r="HB53" s="162"/>
      <c r="HC53" s="162"/>
      <c r="HD53" s="162"/>
      <c r="HE53" s="162"/>
      <c r="HF53" s="162"/>
      <c r="HG53" s="162"/>
      <c r="HH53" s="162"/>
      <c r="HI53" s="162"/>
      <c r="HJ53" s="162"/>
      <c r="HK53" s="162"/>
      <c r="HL53" s="162"/>
      <c r="HM53" s="162"/>
      <c r="HN53" s="162"/>
      <c r="HO53" s="162"/>
      <c r="HP53" s="162"/>
      <c r="HQ53" s="162"/>
      <c r="HR53" s="162"/>
      <c r="HS53" s="162"/>
      <c r="HT53" s="162"/>
      <c r="HU53" s="162"/>
      <c r="HV53" s="162"/>
      <c r="HW53" s="162"/>
      <c r="HX53" s="162"/>
      <c r="HY53" s="162"/>
      <c r="HZ53" s="162"/>
      <c r="IA53" s="162"/>
      <c r="IB53" s="162"/>
      <c r="IC53" s="162"/>
      <c r="ID53" s="162"/>
      <c r="IE53" s="162"/>
      <c r="IF53" s="162"/>
      <c r="IG53" s="162"/>
      <c r="IH53" s="162"/>
      <c r="II53" s="162"/>
      <c r="IJ53" s="162"/>
      <c r="IK53" s="162"/>
      <c r="IL53" s="162"/>
      <c r="IM53" s="162"/>
      <c r="IN53" s="162"/>
      <c r="IO53" s="162"/>
      <c r="IP53" s="162"/>
      <c r="IQ53" s="162"/>
      <c r="IR53" s="162"/>
      <c r="IS53" s="162"/>
      <c r="IT53" s="162"/>
      <c r="IU53" s="162"/>
      <c r="IV53" s="162"/>
      <c r="IW53" s="162"/>
    </row>
    <row r="54" customFormat="false" ht="16.5" hidden="false" customHeight="false" outlineLevel="0" collapsed="false">
      <c r="A54" s="161"/>
      <c r="B54" s="161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2"/>
      <c r="BR54" s="162"/>
      <c r="BS54" s="162"/>
      <c r="BT54" s="162"/>
      <c r="BU54" s="162"/>
      <c r="BV54" s="162"/>
      <c r="BW54" s="162"/>
      <c r="BX54" s="162"/>
      <c r="BY54" s="162"/>
      <c r="BZ54" s="162"/>
      <c r="CA54" s="162"/>
      <c r="CB54" s="162"/>
      <c r="CC54" s="162"/>
      <c r="CD54" s="162"/>
      <c r="CE54" s="162"/>
      <c r="CF54" s="162"/>
      <c r="CG54" s="162"/>
      <c r="CH54" s="162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2"/>
      <c r="CT54" s="162"/>
      <c r="CU54" s="162"/>
      <c r="CV54" s="162"/>
      <c r="CW54" s="162"/>
      <c r="CX54" s="162"/>
      <c r="CY54" s="162"/>
      <c r="CZ54" s="162"/>
      <c r="DA54" s="162"/>
      <c r="DB54" s="162"/>
      <c r="DC54" s="162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162"/>
      <c r="DT54" s="162"/>
      <c r="DU54" s="162"/>
      <c r="DV54" s="162"/>
      <c r="DW54" s="162"/>
      <c r="DX54" s="162"/>
      <c r="DY54" s="162"/>
      <c r="DZ54" s="162"/>
      <c r="EA54" s="162"/>
      <c r="EB54" s="162"/>
      <c r="EC54" s="162"/>
      <c r="ED54" s="162"/>
      <c r="EE54" s="162"/>
      <c r="EF54" s="162"/>
      <c r="EG54" s="162"/>
      <c r="EH54" s="162"/>
      <c r="EI54" s="162"/>
      <c r="EJ54" s="162"/>
      <c r="EK54" s="162"/>
      <c r="EL54" s="162"/>
      <c r="EM54" s="162"/>
      <c r="EN54" s="162"/>
      <c r="EO54" s="162"/>
      <c r="EP54" s="162"/>
      <c r="EQ54" s="162"/>
      <c r="ER54" s="162"/>
      <c r="ES54" s="162"/>
      <c r="ET54" s="162"/>
      <c r="EU54" s="162"/>
      <c r="EV54" s="162"/>
      <c r="EW54" s="162"/>
      <c r="EX54" s="162"/>
      <c r="EY54" s="162"/>
      <c r="EZ54" s="162"/>
      <c r="FA54" s="162"/>
      <c r="FB54" s="162"/>
      <c r="FC54" s="162"/>
      <c r="FD54" s="162"/>
      <c r="FE54" s="162"/>
      <c r="FF54" s="162"/>
      <c r="FG54" s="162"/>
      <c r="FH54" s="162"/>
      <c r="FI54" s="162"/>
      <c r="FJ54" s="162"/>
      <c r="FK54" s="162"/>
      <c r="FL54" s="162"/>
      <c r="FM54" s="162"/>
      <c r="FN54" s="162"/>
      <c r="FO54" s="162"/>
      <c r="FP54" s="162"/>
      <c r="FQ54" s="162"/>
      <c r="FR54" s="162"/>
      <c r="FS54" s="162"/>
      <c r="FT54" s="162"/>
      <c r="FU54" s="162"/>
      <c r="FV54" s="162"/>
      <c r="FW54" s="162"/>
      <c r="FX54" s="162"/>
      <c r="FY54" s="162"/>
      <c r="FZ54" s="162"/>
      <c r="GA54" s="162"/>
      <c r="GB54" s="162"/>
      <c r="GC54" s="162"/>
      <c r="GD54" s="162"/>
      <c r="GE54" s="162"/>
      <c r="GF54" s="162"/>
      <c r="GG54" s="162"/>
      <c r="GH54" s="162"/>
      <c r="GI54" s="162"/>
      <c r="GJ54" s="162"/>
      <c r="GK54" s="162"/>
      <c r="GL54" s="162"/>
      <c r="GM54" s="162"/>
      <c r="GN54" s="162"/>
      <c r="GO54" s="162"/>
      <c r="GP54" s="162"/>
      <c r="GQ54" s="162"/>
      <c r="GR54" s="162"/>
      <c r="GS54" s="162"/>
      <c r="GT54" s="162"/>
      <c r="GU54" s="162"/>
      <c r="GV54" s="162"/>
      <c r="GW54" s="162"/>
      <c r="GX54" s="162"/>
      <c r="GY54" s="162"/>
      <c r="GZ54" s="162"/>
      <c r="HA54" s="162"/>
      <c r="HB54" s="162"/>
      <c r="HC54" s="162"/>
      <c r="HD54" s="162"/>
      <c r="HE54" s="162"/>
      <c r="HF54" s="162"/>
      <c r="HG54" s="162"/>
      <c r="HH54" s="162"/>
      <c r="HI54" s="162"/>
      <c r="HJ54" s="162"/>
      <c r="HK54" s="162"/>
      <c r="HL54" s="162"/>
      <c r="HM54" s="162"/>
      <c r="HN54" s="162"/>
      <c r="HO54" s="162"/>
      <c r="HP54" s="162"/>
      <c r="HQ54" s="162"/>
      <c r="HR54" s="162"/>
      <c r="HS54" s="162"/>
      <c r="HT54" s="162"/>
      <c r="HU54" s="162"/>
      <c r="HV54" s="162"/>
      <c r="HW54" s="162"/>
      <c r="HX54" s="162"/>
      <c r="HY54" s="162"/>
      <c r="HZ54" s="162"/>
      <c r="IA54" s="162"/>
      <c r="IB54" s="162"/>
      <c r="IC54" s="162"/>
      <c r="ID54" s="162"/>
      <c r="IE54" s="162"/>
      <c r="IF54" s="162"/>
      <c r="IG54" s="162"/>
      <c r="IH54" s="162"/>
      <c r="II54" s="162"/>
      <c r="IJ54" s="162"/>
      <c r="IK54" s="162"/>
      <c r="IL54" s="162"/>
      <c r="IM54" s="162"/>
      <c r="IN54" s="162"/>
      <c r="IO54" s="162"/>
      <c r="IP54" s="162"/>
      <c r="IQ54" s="162"/>
      <c r="IR54" s="162"/>
      <c r="IS54" s="162"/>
      <c r="IT54" s="162"/>
      <c r="IU54" s="162"/>
      <c r="IV54" s="162"/>
      <c r="IW54" s="162"/>
    </row>
    <row r="55" customFormat="false" ht="15.75" hidden="false" customHeight="false" outlineLevel="0" collapsed="false">
      <c r="A55" s="163" t="n">
        <f aca="false">+Summary!C5</f>
        <v>36859</v>
      </c>
      <c r="B55" s="163"/>
      <c r="C55" s="162"/>
      <c r="D55" s="162"/>
      <c r="E55" s="162" t="s">
        <v>190</v>
      </c>
      <c r="F55" s="162" t="n">
        <f aca="false">VLOOKUP(+A55,Note,2)</f>
        <v>0</v>
      </c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2"/>
      <c r="BC55" s="162"/>
      <c r="BD55" s="162"/>
      <c r="BE55" s="162"/>
      <c r="BF55" s="162"/>
      <c r="BG55" s="162"/>
      <c r="BH55" s="162"/>
      <c r="BI55" s="162"/>
      <c r="BJ55" s="162"/>
      <c r="BK55" s="162"/>
      <c r="BL55" s="162"/>
      <c r="BM55" s="162"/>
      <c r="BN55" s="162"/>
      <c r="BO55" s="162"/>
      <c r="BP55" s="162"/>
      <c r="BQ55" s="162"/>
      <c r="BR55" s="162"/>
      <c r="BS55" s="162"/>
      <c r="BT55" s="162"/>
      <c r="BU55" s="162"/>
      <c r="BV55" s="162"/>
      <c r="BW55" s="162"/>
      <c r="BX55" s="162"/>
      <c r="BY55" s="162"/>
      <c r="BZ55" s="162"/>
      <c r="CA55" s="162"/>
      <c r="CB55" s="162"/>
      <c r="CC55" s="162"/>
      <c r="CD55" s="162"/>
      <c r="CE55" s="162"/>
      <c r="CF55" s="162"/>
      <c r="CG55" s="162"/>
      <c r="CH55" s="162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  <c r="FW55" s="162"/>
      <c r="FX55" s="162"/>
      <c r="FY55" s="162"/>
      <c r="FZ55" s="162"/>
      <c r="GA55" s="162"/>
      <c r="GB55" s="162"/>
      <c r="GC55" s="162"/>
      <c r="GD55" s="162"/>
      <c r="GE55" s="162"/>
      <c r="GF55" s="162"/>
      <c r="GG55" s="162"/>
      <c r="GH55" s="162"/>
      <c r="GI55" s="162"/>
      <c r="GJ55" s="162"/>
      <c r="GK55" s="162"/>
      <c r="GL55" s="162"/>
      <c r="GM55" s="162"/>
      <c r="GN55" s="162"/>
      <c r="GO55" s="162"/>
      <c r="GP55" s="162"/>
      <c r="GQ55" s="162"/>
      <c r="GR55" s="162"/>
      <c r="GS55" s="162"/>
      <c r="GT55" s="162"/>
      <c r="GU55" s="162"/>
      <c r="GV55" s="162"/>
      <c r="GW55" s="162"/>
      <c r="GX55" s="162"/>
      <c r="GY55" s="162"/>
      <c r="GZ55" s="162"/>
      <c r="HA55" s="162"/>
      <c r="HB55" s="162"/>
      <c r="HC55" s="162"/>
      <c r="HD55" s="162"/>
      <c r="HE55" s="162"/>
      <c r="HF55" s="162"/>
      <c r="HG55" s="162"/>
      <c r="HH55" s="162"/>
      <c r="HI55" s="162"/>
      <c r="HJ55" s="162"/>
      <c r="HK55" s="162"/>
      <c r="HL55" s="162"/>
      <c r="HM55" s="162"/>
      <c r="HN55" s="162"/>
      <c r="HO55" s="162"/>
      <c r="HP55" s="162"/>
      <c r="HQ55" s="162"/>
      <c r="HR55" s="162"/>
      <c r="HS55" s="162"/>
      <c r="HT55" s="162"/>
      <c r="HU55" s="162"/>
      <c r="HV55" s="162"/>
      <c r="HW55" s="162"/>
      <c r="HX55" s="162"/>
      <c r="HY55" s="162"/>
      <c r="HZ55" s="162"/>
      <c r="IA55" s="162"/>
      <c r="IB55" s="162"/>
      <c r="IC55" s="162"/>
      <c r="ID55" s="162"/>
      <c r="IE55" s="162"/>
      <c r="IF55" s="162"/>
      <c r="IG55" s="162"/>
      <c r="IH55" s="162"/>
      <c r="II55" s="162"/>
      <c r="IJ55" s="162"/>
      <c r="IK55" s="162"/>
      <c r="IL55" s="162"/>
      <c r="IM55" s="162"/>
      <c r="IN55" s="162"/>
      <c r="IO55" s="162"/>
      <c r="IP55" s="162"/>
      <c r="IQ55" s="162"/>
      <c r="IR55" s="162"/>
      <c r="IS55" s="162"/>
      <c r="IT55" s="162"/>
      <c r="IU55" s="162"/>
      <c r="IV55" s="162"/>
      <c r="IW55" s="162"/>
    </row>
    <row r="56" customFormat="false" ht="15.75" hidden="false" customHeight="false" outlineLevel="0" collapsed="false">
      <c r="A56" s="162"/>
      <c r="B56" s="162"/>
      <c r="C56" s="162"/>
      <c r="D56" s="162"/>
      <c r="E56" s="162" t="s">
        <v>28</v>
      </c>
      <c r="F56" s="161" t="n">
        <f aca="false">VLOOKUP(+A55,Note,1)</f>
        <v>36706</v>
      </c>
      <c r="G56" s="162"/>
    </row>
    <row r="57" customFormat="false" ht="15.75" hidden="false" customHeight="false" outlineLevel="0" collapsed="false">
      <c r="A57" s="162" t="s">
        <v>202</v>
      </c>
      <c r="B57" s="164" t="n">
        <f aca="false">VLOOKUP(+A55,Loan,8)</f>
        <v>0</v>
      </c>
      <c r="C57" s="162"/>
      <c r="D57" s="162"/>
      <c r="E57" s="162" t="s">
        <v>194</v>
      </c>
      <c r="F57" s="162" t="n">
        <f aca="false">VLOOKUP(+F55+1,LoanPeriod,5)</f>
        <v>14233333.3333333</v>
      </c>
      <c r="G57" s="162"/>
    </row>
    <row r="58" customFormat="false" ht="15.75" hidden="false" customHeight="false" outlineLevel="0" collapsed="false">
      <c r="A58" s="161" t="s">
        <v>6</v>
      </c>
      <c r="B58" s="162" t="n">
        <f aca="false">+B56+B57</f>
        <v>0</v>
      </c>
      <c r="C58" s="162"/>
      <c r="D58" s="162"/>
      <c r="E58" s="162" t="s">
        <v>196</v>
      </c>
      <c r="F58" s="161" t="n">
        <f aca="false">VLOOKUP(+F55+1,NotePeriod,8)</f>
        <v>36889</v>
      </c>
      <c r="G58" s="162"/>
    </row>
    <row r="59" customFormat="false" ht="15.75" hidden="false" customHeight="false" outlineLevel="0" collapsed="false">
      <c r="A59" s="161" t="s">
        <v>197</v>
      </c>
      <c r="B59" s="162" t="n">
        <f aca="false">A55-F56</f>
        <v>153</v>
      </c>
      <c r="C59" s="162"/>
      <c r="D59" s="162"/>
      <c r="E59" s="161"/>
      <c r="F59" s="162"/>
      <c r="G59" s="162"/>
    </row>
    <row r="60" customFormat="false" ht="15.75" hidden="false" customHeight="false" outlineLevel="0" collapsed="false">
      <c r="A60" s="161" t="s">
        <v>203</v>
      </c>
      <c r="B60" s="162" t="n">
        <f aca="false">F57*B59/(F58-F56)</f>
        <v>11900000</v>
      </c>
      <c r="C60" s="162"/>
      <c r="D60" s="162"/>
      <c r="E60" s="162"/>
      <c r="F60" s="162"/>
      <c r="G60" s="162"/>
    </row>
    <row r="61" customFormat="false" ht="15.75" hidden="false" customHeight="false" outlineLevel="0" collapsed="false">
      <c r="A61" s="161" t="s">
        <v>172</v>
      </c>
      <c r="B61" s="162" t="n">
        <f aca="false">+B57+B60</f>
        <v>11900000</v>
      </c>
      <c r="C61" s="162"/>
      <c r="D61" s="162"/>
      <c r="E61" s="162"/>
      <c r="F61" s="162"/>
      <c r="G61" s="162"/>
    </row>
    <row r="63" customFormat="false" ht="15.75" hidden="false" customHeight="false" outlineLevel="0" collapsed="false">
      <c r="A63" s="64" t="s">
        <v>204</v>
      </c>
    </row>
    <row r="64" customFormat="false" ht="15.75" hidden="false" customHeight="false" outlineLevel="0" collapsed="false">
      <c r="A64" s="56" t="n">
        <f aca="false">+'Cash-Int-Trans'!B52</f>
        <v>36791</v>
      </c>
      <c r="B64" s="64" t="s">
        <v>205</v>
      </c>
      <c r="E64" s="64" t="n">
        <f aca="false">+'Cash-Int-Trans'!B53</f>
        <v>6733589</v>
      </c>
    </row>
    <row r="65" customFormat="false" ht="15.75" hidden="false" customHeight="false" outlineLevel="0" collapsed="false">
      <c r="A65" s="56" t="n">
        <f aca="false">+A64</f>
        <v>36791</v>
      </c>
      <c r="B65" s="64" t="s">
        <v>206</v>
      </c>
      <c r="C65" s="56"/>
      <c r="D65" s="56" t="n">
        <f aca="false">+'Cash-Int-Trans'!B54</f>
        <v>36859</v>
      </c>
      <c r="E65" s="166" t="n">
        <f aca="false">+'Cash-Int-Trans'!B56</f>
        <v>89033.0101111111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2000-12-01T13:21:37Z</dcterms:modified>
  <cp:revision>0</cp:revision>
  <dc:subject/>
  <dc:title>FXHistory</dc:title>
</cp:coreProperties>
</file>