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<sst xmlns="http://schemas.openxmlformats.org/spreadsheetml/2006/main" count="281" uniqueCount="207">
  <si>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</si>
  <si>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</si>
  <si>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</si>
  <si>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</si>
  <si>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</si>
  <si>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</si>
  <si>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</si>
  <si>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</si>
  <si>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</si>
  <si>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</si>
  <si>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</si>
  <si>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</si>
  <si>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</si>
  <si>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</si>
  <si>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</si>
  <si>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</si>
  <si>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</si>
  <si>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</si>
  <si>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</si>
  <si>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</si>
  <si>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</si>
  <si>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</si>
  <si>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</si>
  <si>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</si>
  <si>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</si>
  <si>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</si>
  <si>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</si>
  <si>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</si>
  <si>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</si>
  <si>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</si>
  <si>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</si>
  <si>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</si>
  <si>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</si>
  <si>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</si>
  <si>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</si>
  <si>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</si>
  <si>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</si>
  <si>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</si>
  <si>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</si>
  <si>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</si>
  <si>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</si>
  <si>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</si>
  <si>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</si>
  <si>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</si>
  <si>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</si>
  <si>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</si>
  <si>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</si>
  <si>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</si>
  <si>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</si>
  <si>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</si>
  <si>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</si>
  <si>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</si>
  <si>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</si>
  <si>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</si>
  <si>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</si>
  <si>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</si>
  <si>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</si>
  <si>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</si>
  <si>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</si>
  <si>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</si>
  <si>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</si>
  <si>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</si>
  <si>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</si>
  <si>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</si>
  <si>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</si>
  <si>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</si>
  <si>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</si>
  <si>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</si>
  <si>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</si>
  <si>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</si>
  <si>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</si>
  <si>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</si>
  <si>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</si>
  <si>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</si>
  <si>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</si>
  <si>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</si>
  <si>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</si>
  <si>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</si>
  <si>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</si>
  <si>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</si>
  <si>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</si>
  <si>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</si>
  <si>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</si>
  <si>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</si>
  <si>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</si>
  <si>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</si>
  <si>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</si>
  <si>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</si>
  <si>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</si>
  <si>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</si>
  <si>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</si>
  <si>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</si>
  <si>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</si>
  <si>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</si>
  <si>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</si>
  <si>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</si>
  <si>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</si>
  <si>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</si>
  <si>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</si>
  <si>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</si>
  <si>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</si>
  <si>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</si>
  <si>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</si>
  <si>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</si>
  <si>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</si>
  <si>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</si>
  <si>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</si>
  <si>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</si>
  <si>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</si>
  <si>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</si>
  <si>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</si>
  <si>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</si>
  <si>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</si>
  <si>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</si>
  <si>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</si>
  <si>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</si>
  <si>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</si>
  <si>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</si>
  <si>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</si>
  <si>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</si>
  <si>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</si>
  <si>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</si>
  <si>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</si>
  <si>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</si>
  <si>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</si>
  <si>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</si>
  <si>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</si>
  <si>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</si>
  <si>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</si>
  <si>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</si>
  <si>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$68.75</t>
  </si>
  <si>
    <t xml:space="preserve">          Additional LJMII Capital</t>
  </si>
  <si>
    <t xml:space="preserve">Plus Income(Loss)</t>
  </si>
  <si>
    <t xml:space="preserve">Initial</t>
  </si>
  <si>
    <t xml:space="preserve">Less:  Discount Amortization</t>
  </si>
  <si>
    <t xml:space="preserve">Less Distributions</t>
  </si>
  <si>
    <t xml:space="preserve">I/S</t>
  </si>
  <si>
    <t xml:space="preserve">          Distribution to LJMII</t>
  </si>
  <si>
    <t xml:space="preserve">Current Equity</t>
  </si>
  <si>
    <t xml:space="preserve">Days O/S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</si>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</sst>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36858</v>
      </c>
      <c r="D5" s="10" t="s">
        <v>3</v>
      </c>
      <c r="E5" s="11" t="n">
        <f aca="false">+C5-1</f>
        <v>36857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IF(+Financials!P26=0,"No Capacity Available",+Financials!P26)</f>
        <v>109741225.902769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278854883.155042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36858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39" activePane="bottomLeft" state="frozen"/>
      <selection pane="topLeft" activeCell="A1" activeCellId="0" sqref="A1"/>
      <selection pane="bottomLeft" activeCell="B53" activeCellId="0" sqref="B5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7" activeCellId="0" sqref="B1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36858</v>
      </c>
      <c r="I2" s="68"/>
      <c r="J2" s="69"/>
      <c r="L2" s="68" t="n">
        <f aca="false">H2</f>
        <v>36858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78.438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E6+E9+E10-B35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36858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33437332.280625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375947310.958904</v>
      </c>
      <c r="N10" s="85"/>
      <c r="O10" s="64" t="s">
        <v>77</v>
      </c>
      <c r="P10" s="64" t="n">
        <f aca="false">IF(I19&gt;0,0,-I19)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36858</v>
      </c>
      <c r="J11" s="65"/>
      <c r="L11" s="64" t="s">
        <v>80</v>
      </c>
      <c r="M11" s="64" t="n">
        <f aca="false">+Amort!B28</f>
        <v>1477777.77777778</v>
      </c>
      <c r="O11" s="64" t="s">
        <v>67</v>
      </c>
      <c r="P11" s="64" t="n">
        <f aca="false">E7-I16+'Cash-Int-Trans'!B9</f>
        <v>418643534.923361</v>
      </c>
      <c r="R11" s="25"/>
    </row>
    <row r="12" customFormat="false" ht="16.5" hidden="false" customHeight="false" outlineLevel="0" collapsed="false">
      <c r="H12" s="65" t="s">
        <v>81</v>
      </c>
      <c r="I12" s="90" t="n">
        <f aca="false">+'Cash-Int-Trans'!B6</f>
        <v>34266411</v>
      </c>
      <c r="J12" s="97" t="s">
        <v>82</v>
      </c>
      <c r="O12" s="64" t="s">
        <v>74</v>
      </c>
      <c r="P12" s="64" t="n">
        <f aca="false">IF(+I23+I35+'Cash-Int-Trans'!D64-'Cash-Int-Trans'!D63&gt;'Cash-Int-Trans'!D64,'Cash-Int-Trans'!D64,IF(+I23+I35+'Cash-Int-Trans'!D64&lt;0,0,+I23+I35+'Cash-Int-Trans'!D64-'Cash-Int-Trans'!D63))</f>
        <v>31124230.1369863</v>
      </c>
      <c r="Q12" s="98" t="s">
        <v>83</v>
      </c>
    </row>
    <row r="13" customFormat="false" ht="15.75" hidden="false" customHeight="false" outlineLevel="0" collapsed="false">
      <c r="A13" s="99" t="s">
        <v>84</v>
      </c>
      <c r="D13" s="100" t="s">
        <v>85</v>
      </c>
      <c r="E13" s="100" t="s">
        <v>32</v>
      </c>
      <c r="F13" s="101"/>
      <c r="H13" s="65" t="s">
        <v>86</v>
      </c>
      <c r="I13" s="90" t="n">
        <f aca="false">+'Cash-Int-Trans'!B38</f>
        <v>2336332.280625</v>
      </c>
      <c r="J13" s="97"/>
      <c r="L13" s="64" t="s">
        <v>87</v>
      </c>
      <c r="M13" s="64" t="n">
        <f aca="false">IF(I19&gt;0,I19,0)</f>
        <v>0</v>
      </c>
      <c r="O13" s="64" t="s">
        <v>49</v>
      </c>
      <c r="P13" s="64" t="n">
        <f aca="false">M14-SUM(P8:P12)</f>
        <v>11094655.9569594</v>
      </c>
    </row>
    <row r="14" customFormat="false" ht="16.5" hidden="false" customHeight="false" outlineLevel="0" collapsed="false">
      <c r="A14" s="64" t="s">
        <v>88</v>
      </c>
      <c r="B14" s="64" t="n">
        <f aca="false">D14*E14</f>
        <v>0</v>
      </c>
      <c r="D14" s="102" t="n">
        <v>0</v>
      </c>
      <c r="E14" s="103" t="n">
        <v>0</v>
      </c>
      <c r="H14" s="65" t="s">
        <v>89</v>
      </c>
      <c r="I14" s="90" t="n">
        <f aca="false">+Amort!B29</f>
        <v>1477777.77777778</v>
      </c>
      <c r="J14" s="65"/>
      <c r="L14" s="92" t="s">
        <v>6</v>
      </c>
      <c r="M14" s="93" t="n">
        <f aca="false">SUM(M8:M13)</f>
        <v>460862421.017307</v>
      </c>
      <c r="N14" s="94"/>
      <c r="O14" s="92" t="s">
        <v>6</v>
      </c>
      <c r="P14" s="93" t="n">
        <f aca="false">SUM(P8:P13)</f>
        <v>460862421.017307</v>
      </c>
      <c r="Q14" s="104" t="s">
        <v>90</v>
      </c>
    </row>
    <row r="15" customFormat="false" ht="16.5" hidden="false" customHeight="false" outlineLevel="0" collapsed="false">
      <c r="A15" s="64" t="s">
        <v>91</v>
      </c>
      <c r="B15" s="105" t="n">
        <f aca="false">+D15*E15</f>
        <v>536923062.5</v>
      </c>
      <c r="D15" s="106" t="n">
        <v>7809790</v>
      </c>
      <c r="E15" s="103" t="n">
        <v>68.75</v>
      </c>
      <c r="H15" s="65" t="s">
        <v>92</v>
      </c>
      <c r="I15" s="90" t="n">
        <f aca="false">-B17*D36/(3*365)</f>
        <v>25947310.9589041</v>
      </c>
      <c r="J15" s="107" t="s">
        <v>93</v>
      </c>
      <c r="P15" s="64" t="n">
        <f aca="false">M14-P14</f>
        <v>0</v>
      </c>
      <c r="Q15" s="88" t="str">
        <f aca="false">IF(ROUND(P15,0)=0,"","8/31/00 Balance Sheet does not Balance!")</f>
        <v/>
      </c>
    </row>
    <row r="16" customFormat="false" ht="15.75" hidden="false" customHeight="false" outlineLevel="0" collapsed="false">
      <c r="A16" s="64" t="s">
        <v>94</v>
      </c>
      <c r="B16" s="64" t="n">
        <f aca="false">SUM(B14:B15)</f>
        <v>536923062.5</v>
      </c>
      <c r="H16" s="65" t="s">
        <v>95</v>
      </c>
      <c r="I16" s="108" t="n">
        <f aca="false">-'Cash-Int-Trans'!B47</f>
        <v>-11909945.9233611</v>
      </c>
      <c r="J16" s="65"/>
      <c r="L16" s="109" t="s">
        <v>96</v>
      </c>
      <c r="M16" s="91"/>
      <c r="N16" s="91"/>
      <c r="O16" s="91"/>
      <c r="P16" s="91"/>
      <c r="Q16" s="90"/>
    </row>
    <row r="17" customFormat="false" ht="15.75" hidden="false" customHeight="false" outlineLevel="0" collapsed="false">
      <c r="A17" s="64" t="s">
        <v>97</v>
      </c>
      <c r="B17" s="64" t="n">
        <f aca="false">350000000-B16</f>
        <v>-186923062.5</v>
      </c>
      <c r="C17" s="110" t="s">
        <v>98</v>
      </c>
      <c r="D17" s="111" t="n">
        <f aca="false">-B17/B16</f>
        <v>0.348137518305986</v>
      </c>
      <c r="I17" s="64" t="n">
        <f aca="false">SUM(I12:I16)</f>
        <v>52117886.0939458</v>
      </c>
      <c r="L17" s="112" t="s">
        <v>99</v>
      </c>
      <c r="M17" s="112"/>
      <c r="P17" s="64" t="n">
        <f aca="false">M14</f>
        <v>460862421.017307</v>
      </c>
      <c r="Q17" s="104" t="s">
        <v>90</v>
      </c>
    </row>
    <row r="18" customFormat="false" ht="16.5" hidden="false" customHeight="false" outlineLevel="0" collapsed="false">
      <c r="A18" s="64" t="s">
        <v>100</v>
      </c>
      <c r="B18" s="93" t="n">
        <f aca="false">B16+B17</f>
        <v>350000000</v>
      </c>
      <c r="C18" s="85" t="s">
        <v>70</v>
      </c>
      <c r="I18" s="64"/>
      <c r="L18" s="64" t="s">
        <v>101</v>
      </c>
      <c r="M18" s="113"/>
      <c r="N18" s="113"/>
      <c r="O18" s="113"/>
      <c r="P18" s="64" t="n">
        <f aca="false">+M18+O18</f>
        <v>0</v>
      </c>
    </row>
    <row r="19" customFormat="false" ht="16.5" hidden="false" customHeight="false" outlineLevel="0" collapsed="false">
      <c r="H19" s="64" t="s">
        <v>102</v>
      </c>
      <c r="I19" s="64" t="n">
        <f aca="false">+'Daily Position'!L8</f>
        <v>0</v>
      </c>
      <c r="J19" s="65"/>
      <c r="L19" s="64" t="s">
        <v>103</v>
      </c>
      <c r="M19" s="113" t="n">
        <f aca="false">+'Daily Position'!I8-M18</f>
        <v>460000000</v>
      </c>
      <c r="N19" s="113"/>
      <c r="O19" s="113" t="n">
        <f aca="false">-P10</f>
        <v>0</v>
      </c>
      <c r="P19" s="105" t="n">
        <f aca="false">+M19+O19</f>
        <v>460000000</v>
      </c>
      <c r="T19" s="114"/>
    </row>
    <row r="20" customFormat="false" ht="16.5" hidden="false" customHeight="false" outlineLevel="0" collapsed="false">
      <c r="A20" s="115" t="s">
        <v>104</v>
      </c>
      <c r="B20" s="115"/>
      <c r="C20" s="115"/>
      <c r="D20" s="115"/>
      <c r="E20" s="115"/>
      <c r="H20" s="64" t="s">
        <v>105</v>
      </c>
      <c r="I20" s="105" t="n">
        <f aca="false">+'Daily Position'!M8</f>
        <v>0</v>
      </c>
      <c r="L20" s="64" t="s">
        <v>106</v>
      </c>
      <c r="P20" s="64" t="n">
        <f aca="false">+P17+P18+P19</f>
        <v>920862421.017307</v>
      </c>
    </row>
    <row r="21" customFormat="false" ht="15.75" hidden="false" customHeight="false" outlineLevel="0" collapsed="false">
      <c r="A21" s="116" t="s">
        <v>99</v>
      </c>
      <c r="B21" s="116"/>
      <c r="E21" s="64" t="n">
        <f aca="false">B11</f>
        <v>471001000</v>
      </c>
      <c r="F21" s="117" t="s">
        <v>78</v>
      </c>
      <c r="H21" s="0"/>
      <c r="I21" s="118" t="n">
        <f aca="false">SUM(I19:I20)</f>
        <v>0</v>
      </c>
      <c r="J21" s="65"/>
      <c r="K21" s="64"/>
      <c r="L21" s="64" t="s">
        <v>107</v>
      </c>
      <c r="P21" s="119" t="n">
        <f aca="false">E27</f>
        <v>0.0302</v>
      </c>
    </row>
    <row r="22" customFormat="false" ht="15.75" hidden="false" customHeight="false" outlineLevel="0" collapsed="false">
      <c r="A22" s="64" t="s">
        <v>108</v>
      </c>
      <c r="B22" s="64" t="s">
        <v>85</v>
      </c>
      <c r="D22" s="64" t="n">
        <v>7427536</v>
      </c>
      <c r="H22" s="120"/>
      <c r="I22" s="121"/>
      <c r="J22" s="65"/>
      <c r="K22" s="64"/>
      <c r="L22" s="64" t="s">
        <v>109</v>
      </c>
      <c r="P22" s="64" t="n">
        <f aca="false">P20*P21</f>
        <v>27810045.1147227</v>
      </c>
    </row>
    <row r="23" customFormat="false" ht="16.5" hidden="false" customHeight="false" outlineLevel="0" collapsed="false">
      <c r="A23" s="64" t="s">
        <v>110</v>
      </c>
      <c r="B23" s="64" t="s">
        <v>111</v>
      </c>
      <c r="D23" s="103" t="n">
        <v>57.5</v>
      </c>
      <c r="E23" s="105" t="n">
        <f aca="false">D22*D23</f>
        <v>427083320</v>
      </c>
      <c r="H23" s="122" t="s">
        <v>112</v>
      </c>
      <c r="I23" s="123" t="n">
        <f aca="false">I21+I17</f>
        <v>52117886.0939458</v>
      </c>
      <c r="J23" s="124" t="s">
        <v>113</v>
      </c>
      <c r="L23" s="64" t="s">
        <v>114</v>
      </c>
      <c r="P23" s="64" t="n">
        <f aca="false">P12</f>
        <v>31124230.1369863</v>
      </c>
      <c r="Q23" s="98" t="s">
        <v>83</v>
      </c>
    </row>
    <row r="24" customFormat="false" ht="16.5" hidden="false" customHeight="false" outlineLevel="0" collapsed="false">
      <c r="A24" s="64" t="s">
        <v>115</v>
      </c>
      <c r="E24" s="64" t="n">
        <f aca="false">SUM(E21:E23)</f>
        <v>898084320</v>
      </c>
      <c r="H24" s="65"/>
      <c r="I24" s="90"/>
      <c r="J24" s="65"/>
      <c r="L24" s="125" t="s">
        <v>116</v>
      </c>
      <c r="M24" s="118"/>
      <c r="N24" s="118"/>
      <c r="O24" s="118"/>
      <c r="P24" s="126" t="str">
        <f aca="false">IF(P23&gt;=P22,"Test Passed","Test Failed")</f>
        <v>Test Passed</v>
      </c>
      <c r="Q24" s="98"/>
    </row>
    <row r="25" customFormat="false" ht="15.75" hidden="false" customHeight="false" outlineLevel="0" collapsed="false">
      <c r="A25" s="64" t="s">
        <v>117</v>
      </c>
      <c r="E25" s="105" t="n">
        <f aca="false">E6</f>
        <v>41000000</v>
      </c>
      <c r="F25" s="78" t="s">
        <v>63</v>
      </c>
      <c r="H25" s="91" t="s">
        <v>118</v>
      </c>
      <c r="I25" s="91"/>
      <c r="J25" s="65"/>
      <c r="L25" s="65" t="s">
        <v>119</v>
      </c>
      <c r="M25" s="65"/>
      <c r="N25" s="65"/>
      <c r="O25" s="65"/>
      <c r="P25" s="65" t="n">
        <f aca="false">P23-P22</f>
        <v>3314185.02226364</v>
      </c>
    </row>
    <row r="26" customFormat="false" ht="15.75" hidden="false" customHeight="false" outlineLevel="0" collapsed="false">
      <c r="E26" s="64" t="n">
        <f aca="false">E24-E25</f>
        <v>857084320</v>
      </c>
      <c r="H26" s="65" t="s">
        <v>120</v>
      </c>
      <c r="I26" s="90"/>
      <c r="J26" s="65"/>
      <c r="K26" s="64"/>
      <c r="L26" s="122" t="s">
        <v>121</v>
      </c>
      <c r="M26" s="122"/>
      <c r="N26" s="122"/>
      <c r="O26" s="122"/>
      <c r="P26" s="122" t="n">
        <f aca="false">IF(P25&lt;0,0,P25/P21)</f>
        <v>109741225.902769</v>
      </c>
    </row>
    <row r="27" customFormat="false" ht="15.75" hidden="false" customHeight="false" outlineLevel="0" collapsed="false">
      <c r="A27" s="64" t="s">
        <v>107</v>
      </c>
      <c r="E27" s="119" t="n">
        <v>0.0302</v>
      </c>
      <c r="H27" s="65" t="s">
        <v>122</v>
      </c>
      <c r="I27" s="90" t="n">
        <f aca="false">E9</f>
        <v>30000000</v>
      </c>
      <c r="J27" s="89" t="s">
        <v>75</v>
      </c>
    </row>
    <row r="28" customFormat="false" ht="15.75" hidden="false" customHeight="false" outlineLevel="0" collapsed="false">
      <c r="A28" s="64" t="s">
        <v>109</v>
      </c>
      <c r="E28" s="64" t="n">
        <f aca="false">E26*E27</f>
        <v>25883946.464</v>
      </c>
      <c r="H28" s="65" t="s">
        <v>123</v>
      </c>
      <c r="I28" s="108" t="n">
        <f aca="false">-B17</f>
        <v>186923062.5</v>
      </c>
      <c r="J28" s="127" t="s">
        <v>98</v>
      </c>
      <c r="L28" s="128" t="s">
        <v>124</v>
      </c>
      <c r="M28" s="128"/>
    </row>
    <row r="29" customFormat="false" ht="15.75" hidden="false" customHeight="false" outlineLevel="0" collapsed="false">
      <c r="A29" s="64" t="s">
        <v>114</v>
      </c>
      <c r="E29" s="64" t="n">
        <f aca="false">E9</f>
        <v>30000000</v>
      </c>
      <c r="F29" s="89" t="s">
        <v>75</v>
      </c>
      <c r="H29" s="65" t="s">
        <v>125</v>
      </c>
      <c r="I29" s="90" t="n">
        <f aca="false">SUM(I27:I28)</f>
        <v>216923062.5</v>
      </c>
      <c r="J29" s="65"/>
      <c r="L29" s="64" t="s">
        <v>126</v>
      </c>
    </row>
    <row r="30" customFormat="false" ht="15.75" hidden="false" customHeight="false" outlineLevel="0" collapsed="false">
      <c r="A30" s="125" t="s">
        <v>116</v>
      </c>
      <c r="B30" s="118"/>
      <c r="C30" s="118"/>
      <c r="D30" s="118"/>
      <c r="E30" s="126" t="str">
        <f aca="false">IF(E29&gt;=E28,"Test Passed","Test Failed")</f>
        <v>Test Passed</v>
      </c>
      <c r="H30" s="65"/>
      <c r="I30" s="90"/>
      <c r="J30" s="65"/>
      <c r="L30" s="64" t="s">
        <v>127</v>
      </c>
      <c r="M30" s="64" t="n">
        <f aca="false">E9+'Cash-Int-Trans'!B13</f>
        <v>31100000</v>
      </c>
    </row>
    <row r="31" customFormat="false" ht="15.75" hidden="false" customHeight="false" outlineLevel="0" collapsed="false">
      <c r="H31" s="65" t="s">
        <v>128</v>
      </c>
      <c r="I31" s="90" t="n">
        <f aca="false">I23</f>
        <v>52117886.0939458</v>
      </c>
      <c r="J31" s="124" t="s">
        <v>113</v>
      </c>
      <c r="L31" s="64" t="s">
        <v>129</v>
      </c>
      <c r="M31" s="105" t="n">
        <f aca="false">E10</f>
        <v>1000</v>
      </c>
    </row>
    <row r="32" customFormat="false" ht="15.75" hidden="false" customHeight="false" outlineLevel="0" collapsed="false">
      <c r="H32" s="65" t="s">
        <v>130</v>
      </c>
      <c r="I32" s="90" t="n">
        <f aca="false">(+D15)*(I5-E15)</f>
        <v>75661245.52</v>
      </c>
      <c r="J32" s="124"/>
      <c r="M32" s="64" t="n">
        <f aca="false">SUM(M30:M31)</f>
        <v>31101000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64" t="s">
        <v>131</v>
      </c>
      <c r="I33" s="66" t="n">
        <f aca="false">+'Cash-Int-Trans'!B13</f>
        <v>1100000</v>
      </c>
      <c r="L33" s="64" t="s">
        <v>132</v>
      </c>
      <c r="M33" s="64" t="n">
        <f aca="false">I23</f>
        <v>52117886.0939458</v>
      </c>
    </row>
    <row r="34" customFormat="false" ht="15.75" hidden="false" customHeight="false" outlineLevel="0" collapsed="false">
      <c r="A34" s="0"/>
      <c r="B34" s="0"/>
      <c r="C34" s="0"/>
      <c r="D34" s="129" t="n">
        <v>36706</v>
      </c>
      <c r="E34" s="65" t="s">
        <v>133</v>
      </c>
      <c r="H34" s="65" t="s">
        <v>134</v>
      </c>
      <c r="I34" s="90" t="n">
        <f aca="false">-I15</f>
        <v>-25947310.9589041</v>
      </c>
      <c r="J34" s="107" t="s">
        <v>93</v>
      </c>
      <c r="L34" s="64" t="s">
        <v>135</v>
      </c>
      <c r="M34" s="105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130" t="n">
        <f aca="false">+Summary!C5</f>
        <v>36858</v>
      </c>
      <c r="E35" s="65" t="s">
        <v>136</v>
      </c>
      <c r="H35" s="65" t="s">
        <v>137</v>
      </c>
      <c r="I35" s="90" t="n">
        <f aca="false">+'Cash-Int-Trans'!B12</f>
        <v>-41000000</v>
      </c>
      <c r="J35" s="131"/>
      <c r="L35" s="64" t="s">
        <v>138</v>
      </c>
      <c r="M35" s="64" t="n">
        <f aca="false">SUM(M32:M34)</f>
        <v>42218886.0939458</v>
      </c>
    </row>
    <row r="36" customFormat="false" ht="16.5" hidden="false" customHeight="false" outlineLevel="0" collapsed="false">
      <c r="A36" s="0"/>
      <c r="B36" s="0"/>
      <c r="C36" s="0"/>
      <c r="D36" s="132" t="n">
        <f aca="false">D35-D34</f>
        <v>152</v>
      </c>
      <c r="E36" s="65" t="s">
        <v>139</v>
      </c>
      <c r="H36" s="122" t="s">
        <v>140</v>
      </c>
      <c r="I36" s="133" t="n">
        <f aca="false">SUM(I29:I35)</f>
        <v>278854883.155042</v>
      </c>
      <c r="J36" s="65"/>
      <c r="L36" s="64" t="s">
        <v>141</v>
      </c>
      <c r="M36" s="64" t="n">
        <f aca="false">P12</f>
        <v>31124230.1369863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34" t="s">
        <v>142</v>
      </c>
      <c r="I37" s="135"/>
      <c r="K37" s="64"/>
      <c r="L37" s="64" t="s">
        <v>143</v>
      </c>
      <c r="M37" s="105" t="n">
        <f aca="false">P13</f>
        <v>11094655.9569594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M38" s="64" t="n">
        <f aca="false">M35-M36-M37</f>
        <v>4.4703483581543E-008</v>
      </c>
      <c r="N38" s="136" t="str">
        <f aca="false">IF(ROUND(M38,0)=0,"OK","Not OK")</f>
        <v>OK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L39" s="64" t="s">
        <v>144</v>
      </c>
      <c r="M39" s="64" t="n">
        <f aca="false">ROUND(M35-SUM(M36:M37),0)</f>
        <v>0</v>
      </c>
      <c r="N39" s="137" t="str">
        <f aca="false">IF(M39=0,"OK","Not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8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9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B54" activeCellId="0" sqref="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0" t="s">
        <v>145</v>
      </c>
      <c r="B1" s="140"/>
    </row>
    <row r="3" customFormat="false" ht="15.75" hidden="false" customHeight="false" outlineLevel="0" collapsed="false">
      <c r="A3" s="65" t="s">
        <v>146</v>
      </c>
      <c r="B3" s="66"/>
      <c r="C3" s="64"/>
    </row>
    <row r="4" customFormat="false" ht="15.75" hidden="false" customHeight="false" outlineLevel="0" collapsed="false">
      <c r="A4" s="139" t="s">
        <v>147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148</v>
      </c>
      <c r="B6" s="141" t="n">
        <f aca="false">SUM(B3:B5)</f>
        <v>34266411</v>
      </c>
      <c r="C6" s="97" t="s">
        <v>82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149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150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151</v>
      </c>
      <c r="B11" s="66"/>
      <c r="C11" s="64"/>
    </row>
    <row r="12" customFormat="false" ht="15.75" hidden="false" customHeight="false" outlineLevel="0" collapsed="false">
      <c r="A12" s="64" t="s">
        <v>152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153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154</v>
      </c>
      <c r="B15" s="66" t="n">
        <f aca="false">IF(Summary!$C$5&lt;'Cash-Int-Trans'!D15,0,-Amort!D11)</f>
        <v>-1779166.66666667</v>
      </c>
      <c r="C15" s="64"/>
      <c r="D15" s="56" t="n">
        <v>36800</v>
      </c>
    </row>
    <row r="16" customFormat="false" ht="15.75" hidden="false" customHeight="false" outlineLevel="0" collapsed="false">
      <c r="A16" s="64" t="s">
        <v>155</v>
      </c>
      <c r="B16" s="66" t="n">
        <f aca="false">-B15</f>
        <v>1779166.66666667</v>
      </c>
      <c r="C16" s="64"/>
      <c r="D16" s="56" t="n">
        <f aca="false">+D15</f>
        <v>36800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40" t="s">
        <v>156</v>
      </c>
      <c r="B18" s="140"/>
    </row>
    <row r="20" customFormat="false" ht="15.75" hidden="false" customHeight="false" outlineLevel="0" collapsed="false">
      <c r="A20" s="0" t="s">
        <v>157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158</v>
      </c>
      <c r="B22" s="64" t="n">
        <f aca="false">+Financials!I23</f>
        <v>52117886.0939458</v>
      </c>
    </row>
    <row r="23" customFormat="false" ht="15.75" hidden="false" customHeight="false" outlineLevel="0" collapsed="false">
      <c r="A23" s="0" t="s">
        <v>159</v>
      </c>
      <c r="B23" s="64" t="n">
        <f aca="false">-Financials!I15</f>
        <v>-25947310.9589041</v>
      </c>
    </row>
    <row r="24" customFormat="false" ht="15.75" hidden="false" customHeight="false" outlineLevel="0" collapsed="false">
      <c r="A24" s="64" t="str">
        <f aca="false">+Financials!H19</f>
        <v>Unrealized Gains / (Losses)</v>
      </c>
      <c r="B24" s="64" t="n">
        <f aca="false">-Financials!I19</f>
        <v>-0</v>
      </c>
    </row>
    <row r="26" customFormat="false" ht="15.75" hidden="false" customHeight="false" outlineLevel="0" collapsed="false">
      <c r="A26" s="0" t="s">
        <v>160</v>
      </c>
    </row>
    <row r="27" customFormat="false" ht="15.75" hidden="false" customHeight="false" outlineLevel="0" collapsed="false">
      <c r="A27" s="0" t="s">
        <v>161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-1477777.77777778</v>
      </c>
    </row>
    <row r="29" customFormat="false" ht="15.75" hidden="false" customHeight="false" outlineLevel="0" collapsed="false">
      <c r="A29" s="0" t="s">
        <v>162</v>
      </c>
      <c r="B29" s="64" t="n">
        <f aca="false">-Financials!E7+Financials!P11</f>
        <v>18643534.9233611</v>
      </c>
    </row>
    <row r="30" customFormat="false" ht="15.75" hidden="false" customHeight="false" outlineLevel="0" collapsed="false">
      <c r="A30" s="0" t="s">
        <v>163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151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164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165</v>
      </c>
      <c r="B35" s="93" t="n">
        <f aca="false">SUM(B20:B34)</f>
        <v>33437332.280625</v>
      </c>
      <c r="D35" s="64" t="n">
        <f aca="false">+B20+B12+B13+B38+B16</f>
        <v>35216498.9472917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40" t="s">
        <v>166</v>
      </c>
      <c r="B37" s="140"/>
      <c r="C37" s="140"/>
      <c r="D37" s="140"/>
      <c r="E37" s="140"/>
      <c r="F37" s="140"/>
    </row>
    <row r="38" customFormat="false" ht="15.75" hidden="false" customHeight="false" outlineLevel="0" collapsed="false">
      <c r="A38" s="142" t="s">
        <v>86</v>
      </c>
      <c r="B38" s="143" t="n">
        <f aca="false">+B44</f>
        <v>2336332.280625</v>
      </c>
    </row>
    <row r="39" customFormat="false" ht="15.75" hidden="false" customHeight="false" outlineLevel="0" collapsed="false">
      <c r="A39" s="144"/>
      <c r="E39" s="145" t="s">
        <v>167</v>
      </c>
      <c r="F39" s="146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7" t="n">
        <v>0.074</v>
      </c>
    </row>
    <row r="41" customFormat="false" ht="15.75" hidden="false" customHeight="false" outlineLevel="0" collapsed="false">
      <c r="A41" s="0" t="s">
        <v>157</v>
      </c>
      <c r="B41" s="64" t="n">
        <f aca="false">+Financials!B6</f>
        <v>71001000</v>
      </c>
      <c r="E41" s="56" t="n">
        <v>36722</v>
      </c>
      <c r="F41" s="147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36858</v>
      </c>
      <c r="E42" s="56" t="n">
        <v>36753</v>
      </c>
      <c r="F42" s="147" t="n">
        <v>0.0724</v>
      </c>
    </row>
    <row r="43" customFormat="false" ht="15.75" hidden="false" customHeight="false" outlineLevel="0" collapsed="false">
      <c r="A43" s="0" t="s">
        <v>168</v>
      </c>
      <c r="B43" s="25" t="n">
        <f aca="false">+B42-B40</f>
        <v>153</v>
      </c>
      <c r="E43" s="56" t="n">
        <v>36784</v>
      </c>
      <c r="F43" s="147" t="n">
        <v>0.072</v>
      </c>
    </row>
    <row r="44" customFormat="false" ht="15.75" hidden="false" customHeight="false" outlineLevel="0" collapsed="false">
      <c r="A44" s="0" t="s">
        <v>169</v>
      </c>
      <c r="B44" s="148" t="n">
        <f aca="false">+B41*(F45+0.0045)/360*B43</f>
        <v>2336332.280625</v>
      </c>
      <c r="E44" s="56" t="n">
        <v>36814</v>
      </c>
      <c r="F44" s="147"/>
    </row>
    <row r="45" customFormat="false" ht="15.75" hidden="false" customHeight="false" outlineLevel="0" collapsed="false">
      <c r="E45" s="149" t="s">
        <v>170</v>
      </c>
      <c r="F45" s="150" t="n">
        <f aca="false">AVERAGE(F40:F44)</f>
        <v>0.072925</v>
      </c>
    </row>
    <row r="46" customFormat="false" ht="16.5" hidden="false" customHeight="false" outlineLevel="0" collapsed="false">
      <c r="A46" s="140" t="s">
        <v>171</v>
      </c>
      <c r="B46" s="140"/>
      <c r="C46" s="140"/>
      <c r="D46" s="140"/>
      <c r="E46" s="140"/>
      <c r="F46" s="140"/>
    </row>
    <row r="47" customFormat="false" ht="15.75" hidden="false" customHeight="false" outlineLevel="0" collapsed="false">
      <c r="A47" s="142" t="s">
        <v>172</v>
      </c>
      <c r="B47" s="143" t="n">
        <f aca="false">+B49+B56</f>
        <v>11909945.9233611</v>
      </c>
    </row>
    <row r="48" customFormat="false" ht="15.75" hidden="false" customHeight="false" outlineLevel="0" collapsed="false">
      <c r="A48" s="144"/>
    </row>
    <row r="49" customFormat="false" ht="15.75" hidden="false" customHeight="false" outlineLevel="0" collapsed="false">
      <c r="A49" s="0" t="s">
        <v>173</v>
      </c>
      <c r="B49" s="25" t="n">
        <f aca="false">+Amort!B61</f>
        <v>11822222.2222222</v>
      </c>
      <c r="E49" s="145"/>
      <c r="F49" s="145"/>
    </row>
    <row r="50" customFormat="false" ht="15.75" hidden="false" customHeight="false" outlineLevel="0" collapsed="false">
      <c r="B50" s="25"/>
      <c r="E50" s="145"/>
      <c r="F50" s="146"/>
    </row>
    <row r="51" customFormat="false" ht="15.75" hidden="false" customHeight="false" outlineLevel="0" collapsed="false">
      <c r="A51" s="0" t="s">
        <v>174</v>
      </c>
      <c r="B51" s="64"/>
      <c r="E51" s="138"/>
      <c r="F51" s="147"/>
    </row>
    <row r="52" customFormat="false" ht="15.75" hidden="false" customHeight="false" outlineLevel="0" collapsed="false">
      <c r="A52" s="0" t="s">
        <v>175</v>
      </c>
      <c r="B52" s="56" t="n">
        <v>36791</v>
      </c>
      <c r="E52" s="138"/>
      <c r="F52" s="147"/>
    </row>
    <row r="53" customFormat="false" ht="15.75" hidden="false" customHeight="false" outlineLevel="0" collapsed="false">
      <c r="A53" s="0" t="s">
        <v>176</v>
      </c>
      <c r="B53" s="25" t="n">
        <f aca="false">+B9</f>
        <v>6733589</v>
      </c>
      <c r="E53" s="138"/>
      <c r="F53" s="147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36858</v>
      </c>
    </row>
    <row r="55" customFormat="false" ht="15.75" hidden="false" customHeight="false" outlineLevel="0" collapsed="false">
      <c r="A55" s="0" t="s">
        <v>168</v>
      </c>
      <c r="B55" s="25" t="n">
        <f aca="false">+B54-B52</f>
        <v>67</v>
      </c>
    </row>
    <row r="56" customFormat="false" ht="15.75" hidden="false" customHeight="false" outlineLevel="0" collapsed="false">
      <c r="A56" s="0" t="s">
        <v>177</v>
      </c>
      <c r="B56" s="148" t="n">
        <f aca="false">+B53*0.07/360*B55</f>
        <v>87723.7011388889</v>
      </c>
    </row>
    <row r="58" customFormat="false" ht="16.5" hidden="false" customHeight="false" outlineLevel="0" collapsed="false">
      <c r="A58" s="140" t="s">
        <v>178</v>
      </c>
      <c r="B58" s="140"/>
      <c r="C58" s="140"/>
      <c r="D58" s="140"/>
      <c r="E58" s="140"/>
      <c r="F58" s="140"/>
    </row>
    <row r="60" customFormat="false" ht="15.75" hidden="false" customHeight="false" outlineLevel="0" collapsed="false">
      <c r="A60" s="0" t="s">
        <v>36</v>
      </c>
      <c r="B60" s="56" t="n">
        <f aca="false">+Summary!C5</f>
        <v>36858</v>
      </c>
    </row>
    <row r="61" customFormat="false" ht="15.75" hidden="false" customHeight="false" outlineLevel="0" collapsed="false">
      <c r="A61" s="0" t="s">
        <v>179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180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181</v>
      </c>
      <c r="B63" s="56" t="n">
        <f aca="false">+Summary!C5</f>
        <v>36858</v>
      </c>
      <c r="D63" s="151" t="n">
        <f aca="false">IF(B63&gt;B62,+(+B63-B62)/365*0.12*D62,0)</f>
        <v>24230.1369863014</v>
      </c>
    </row>
    <row r="64" customFormat="false" ht="15.75" hidden="false" customHeight="false" outlineLevel="0" collapsed="false">
      <c r="A64" s="0" t="s">
        <v>182</v>
      </c>
      <c r="D64" s="46" t="n">
        <f aca="false">SUM(D61:D63)</f>
        <v>31124230.1369863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183</v>
      </c>
      <c r="B1" s="67"/>
      <c r="G1" s="139"/>
      <c r="H1" s="139"/>
    </row>
    <row r="2" customFormat="false" ht="15.75" hidden="false" customHeight="false" outlineLevel="0" collapsed="false">
      <c r="B2" s="152" t="s">
        <v>184</v>
      </c>
    </row>
    <row r="3" customFormat="false" ht="15.75" hidden="false" customHeight="false" outlineLevel="0" collapsed="false">
      <c r="A3" s="64" t="s">
        <v>185</v>
      </c>
      <c r="B3" s="153" t="n">
        <v>50000000</v>
      </c>
    </row>
    <row r="4" customFormat="false" ht="15.75" hidden="false" customHeight="false" outlineLevel="0" collapsed="false">
      <c r="A4" s="64" t="s">
        <v>186</v>
      </c>
      <c r="B4" s="154" t="n">
        <v>0.07</v>
      </c>
    </row>
    <row r="5" customFormat="false" ht="15.75" hidden="false" customHeight="false" outlineLevel="0" collapsed="false">
      <c r="A5" s="64" t="s">
        <v>187</v>
      </c>
      <c r="B5" s="155" t="n">
        <f aca="false">5*12</f>
        <v>60</v>
      </c>
    </row>
    <row r="6" customFormat="false" ht="15.75" hidden="false" customHeight="false" outlineLevel="0" collapsed="false">
      <c r="A6" s="64" t="s">
        <v>188</v>
      </c>
      <c r="B6" s="156" t="n">
        <v>2</v>
      </c>
    </row>
    <row r="7" customFormat="false" ht="15.75" hidden="false" customHeight="false" outlineLevel="0" collapsed="false">
      <c r="A7" s="64" t="s">
        <v>189</v>
      </c>
      <c r="B7" s="64" t="n">
        <v>0</v>
      </c>
    </row>
    <row r="9" customFormat="false" ht="25.5" hidden="false" customHeight="false" outlineLevel="0" collapsed="false">
      <c r="A9" s="157"/>
      <c r="B9" s="158" t="s">
        <v>190</v>
      </c>
      <c r="C9" s="159" t="s">
        <v>157</v>
      </c>
      <c r="D9" s="159" t="s">
        <v>189</v>
      </c>
      <c r="E9" s="159" t="s">
        <v>185</v>
      </c>
      <c r="F9" s="159" t="s">
        <v>169</v>
      </c>
      <c r="G9" s="159" t="s">
        <v>165</v>
      </c>
      <c r="H9" s="159" t="s">
        <v>191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6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15.75" hidden="false" customHeight="false" outlineLevel="0" collapsed="false">
      <c r="A23" s="163" t="n">
        <f aca="false">+Summary!C5</f>
        <v>36858</v>
      </c>
      <c r="B23" s="163"/>
      <c r="C23" s="162"/>
      <c r="D23" s="162"/>
      <c r="E23" s="162" t="s">
        <v>190</v>
      </c>
      <c r="F23" s="162" t="n">
        <f aca="false">VLOOKUP(+A23,Amort,2)</f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15.75" hidden="false" customHeight="false" outlineLevel="0" collapsed="false">
      <c r="A24" s="162" t="s">
        <v>192</v>
      </c>
      <c r="B24" s="162" t="n">
        <v>0</v>
      </c>
      <c r="C24" s="162"/>
      <c r="D24" s="162"/>
      <c r="E24" s="162" t="s">
        <v>28</v>
      </c>
      <c r="F24" s="161" t="n">
        <f aca="false">VLOOKUP(+A23,Amort,1)</f>
        <v>36706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15.75" hidden="false" customHeight="false" outlineLevel="0" collapsed="false">
      <c r="A25" s="162" t="s">
        <v>193</v>
      </c>
      <c r="B25" s="164" t="n">
        <f aca="false">VLOOKUP(+A23,Note,8)</f>
        <v>0</v>
      </c>
      <c r="C25" s="162"/>
      <c r="D25" s="162"/>
      <c r="E25" s="162" t="s">
        <v>194</v>
      </c>
      <c r="F25" s="162" t="n">
        <f aca="false">VLOOKUP(+F23+1,NotePeriod,5)</f>
        <v>1779166.66666667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15.75" hidden="false" customHeight="false" outlineLevel="0" collapsed="false">
      <c r="A26" s="161" t="s">
        <v>195</v>
      </c>
      <c r="B26" s="162" t="n">
        <f aca="false">+B24+B25</f>
        <v>0</v>
      </c>
      <c r="C26" s="162"/>
      <c r="D26" s="162"/>
      <c r="E26" s="162" t="s">
        <v>196</v>
      </c>
      <c r="F26" s="161" t="n">
        <f aca="false">VLOOKUP(+F23+1,NotePeriod,8)</f>
        <v>36889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</row>
    <row r="27" customFormat="false" ht="15.75" hidden="false" customHeight="false" outlineLevel="0" collapsed="false">
      <c r="A27" s="161" t="s">
        <v>197</v>
      </c>
      <c r="B27" s="162" t="n">
        <f aca="false">A23-F24</f>
        <v>152</v>
      </c>
      <c r="C27" s="162"/>
      <c r="D27" s="162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  <c r="IW27" s="162"/>
    </row>
    <row r="28" customFormat="false" ht="15.75" hidden="false" customHeight="false" outlineLevel="0" collapsed="false">
      <c r="A28" s="161" t="s">
        <v>198</v>
      </c>
      <c r="B28" s="162" t="n">
        <f aca="false">F25*B27/(F26-F24)</f>
        <v>1477777.77777778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  <c r="IW28" s="162"/>
    </row>
    <row r="29" customFormat="false" ht="15.75" hidden="false" customHeight="false" outlineLevel="0" collapsed="false">
      <c r="A29" s="161" t="s">
        <v>199</v>
      </c>
      <c r="B29" s="162" t="n">
        <f aca="false">+B25+B28</f>
        <v>1477777.77777778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  <c r="IW29" s="162"/>
    </row>
    <row r="30" customFormat="false" ht="15.75" hidden="false" customHeight="false" outlineLevel="0" collapsed="false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  <c r="IW30" s="162"/>
    </row>
    <row r="31" customFormat="false" ht="15.75" hidden="false" customHeight="false" outlineLevel="0" collapsed="false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  <c r="IW31" s="162"/>
    </row>
    <row r="32" customFormat="false" ht="15.75" hidden="false" customHeight="false" outlineLevel="0" collapsed="false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  <c r="IW32" s="162"/>
    </row>
    <row r="33" customFormat="false" ht="15.75" hidden="false" customHeight="false" outlineLevel="0" collapsed="false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15.75" hidden="false" customHeight="false" outlineLevel="0" collapsed="false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  <c r="IW34" s="162"/>
    </row>
    <row r="35" customFormat="false" ht="15.75" hidden="false" customHeight="false" outlineLevel="0" collapsed="false">
      <c r="A35" s="67" t="s">
        <v>200</v>
      </c>
      <c r="B35" s="67"/>
      <c r="G35" s="139"/>
      <c r="H35" s="16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  <c r="IW35" s="162"/>
    </row>
    <row r="36" customFormat="false" ht="15.75" hidden="false" customHeight="false" outlineLevel="0" collapsed="false">
      <c r="B36" s="152" t="s">
        <v>184</v>
      </c>
      <c r="H36" s="165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  <c r="IW36" s="162"/>
    </row>
    <row r="37" customFormat="false" ht="15.75" hidden="false" customHeight="false" outlineLevel="0" collapsed="false">
      <c r="A37" s="64" t="s">
        <v>185</v>
      </c>
      <c r="B37" s="153" t="n">
        <v>400000000</v>
      </c>
      <c r="H37" s="165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  <c r="IW37" s="162"/>
    </row>
    <row r="38" customFormat="false" ht="15.75" hidden="false" customHeight="false" outlineLevel="0" collapsed="false">
      <c r="A38" s="64" t="s">
        <v>186</v>
      </c>
      <c r="B38" s="154" t="n">
        <v>0.07</v>
      </c>
      <c r="H38" s="16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  <c r="IW38" s="162"/>
    </row>
    <row r="39" customFormat="false" ht="15.75" hidden="false" customHeight="false" outlineLevel="0" collapsed="false">
      <c r="A39" s="64" t="s">
        <v>188</v>
      </c>
      <c r="B39" s="156" t="n">
        <v>2</v>
      </c>
      <c r="H39" s="165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  <c r="IW39" s="162"/>
    </row>
    <row r="40" customFormat="false" ht="15.75" hidden="false" customHeight="false" outlineLevel="0" collapsed="false">
      <c r="H40" s="165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  <c r="IW40" s="162"/>
    </row>
    <row r="41" customFormat="false" ht="26.25" hidden="false" customHeight="false" outlineLevel="0" collapsed="false">
      <c r="A41" s="157"/>
      <c r="B41" s="158" t="s">
        <v>190</v>
      </c>
      <c r="C41" s="159" t="s">
        <v>157</v>
      </c>
      <c r="D41" s="159" t="s">
        <v>201</v>
      </c>
      <c r="E41" s="159" t="s">
        <v>185</v>
      </c>
      <c r="F41" s="159" t="s">
        <v>169</v>
      </c>
      <c r="G41" s="159" t="s">
        <v>165</v>
      </c>
      <c r="H41" s="159" t="s">
        <v>191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  <c r="IW41" s="162"/>
    </row>
    <row r="42" customFormat="false" ht="15.75" hidden="false" customHeight="false" outlineLevel="0" collapsed="false">
      <c r="A42" s="56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5.75" hidden="false" customHeight="false" outlineLevel="0" collapsed="false">
      <c r="A43" s="56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</row>
    <row r="44" customFormat="false" ht="15.75" hidden="false" customHeight="false" outlineLevel="0" collapsed="false">
      <c r="A44" s="56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  <c r="IW44" s="162"/>
    </row>
    <row r="45" customFormat="false" ht="15.75" hidden="false" customHeight="false" outlineLevel="0" collapsed="false">
      <c r="A45" s="56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  <c r="IW45" s="162"/>
    </row>
    <row r="46" customFormat="false" ht="15.75" hidden="false" customHeight="false" outlineLevel="0" collapsed="false">
      <c r="A46" s="56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15.75" hidden="false" customHeight="false" outlineLevel="0" collapsed="false">
      <c r="A47" s="56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  <c r="GK47" s="162"/>
      <c r="GL47" s="162"/>
      <c r="GM47" s="162"/>
      <c r="GN47" s="162"/>
      <c r="GO47" s="162"/>
      <c r="GP47" s="162"/>
      <c r="GQ47" s="162"/>
      <c r="GR47" s="162"/>
      <c r="GS47" s="162"/>
      <c r="GT47" s="162"/>
      <c r="GU47" s="162"/>
      <c r="GV47" s="162"/>
      <c r="GW47" s="162"/>
      <c r="GX47" s="162"/>
      <c r="GY47" s="162"/>
      <c r="GZ47" s="162"/>
      <c r="HA47" s="162"/>
      <c r="HB47" s="162"/>
      <c r="HC47" s="162"/>
      <c r="HD47" s="162"/>
      <c r="HE47" s="162"/>
      <c r="HF47" s="162"/>
      <c r="HG47" s="162"/>
      <c r="HH47" s="162"/>
      <c r="HI47" s="162"/>
      <c r="HJ47" s="162"/>
      <c r="HK47" s="162"/>
      <c r="HL47" s="162"/>
      <c r="HM47" s="162"/>
      <c r="HN47" s="162"/>
      <c r="HO47" s="162"/>
      <c r="HP47" s="162"/>
      <c r="HQ47" s="162"/>
      <c r="HR47" s="162"/>
      <c r="HS47" s="162"/>
      <c r="HT47" s="162"/>
      <c r="HU47" s="162"/>
      <c r="HV47" s="162"/>
      <c r="HW47" s="162"/>
      <c r="HX47" s="162"/>
      <c r="HY47" s="162"/>
      <c r="HZ47" s="162"/>
      <c r="IA47" s="162"/>
      <c r="IB47" s="162"/>
      <c r="IC47" s="162"/>
      <c r="ID47" s="162"/>
      <c r="IE47" s="162"/>
      <c r="IF47" s="162"/>
      <c r="IG47" s="162"/>
      <c r="IH47" s="162"/>
      <c r="II47" s="162"/>
      <c r="IJ47" s="162"/>
      <c r="IK47" s="162"/>
      <c r="IL47" s="162"/>
      <c r="IM47" s="162"/>
      <c r="IN47" s="162"/>
      <c r="IO47" s="162"/>
      <c r="IP47" s="162"/>
      <c r="IQ47" s="162"/>
      <c r="IR47" s="162"/>
      <c r="IS47" s="162"/>
      <c r="IT47" s="162"/>
      <c r="IU47" s="162"/>
      <c r="IV47" s="162"/>
      <c r="IW47" s="162"/>
    </row>
    <row r="48" customFormat="false" ht="15.75" hidden="false" customHeight="false" outlineLevel="0" collapsed="false">
      <c r="A48" s="56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15.75" hidden="false" customHeight="false" outlineLevel="0" collapsed="false">
      <c r="A49" s="56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2"/>
      <c r="HO49" s="162"/>
      <c r="HP49" s="162"/>
      <c r="HQ49" s="162"/>
      <c r="HR49" s="162"/>
      <c r="HS49" s="162"/>
      <c r="HT49" s="162"/>
      <c r="HU49" s="162"/>
      <c r="HV49" s="162"/>
      <c r="HW49" s="162"/>
      <c r="HX49" s="162"/>
      <c r="HY49" s="162"/>
      <c r="HZ49" s="162"/>
      <c r="IA49" s="162"/>
      <c r="IB49" s="162"/>
      <c r="IC49" s="162"/>
      <c r="ID49" s="162"/>
      <c r="IE49" s="162"/>
      <c r="IF49" s="162"/>
      <c r="IG49" s="162"/>
      <c r="IH49" s="162"/>
      <c r="II49" s="162"/>
      <c r="IJ49" s="162"/>
      <c r="IK49" s="162"/>
      <c r="IL49" s="162"/>
      <c r="IM49" s="162"/>
      <c r="IN49" s="162"/>
      <c r="IO49" s="162"/>
      <c r="IP49" s="162"/>
      <c r="IQ49" s="162"/>
      <c r="IR49" s="162"/>
      <c r="IS49" s="162"/>
      <c r="IT49" s="162"/>
      <c r="IU49" s="162"/>
      <c r="IV49" s="162"/>
      <c r="IW49" s="162"/>
    </row>
    <row r="50" customFormat="false" ht="15.75" hidden="false" customHeight="false" outlineLevel="0" collapsed="false">
      <c r="A50" s="56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</row>
    <row r="51" customFormat="false" ht="15.75" hidden="false" customHeight="false" outlineLevel="0" collapsed="false">
      <c r="A51" s="56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  <c r="GK51" s="162"/>
      <c r="GL51" s="162"/>
      <c r="GM51" s="162"/>
      <c r="GN51" s="162"/>
      <c r="GO51" s="162"/>
      <c r="GP51" s="162"/>
      <c r="GQ51" s="162"/>
      <c r="GR51" s="162"/>
      <c r="GS51" s="162"/>
      <c r="GT51" s="162"/>
      <c r="GU51" s="162"/>
      <c r="GV51" s="162"/>
      <c r="GW51" s="162"/>
      <c r="GX51" s="162"/>
      <c r="GY51" s="162"/>
      <c r="GZ51" s="162"/>
      <c r="HA51" s="162"/>
      <c r="HB51" s="162"/>
      <c r="HC51" s="162"/>
      <c r="HD51" s="162"/>
      <c r="HE51" s="162"/>
      <c r="HF51" s="162"/>
      <c r="HG51" s="162"/>
      <c r="HH51" s="162"/>
      <c r="HI51" s="162"/>
      <c r="HJ51" s="162"/>
      <c r="HK51" s="162"/>
      <c r="HL51" s="162"/>
      <c r="HM51" s="162"/>
      <c r="HN51" s="162"/>
      <c r="HO51" s="162"/>
      <c r="HP51" s="162"/>
      <c r="HQ51" s="162"/>
      <c r="HR51" s="162"/>
      <c r="HS51" s="162"/>
      <c r="HT51" s="162"/>
      <c r="HU51" s="162"/>
      <c r="HV51" s="162"/>
      <c r="HW51" s="162"/>
      <c r="HX51" s="162"/>
      <c r="HY51" s="162"/>
      <c r="HZ51" s="162"/>
      <c r="IA51" s="162"/>
      <c r="IB51" s="162"/>
      <c r="IC51" s="162"/>
      <c r="ID51" s="162"/>
      <c r="IE51" s="162"/>
      <c r="IF51" s="162"/>
      <c r="IG51" s="162"/>
      <c r="IH51" s="162"/>
      <c r="II51" s="162"/>
      <c r="IJ51" s="162"/>
      <c r="IK51" s="162"/>
      <c r="IL51" s="162"/>
      <c r="IM51" s="162"/>
      <c r="IN51" s="162"/>
      <c r="IO51" s="162"/>
      <c r="IP51" s="162"/>
      <c r="IQ51" s="162"/>
      <c r="IR51" s="162"/>
      <c r="IS51" s="162"/>
      <c r="IT51" s="162"/>
      <c r="IU51" s="162"/>
      <c r="IV51" s="162"/>
      <c r="IW51" s="162"/>
    </row>
    <row r="52" customFormat="false" ht="15.75" hidden="false" customHeight="false" outlineLevel="0" collapsed="false">
      <c r="A52" s="56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  <c r="GK52" s="162"/>
      <c r="GL52" s="162"/>
      <c r="GM52" s="162"/>
      <c r="GN52" s="162"/>
      <c r="GO52" s="162"/>
      <c r="GP52" s="162"/>
      <c r="GQ52" s="162"/>
      <c r="GR52" s="162"/>
      <c r="GS52" s="162"/>
      <c r="GT52" s="162"/>
      <c r="GU52" s="162"/>
      <c r="GV52" s="162"/>
      <c r="GW52" s="162"/>
      <c r="GX52" s="162"/>
      <c r="GY52" s="162"/>
      <c r="GZ52" s="162"/>
      <c r="HA52" s="162"/>
      <c r="HB52" s="162"/>
      <c r="HC52" s="162"/>
      <c r="HD52" s="162"/>
      <c r="HE52" s="162"/>
      <c r="HF52" s="162"/>
      <c r="HG52" s="162"/>
      <c r="HH52" s="162"/>
      <c r="HI52" s="162"/>
      <c r="HJ52" s="162"/>
      <c r="HK52" s="162"/>
      <c r="HL52" s="162"/>
      <c r="HM52" s="162"/>
      <c r="HN52" s="162"/>
      <c r="HO52" s="162"/>
      <c r="HP52" s="162"/>
      <c r="HQ52" s="162"/>
      <c r="HR52" s="162"/>
      <c r="HS52" s="162"/>
      <c r="HT52" s="162"/>
      <c r="HU52" s="162"/>
      <c r="HV52" s="162"/>
      <c r="HW52" s="162"/>
      <c r="HX52" s="162"/>
      <c r="HY52" s="162"/>
      <c r="HZ52" s="162"/>
      <c r="IA52" s="162"/>
      <c r="IB52" s="162"/>
      <c r="IC52" s="162"/>
      <c r="ID52" s="162"/>
      <c r="IE52" s="162"/>
      <c r="IF52" s="162"/>
      <c r="IG52" s="162"/>
      <c r="IH52" s="162"/>
      <c r="II52" s="162"/>
      <c r="IJ52" s="162"/>
      <c r="IK52" s="162"/>
      <c r="IL52" s="162"/>
      <c r="IM52" s="162"/>
      <c r="IN52" s="162"/>
      <c r="IO52" s="162"/>
      <c r="IP52" s="162"/>
      <c r="IQ52" s="162"/>
      <c r="IR52" s="162"/>
      <c r="IS52" s="162"/>
      <c r="IT52" s="162"/>
      <c r="IU52" s="162"/>
      <c r="IV52" s="162"/>
      <c r="IW52" s="162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2"/>
      <c r="HO53" s="162"/>
      <c r="HP53" s="162"/>
      <c r="HQ53" s="162"/>
      <c r="HR53" s="162"/>
      <c r="HS53" s="162"/>
      <c r="HT53" s="162"/>
      <c r="HU53" s="162"/>
      <c r="HV53" s="162"/>
      <c r="HW53" s="162"/>
      <c r="HX53" s="162"/>
      <c r="HY53" s="162"/>
      <c r="HZ53" s="162"/>
      <c r="IA53" s="162"/>
      <c r="IB53" s="162"/>
      <c r="IC53" s="162"/>
      <c r="ID53" s="162"/>
      <c r="IE53" s="162"/>
      <c r="IF53" s="162"/>
      <c r="IG53" s="162"/>
      <c r="IH53" s="162"/>
      <c r="II53" s="162"/>
      <c r="IJ53" s="162"/>
      <c r="IK53" s="162"/>
      <c r="IL53" s="162"/>
      <c r="IM53" s="162"/>
      <c r="IN53" s="162"/>
      <c r="IO53" s="162"/>
      <c r="IP53" s="162"/>
      <c r="IQ53" s="162"/>
      <c r="IR53" s="162"/>
      <c r="IS53" s="162"/>
      <c r="IT53" s="162"/>
      <c r="IU53" s="162"/>
      <c r="IV53" s="162"/>
      <c r="IW53" s="162"/>
    </row>
    <row r="54" customFormat="false" ht="16.5" hidden="false" customHeight="false" outlineLevel="0" collapsed="false">
      <c r="A54" s="161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  <c r="GK54" s="162"/>
      <c r="GL54" s="162"/>
      <c r="GM54" s="162"/>
      <c r="GN54" s="162"/>
      <c r="GO54" s="162"/>
      <c r="GP54" s="162"/>
      <c r="GQ54" s="162"/>
      <c r="GR54" s="162"/>
      <c r="GS54" s="162"/>
      <c r="GT54" s="162"/>
      <c r="GU54" s="162"/>
      <c r="GV54" s="162"/>
      <c r="GW54" s="162"/>
      <c r="GX54" s="162"/>
      <c r="GY54" s="162"/>
      <c r="GZ54" s="162"/>
      <c r="HA54" s="162"/>
      <c r="HB54" s="162"/>
      <c r="HC54" s="162"/>
      <c r="HD54" s="162"/>
      <c r="HE54" s="162"/>
      <c r="HF54" s="162"/>
      <c r="HG54" s="162"/>
      <c r="HH54" s="162"/>
      <c r="HI54" s="162"/>
      <c r="HJ54" s="162"/>
      <c r="HK54" s="162"/>
      <c r="HL54" s="162"/>
      <c r="HM54" s="162"/>
      <c r="HN54" s="162"/>
      <c r="HO54" s="162"/>
      <c r="HP54" s="162"/>
      <c r="HQ54" s="162"/>
      <c r="HR54" s="162"/>
      <c r="HS54" s="162"/>
      <c r="HT54" s="162"/>
      <c r="HU54" s="162"/>
      <c r="HV54" s="162"/>
      <c r="HW54" s="162"/>
      <c r="HX54" s="162"/>
      <c r="HY54" s="162"/>
      <c r="HZ54" s="162"/>
      <c r="IA54" s="162"/>
      <c r="IB54" s="162"/>
      <c r="IC54" s="162"/>
      <c r="ID54" s="162"/>
      <c r="IE54" s="162"/>
      <c r="IF54" s="162"/>
      <c r="IG54" s="162"/>
      <c r="IH54" s="162"/>
      <c r="II54" s="162"/>
      <c r="IJ54" s="162"/>
      <c r="IK54" s="162"/>
      <c r="IL54" s="162"/>
      <c r="IM54" s="162"/>
      <c r="IN54" s="162"/>
      <c r="IO54" s="162"/>
      <c r="IP54" s="162"/>
      <c r="IQ54" s="162"/>
      <c r="IR54" s="162"/>
      <c r="IS54" s="162"/>
      <c r="IT54" s="162"/>
      <c r="IU54" s="162"/>
      <c r="IV54" s="162"/>
      <c r="IW54" s="162"/>
    </row>
    <row r="55" customFormat="false" ht="15.75" hidden="false" customHeight="false" outlineLevel="0" collapsed="false">
      <c r="A55" s="163" t="n">
        <f aca="false">+Summary!C5</f>
        <v>36858</v>
      </c>
      <c r="B55" s="163"/>
      <c r="C55" s="162"/>
      <c r="D55" s="162"/>
      <c r="E55" s="162" t="s">
        <v>190</v>
      </c>
      <c r="F55" s="162" t="n">
        <f aca="false">VLOOKUP(+A55,Note,2)</f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5.75" hidden="false" customHeight="false" outlineLevel="0" collapsed="false">
      <c r="A56" s="162"/>
      <c r="B56" s="162"/>
      <c r="C56" s="162"/>
      <c r="D56" s="162"/>
      <c r="E56" s="162" t="s">
        <v>28</v>
      </c>
      <c r="F56" s="161" t="n">
        <f aca="false">VLOOKUP(+A55,Note,1)</f>
        <v>36706</v>
      </c>
      <c r="G56" s="162"/>
    </row>
    <row r="57" customFormat="false" ht="15.75" hidden="false" customHeight="false" outlineLevel="0" collapsed="false">
      <c r="A57" s="162" t="s">
        <v>202</v>
      </c>
      <c r="B57" s="164" t="n">
        <f aca="false">VLOOKUP(+A55,Loan,8)</f>
        <v>0</v>
      </c>
      <c r="C57" s="162"/>
      <c r="D57" s="162"/>
      <c r="E57" s="162" t="s">
        <v>194</v>
      </c>
      <c r="F57" s="162" t="n">
        <f aca="false">VLOOKUP(+F55+1,LoanPeriod,5)</f>
        <v>14233333.3333333</v>
      </c>
      <c r="G57" s="162"/>
    </row>
    <row r="58" customFormat="false" ht="15.75" hidden="false" customHeight="false" outlineLevel="0" collapsed="false">
      <c r="A58" s="161" t="s">
        <v>6</v>
      </c>
      <c r="B58" s="162" t="n">
        <f aca="false">+B56+B57</f>
        <v>0</v>
      </c>
      <c r="C58" s="162"/>
      <c r="D58" s="162"/>
      <c r="E58" s="162" t="s">
        <v>196</v>
      </c>
      <c r="F58" s="161" t="n">
        <f aca="false">VLOOKUP(+F55+1,NotePeriod,8)</f>
        <v>36889</v>
      </c>
      <c r="G58" s="162"/>
    </row>
    <row r="59" customFormat="false" ht="15.75" hidden="false" customHeight="false" outlineLevel="0" collapsed="false">
      <c r="A59" s="161" t="s">
        <v>197</v>
      </c>
      <c r="B59" s="162" t="n">
        <f aca="false">A55-F56</f>
        <v>152</v>
      </c>
      <c r="C59" s="162"/>
      <c r="D59" s="162"/>
      <c r="E59" s="161"/>
      <c r="F59" s="162"/>
      <c r="G59" s="162"/>
    </row>
    <row r="60" customFormat="false" ht="15.75" hidden="false" customHeight="false" outlineLevel="0" collapsed="false">
      <c r="A60" s="161" t="s">
        <v>203</v>
      </c>
      <c r="B60" s="162" t="n">
        <f aca="false">F57*B59/(F58-F56)</f>
        <v>11822222.2222222</v>
      </c>
      <c r="C60" s="162"/>
      <c r="D60" s="162"/>
      <c r="E60" s="162"/>
      <c r="F60" s="162"/>
      <c r="G60" s="162"/>
    </row>
    <row r="61" customFormat="false" ht="15.75" hidden="false" customHeight="false" outlineLevel="0" collapsed="false">
      <c r="A61" s="161" t="s">
        <v>172</v>
      </c>
      <c r="B61" s="162" t="n">
        <f aca="false">+B57+B60</f>
        <v>11822222.2222222</v>
      </c>
      <c r="C61" s="162"/>
      <c r="D61" s="162"/>
      <c r="E61" s="162"/>
      <c r="F61" s="162"/>
      <c r="G61" s="162"/>
    </row>
    <row r="63" customFormat="false" ht="15.75" hidden="false" customHeight="false" outlineLevel="0" collapsed="false">
      <c r="A63" s="64" t="s">
        <v>204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205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206</v>
      </c>
      <c r="C65" s="56"/>
      <c r="D65" s="56" t="n">
        <f aca="false">+'Cash-Int-Trans'!B54</f>
        <v>36858</v>
      </c>
      <c r="E65" s="166" t="n">
        <f aca="false">+'Cash-Int-Trans'!B56</f>
        <v>87723.7011388889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2000-11-29T15:35:47Z</dcterms:modified>
  <cp:revision>0</cp:revision>
  <dc:subject/>
  <dc:title>FXHistory</dc:title>
</cp:coreProperties>
</file>