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PR Raptor" sheetId="9" state="visible" r:id="rId11"/>
  </sheets>
  <definedNames>
    <definedName function="false" hidden="false" localSheetId="2" name="_xlnm.Print_Area" vbProcedure="false">'Stock Prices'!$A$1:$L$4</definedName>
    <definedName function="false" hidden="false" localSheetId="0" name="_xlnm.Print_Area" vbProcedure="false">Summary!$A$1:$F$25</definedName>
    <definedName function="false" hidden="false" name="acpw" vbProcedure="false">'Stock Prices'!$D$5:$D$375</definedName>
    <definedName function="false" hidden="false" name="Amort" vbProcedure="false">Amort!$A$10:$G$20</definedName>
    <definedName function="false" hidden="false" name="avci" vbProcedure="false">'Stock Prices'!$C$5:$C$375</definedName>
    <definedName function="false" hidden="false" name="cabau" vbProcedure="false">#REF!</definedName>
    <definedName function="false" hidden="false" name="cabou" vbProcedure="false">#REF!</definedName>
    <definedName function="false" hidden="false" name="cadex" vbProcedure="false">#REF!</definedName>
    <definedName function="false" hidden="false" name="caplg" vbProcedure="false">'Stock Prices'!$E$5:$E$375</definedName>
    <definedName function="false" hidden="false" name="cesiv" vbProcedure="false">'Stock Prices'!$L$5:$L$375</definedName>
    <definedName function="false" hidden="false" name="ene" vbProcedure="false">'Stock Prices'!$A$5:$B$375</definedName>
    <definedName function="false" hidden="false" name="kwk" vbProcedure="false">'Stock Prices'!$K$5:$K$375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'MPR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Prices'!$J$5:$J$375</definedName>
    <definedName function="false" hidden="false" name="Privates" vbProcedure="false">'Private Values'!$A$4:$AH$374</definedName>
    <definedName function="false" hidden="false" name="prs" vbProcedure="false">'Stock Prices'!$E$5:$E$375</definedName>
    <definedName function="false" hidden="false" name="qsri" vbProcedure="false">'Stock Prices'!$F$5:$F$375</definedName>
    <definedName function="false" hidden="false" name="StkPrices" vbProcedure="false">'Stock Prices'!$A$5:$L$375</definedName>
    <definedName function="false" hidden="false" name="ttene" vbProcedure="false">'Stock Prices'!$I$5:$I$375</definedName>
    <definedName function="false" hidden="false" name="wcrzo" vbProcedure="false">'Stock Prices'!$G$5:$G$375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9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57</xdr:row>
                <xdr:rowOff>5</xdr:rowOff>
              </xdr:from>
              <xdr:to>
                <xdr:col>3</xdr:col>
                <xdr:colOff>84</xdr:colOff>
                <xdr:row>60</xdr:row>
                <xdr:rowOff>18</xdr:rowOff>
              </xdr:to>
            </anchor>
          </commentPr>
        </mc:Choice>
        <mc:Fallback/>
      </mc:AlternateContent>
    </comment>
    <comment ref="E51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50</xdr:colOff>
                <xdr:row>49</xdr:row>
                <xdr:rowOff>15</xdr:rowOff>
              </xdr:from>
              <xdr:to>
                <xdr:col>10</xdr:col>
                <xdr:colOff>34</xdr:colOff>
                <xdr:row>53</xdr:row>
                <xdr:rowOff>15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<sst xmlns="http://schemas.openxmlformats.org/spreadsheetml/2006/main" count="1443" uniqueCount="555">
  <si>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</si>
  <si>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</si>
  <si>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</si>
  <si>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</si>
  <si>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</si>
  <si>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</si>
  <si>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</si>
  <si>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</si>
  <si>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</si>
  <si>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</si>
  <si>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</si>
  <si>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</si>
  <si>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</si>
  <si>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</si>
  <si>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</si>
  <si>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</si>
  <si>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</si>
  <si>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</si>
  <si>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</si>
  <si>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</si>
  <si>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</si>
  <si>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</si>
  <si>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</si>
  <si>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</si>
  <si>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</si>
  <si>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</si>
  <si>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</si>
  <si>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</si>
  <si>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</si>
  <si>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</si>
  <si>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</si>
  <si>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</si>
  <si>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</si>
  <si>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</si>
  <si>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</si>
  <si>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</si>
  <si>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</si>
  <si>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</si>
  <si>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</si>
  <si>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</si>
  <si>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</si>
  <si>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</si>
  <si>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</si>
  <si>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</si>
  <si>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</si>
  <si>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</si>
  <si>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</si>
  <si>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</si>
  <si>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</si>
  <si>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</si>
  <si>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</si>
  <si>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</si>
  <si>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</si>
  <si>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</si>
  <si>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</si>
  <si>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</si>
  <si>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</si>
  <si>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</si>
  <si>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</si>
  <si>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</si>
  <si>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</si>
  <si>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</si>
  <si>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</si>
  <si>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settled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</si>
  <si>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</si>
  <si>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</si>
  <si>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</si>
  <si>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</si>
  <si>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</si>
  <si>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</si>
  <si>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</si>
  <si>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</si>
  <si>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</si>
  <si>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</si>
  <si>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</si>
  <si>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</si>
  <si>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</si>
  <si>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</si>
  <si>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</si>
  <si>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</si>
  <si>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</si>
  <si>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</si>
  <si>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</si>
  <si>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</si>
  <si>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</si>
  <si>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</si>
  <si>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</si>
  <si>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</si>
  <si>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</si>
  <si>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</si>
  <si>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</si>
  <si>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</si>
  <si>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</si>
  <si>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Short</t>
  </si>
  <si>
    <t xml:space="preserve">partial</t>
  </si>
  <si>
    <t xml:space="preserve">Chewco SLP Exposurer</t>
  </si>
  <si>
    <t xml:space="preserve">Totals</t>
  </si>
  <si>
    <t xml:space="preserve">Realized Losses</t>
  </si>
  <si>
    <t xml:space="preserve">check</t>
  </si>
  <si>
    <t xml:space="preserve">Public</t>
  </si>
  <si>
    <t xml:space="preserve">Realized Gains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</si>
  <si>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</si>
  <si>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</si>
  <si>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</si>
  <si>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</si>
  <si>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Place Resources US$</t>
  </si>
  <si>
    <t xml:space="preserve">DEVX</t>
  </si>
  <si>
    <t xml:space="preserve">3TEC Warr.- SLP</t>
  </si>
  <si>
    <t xml:space="preserve">Catalytica</t>
  </si>
  <si>
    <t xml:space="preserve">ENE</t>
  </si>
  <si>
    <t xml:space="preserve">AVCI</t>
  </si>
  <si>
    <t xml:space="preserve">ACPW</t>
  </si>
  <si>
    <t xml:space="preserve">CA:PLG</t>
  </si>
  <si>
    <t xml:space="preserve">CRZO</t>
  </si>
  <si>
    <t xml:space="preserve">TTEN</t>
  </si>
  <si>
    <t xml:space="preserve">TTENE</t>
  </si>
  <si>
    <t xml:space="preserve">PGEO</t>
  </si>
  <si>
    <t xml:space="preserve">KWK</t>
  </si>
  <si>
    <t xml:space="preserve">CESI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</si>
  <si>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</si>
  <si>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</si>
  <si>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</si>
  <si>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</si>
  <si>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</si>
  <si>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</si>
  <si>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</si>
  <si>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</si>
  <si>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</si>
  <si>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</si>
  <si>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</si>
  <si>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</si>
  <si>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</si>
  <si>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</si>
  <si>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</si>
  <si>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</si>
  <si>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</si>
  <si>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</si>
  <si>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</si>
  <si>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</si>
  <si>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</si>
  <si>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</si>
  <si>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</si>
  <si>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</si>
  <si>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</si>
  <si>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</si>
  <si>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</si>
  <si>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</si>
  <si>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</si>
  <si>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</si>
  <si>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</si>
  <si>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</si>
  <si>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</si>
  <si>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</si>
  <si>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</si>
  <si>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</si>
  <si>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</si>
  <si>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</si>
  <si>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</si>
  <si>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</si>
  <si>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</si>
  <si>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</si>
  <si>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</si>
  <si>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</si>
  <si>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</si>
  <si>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</si>
  <si>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</si>
  <si>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</si>
  <si>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</si>
  <si>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</si>
  <si>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</si>
  <si>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</si>
  <si>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</si>
  <si>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</si>
  <si>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</si>
  <si>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</si>
  <si>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Unrealized Gains / (Losses)</t>
  </si>
  <si>
    <t xml:space="preserve">Original Balance Sheet</t>
  </si>
  <si>
    <t xml:space="preserve">Total Balance Sheet Footing</t>
  </si>
  <si>
    <t xml:space="preserve">Realized Gains / (Losses)</t>
  </si>
  <si>
    <t xml:space="preserve">Original Notional</t>
  </si>
  <si>
    <t xml:space="preserve">Plus:  Put Exposure  </t>
  </si>
  <si>
    <t xml:space="preserve">Existing Notional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</si>
  <si>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</si>
  <si>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</si>
  <si>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</si>
  <si>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</si>
  <si>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     Subtotal</t>
  </si>
  <si>
    <t xml:space="preserve">Less:  Put premium received</t>
  </si>
  <si>
    <t xml:space="preserve">Credit Analysis</t>
  </si>
  <si>
    <t xml:space="preserve">Remaining Notional</t>
  </si>
  <si>
    <t xml:space="preserve">Initial Credit Capacity</t>
  </si>
  <si>
    <t xml:space="preserve">X  Required capitalization percentage</t>
  </si>
  <si>
    <t xml:space="preserve">     LJMII Capital</t>
  </si>
  <si>
    <t xml:space="preserve">Required Third Party Capitalization</t>
  </si>
  <si>
    <t xml:space="preserve">     Initial Discount on Enron Shares</t>
  </si>
  <si>
    <t xml:space="preserve">Actual Third Party Capitalization</t>
  </si>
  <si>
    <t xml:space="preserve">Total Initial Credit Capacity</t>
  </si>
  <si>
    <t xml:space="preserve">Equity Rollforward (Check)</t>
  </si>
  <si>
    <t xml:space="preserve">     Result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</si>
  <si>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</si>
  <si>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</si>
  <si>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</si>
  <si>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</si>
  <si>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</si>
  <si>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</si>
  <si>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</si>
  <si>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</si>
  <si>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</si>
  <si>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</si>
  <si>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</si>
  <si>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</si>
  <si>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</si>
  <si>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</si>
  <si>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</si>
  <si>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</si>
  <si>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</si>
  <si>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</si>
  <si>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</si>
  <si>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</si>
  <si>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</si>
  <si>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</si>
  <si>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</si>
  <si>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</si>
  <si>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</si>
  <si>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</si>
  <si>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</si>
  <si>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</si>
  <si>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Merlin 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</si>
  <si>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</si>
  <si>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</si>
  <si>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</si>
  <si>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</si>
  <si>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</si>
  <si>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</si>
  <si>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</si>
  <si>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</si>
  <si>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</si>
  <si>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</si>
  <si>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</si>
  <si>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</si>
  <si>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</si>
  <si>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</si>
  <si>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</si>
  <si>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</si>
  <si>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</si>
  <si>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</si>
  <si>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</si>
  <si>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</si>
  <si>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</si>
  <si>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</si>
  <si>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</si>
  <si>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</si>
  <si>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</si>
  <si>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</si>
  <si>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</si>
  <si>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</si>
  <si>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</si>
  <si>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</si>
  <si>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</si>
  <si>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</si>
  <si>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</si>
  <si>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</si>
  <si>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</si>
  <si>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</si>
  <si>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</si>
  <si>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Brigham Debt</t>
  </si>
  <si>
    <t xml:space="preserve">Place Termination</t>
  </si>
  <si>
    <t xml:space="preserve">Quicksilver Termination</t>
  </si>
  <si>
    <t xml:space="preserve">DEVX Pref Termination</t>
  </si>
  <si>
    <t xml:space="preserve">Black Bay and Keathley Termination</t>
  </si>
  <si>
    <t xml:space="preserve">Geo. Pursuit Termination</t>
  </si>
  <si>
    <t xml:space="preserve">Avici Termination</t>
  </si>
  <si>
    <t xml:space="preserve">Active Power Termination</t>
  </si>
  <si>
    <t xml:space="preserve">Merlin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</si>
  <si>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</si>
  <si>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</si>
  <si>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</si>
  <si>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</si>
  <si>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</si>
  <si>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</si>
  <si>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</si>
  <si>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</si>
  <si>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</si>
  <si>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</si>
  <si>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</si>
  <si>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</si>
  <si>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</si>
  <si>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</si>
  <si>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</si>
  <si>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</si>
  <si>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</si>
  <si>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</si>
  <si>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</si>
  <si>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</si>
  <si>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</si>
  <si>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</si>
  <si>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</si>
  <si>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</si>
  <si>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</si>
  <si>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</si>
  <si>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</si>
  <si>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</si>
  <si>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</si>
  <si>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</si>
  <si>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</si>
  <si>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</si>
  <si>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</si>
  <si>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</si>
  <si>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</si>
  <si>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</si>
  <si>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</si>
  <si>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</si>
  <si>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</si>
  <si>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</si>
  <si>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</si>
  <si>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</si>
  <si>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</si>
  <si>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</si>
  <si>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</si>
  <si>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</si>
  <si>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</si>
  <si>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</si>
  <si>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</si>
  <si>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</si>
  <si>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</si>
  <si>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</si>
  <si>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</si>
  <si>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</si>
  <si>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</si>
  <si>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</si>
  <si>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</si>
  <si>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</si>
  <si>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</si>
  <si>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</si>
  <si>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</si>
  <si>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</si>
  <si>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</si>
  <si>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</si>
  <si>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</si>
  <si>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</si>
  <si>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</si>
  <si>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</si>
  <si>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</si>
  <si>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</si>
  <si>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</si>
  <si>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</si>
  <si>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</si>
  <si>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</si>
  <si>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</si>
  <si>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</si>
  <si>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</si>
  <si>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</si>
  <si>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</si>
  <si>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</si>
  <si>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</si>
  <si>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</si>
  <si>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</si>
  <si>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</si>
  <si>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</si>
  <si>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</si>
  <si>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</si>
  <si>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</si>
  <si>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</si>
  <si>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</si>
  <si>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</si>
  <si>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</si>
  <si>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</si>
  <si>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</si>
  <si>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</si>
  <si>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</si>
  <si>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</si>
  <si>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</si>
  <si>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</si>
  <si>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</si>
  <si>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</si>
  <si>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</si>
  <si>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</si>
  <si>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</si>
  <si>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</si>
  <si>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</si>
  <si>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</si>
  <si>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</si>
  <si>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</si>
  <si>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</si>
  <si>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</si>
  <si>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</si>
  <si>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</si>
  <si>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</si>
  <si>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</si>
  <si>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</si>
  <si>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</si>
  <si>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</si>
  <si>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</si>
  <si>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</si>
  <si>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</si>
  <si>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</si>
  <si>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</si>
  <si>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</si>
  <si>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</si>
  <si>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</si>
  <si>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Pruett/Josey</t>
  </si>
  <si>
    <t xml:space="preserve">713-345-7109/713-853-0321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</si>
  <si>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</si>
  <si>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</si>
  <si>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</si>
  <si>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</si>
  <si>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Pruett/Thompson</t>
  </si>
  <si>
    <t xml:space="preserve">713-345-7109/713-853-3019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</si>
  <si>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</si>
  <si>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</si>
  <si>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</si>
  <si>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</si>
  <si>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</si>
  <si>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</si>
  <si>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</si>
  <si>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</si>
  <si>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</si>
  <si>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</si>
  <si>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</si>
  <si>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</si>
  <si>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</si>
  <si>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</si>
  <si>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</si>
  <si>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</si>
  <si>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</si>
  <si>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</si>
  <si>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</si>
  <si>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</si>
  <si>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</si>
  <si>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</si>
  <si>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</si>
  <si>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</si>
  <si>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</si>
  <si>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</si>
  <si>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</si>
  <si>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</si>
  <si>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</si>
  <si>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</si>
  <si>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</si>
  <si>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</si>
  <si>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</si>
  <si>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</si>
  <si>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</si>
  <si>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</si>
  <si>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</si>
  <si>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</si>
  <si>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</si>
  <si>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</si>
  <si>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</si>
  <si>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</si>
  <si>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</si>
  <si>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</si>
  <si>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</si>
  <si>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</si>
  <si>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</si>
  <si>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</si>
  <si>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</si>
  <si>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</si>
  <si>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</si>
  <si>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</si>
  <si>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</si>
  <si>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</si>
  <si>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</si>
  <si>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</si>
  <si>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</si>
  <si>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</si>
  <si>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</si>
  <si>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</si>
  <si>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</si>
  <si>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</si>
  <si>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</si>
  <si>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</si>
  <si>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</si>
  <si>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</si>
  <si>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</si>
  <si>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</si>
  <si>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</si>
  <si>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</si>
  <si>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</si>
  <si>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</si>
  <si>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</si>
  <si>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</si>
  <si>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</si>
  <si>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</si>
  <si>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</si>
  <si>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</si>
  <si>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</si>
  <si>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</si>
  <si>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</si>
  <si>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</si>
  <si>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</si>
  <si>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</si>
  <si>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</si>
  <si>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</si>
  <si>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</si>
  <si>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</si>
  <si>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</si>
  <si>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</si>
  <si>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</si>
  <si>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</si>
  <si>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</si>
  <si>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</si>
  <si>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</si>
  <si>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</si>
  <si>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</si>
  <si>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</si>
  <si>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</si>
  <si>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</si>
  <si>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</si>
  <si>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</si>
  <si>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</si>
  <si>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</si>
  <si>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</si>
  <si>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</si>
  <si>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</si>
  <si>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</si>
  <si>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</si>
  <si>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</si>
  <si>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</si>
  <si>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</si>
  <si>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</si>
  <si>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</si>
  <si>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</si>
  <si>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</si>
  <si>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</si>
  <si>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</si>
  <si>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</si>
  <si>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</si>
  <si>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</si>
  <si>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</si>
  <si>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</si>
  <si>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</si>
  <si>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</si>
  <si>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</si>
  <si>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</si>
  <si>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</si>
  <si>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</si>
  <si>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</si>
  <si>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</si>
  <si>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</si>
  <si>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</si>
  <si>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Raptor I</t>
  </si>
  <si>
    <t xml:space="preserve">US;CESI</t>
  </si>
  <si>
    <t xml:space="preserve">LSI Preferred (AIM) Raptor I</t>
  </si>
  <si>
    <t xml:space="preserve">614-665</t>
  </si>
  <si>
    <t xml:space="preserve">Hornbeck-Leevac Warrants Raptor I</t>
  </si>
  <si>
    <t xml:space="preserve">480-2948</t>
  </si>
  <si>
    <t xml:space="preserve">LSI Warrants (AIM)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</si>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</sst>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m/d/yyyy"/>
    <numFmt numFmtId="166" formatCode="_(\$* #,##0_);_(\$* \(#,##0\);_(\$* \-??_);_(@_)"/>
    <numFmt numFmtId="167" formatCode="_(\$* #,##0.00_);_(\$* \(#,##0.0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0_);_(* \(#,##0.00000\);_(* \-??_);_(@_)"/>
    <numFmt numFmtId="175" formatCode="[$CAD]\ #,##0.000"/>
    <numFmt numFmtId="176" formatCode="[$CAD]\ #,##0.000_);\([$CAD]\ #,##0.000\)"/>
    <numFmt numFmtId="177" formatCode="0%"/>
    <numFmt numFmtId="178" formatCode="0.00%"/>
    <numFmt numFmtId="179" formatCode="[$-409]#,##0.00_);\(#,##0.00\)"/>
    <numFmt numFmtId="180" formatCode="0.0%"/>
    <numFmt numFmtId="181" formatCode="#,##0.0_);\(#,##0.0\)"/>
    <numFmt numFmtId="182" formatCode="_(* #,##0_);_(* \(#,##0\);_(* \-_);_(@_)"/>
    <numFmt numFmtId="183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2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36962</v>
      </c>
      <c r="D5" s="10" t="s">
        <v>3</v>
      </c>
      <c r="E5" s="11" t="n">
        <f aca="false">+C5-1</f>
        <v>36961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12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3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4" t="s">
        <v>6</v>
      </c>
      <c r="D10" s="14" t="s">
        <v>7</v>
      </c>
      <c r="E10" s="14" t="s">
        <v>8</v>
      </c>
      <c r="F10" s="6"/>
    </row>
    <row r="11" customFormat="false" ht="15.75" hidden="false" customHeight="false" outlineLevel="0" collapsed="false">
      <c r="A11" s="4"/>
      <c r="B11" s="7"/>
      <c r="C11" s="15"/>
      <c r="D11" s="15"/>
      <c r="E11" s="15"/>
      <c r="F11" s="6"/>
    </row>
    <row r="12" customFormat="false" ht="15.75" hidden="false" customHeight="false" outlineLevel="0" collapsed="false">
      <c r="A12" s="4"/>
      <c r="B12" s="7" t="s">
        <v>9</v>
      </c>
      <c r="C12" s="16" t="n">
        <f aca="false">+'Daily Position'!T59</f>
        <v>-422676035.568871</v>
      </c>
      <c r="D12" s="16" t="n">
        <f aca="false">+'Daily Position'!S59</f>
        <v>-73827735.5723987</v>
      </c>
      <c r="E12" s="16" t="n">
        <f aca="false">+C12-D12</f>
        <v>-348848299.996472</v>
      </c>
      <c r="F12" s="6"/>
    </row>
    <row r="13" customFormat="false" ht="15.75" hidden="false" customHeight="false" outlineLevel="0" collapsed="false">
      <c r="A13" s="4"/>
      <c r="B13" s="7" t="s">
        <v>10</v>
      </c>
      <c r="C13" s="17" t="n">
        <f aca="false">+C15-C12</f>
        <v>-5543414.53704989</v>
      </c>
      <c r="D13" s="17" t="n">
        <f aca="false">+D15-D12</f>
        <v>0</v>
      </c>
      <c r="E13" s="17" t="n">
        <f aca="false">+E15-E12</f>
        <v>-5543414.53704989</v>
      </c>
      <c r="F13" s="6"/>
    </row>
    <row r="14" customFormat="false" ht="15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6.5" hidden="false" customHeight="false" outlineLevel="0" collapsed="false">
      <c r="A15" s="4"/>
      <c r="B15" s="7" t="s">
        <v>11</v>
      </c>
      <c r="C15" s="18" t="n">
        <f aca="false">+'Daily Position'!R59</f>
        <v>-428219450.10592</v>
      </c>
      <c r="D15" s="18" t="n">
        <f aca="false">+'Daily Position'!Q59</f>
        <v>-73827735.5723987</v>
      </c>
      <c r="E15" s="18" t="n">
        <f aca="false">+C15-D15</f>
        <v>-354391714.533522</v>
      </c>
      <c r="F15" s="6"/>
    </row>
    <row r="16" customFormat="false" ht="16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6" t="n">
        <f aca="false">IF(+Financials!P25&lt;0,"No Capacity Available",+Financials!P25)</f>
        <v>20734509.7541502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6" t="n">
        <f aca="false">ROUND(+Financials!I36,2)</f>
        <v>-142554795.4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6"/>
      <c r="D22" s="12"/>
      <c r="E22" s="7"/>
      <c r="F22" s="6"/>
    </row>
    <row r="23" customFormat="false" ht="15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6" t="n">
        <f aca="false">1500000000-'Daily Position'!I59</f>
        <v>766318270.93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2" activeCellId="0" sqref="A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6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6" width="15.62"/>
    <col collapsed="false" customWidth="true" hidden="false" outlineLevel="0" max="10" min="10" style="16" width="8.62"/>
    <col collapsed="false" customWidth="true" hidden="false" outlineLevel="0" max="11" min="11" style="16" width="13.11"/>
    <col collapsed="false" customWidth="true" hidden="false" outlineLevel="0" max="12" min="12" style="16" width="10.74"/>
    <col collapsed="false" customWidth="true" hidden="false" outlineLevel="0" max="13" min="13" style="16" width="13.37"/>
    <col collapsed="false" customWidth="true" hidden="false" outlineLevel="0" max="14" min="14" style="0" width="13.11"/>
    <col collapsed="false" customWidth="true" hidden="false" outlineLevel="0" max="15" min="15" style="27" width="7.87"/>
    <col collapsed="false" customWidth="true" hidden="false" outlineLevel="0" max="16" min="16" style="0" width="14.12"/>
    <col collapsed="false" customWidth="true" hidden="false" outlineLevel="0" max="17" min="17" style="0" width="15.99"/>
    <col collapsed="false" customWidth="true" hidden="false" outlineLevel="0" max="18" min="18" style="0" width="14.49"/>
    <col collapsed="false" customWidth="true" hidden="false" outlineLevel="0" max="19" min="19" style="16" width="12.62"/>
    <col collapsed="false" customWidth="true" hidden="false" outlineLevel="0" max="20" min="20" style="0" width="14.37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9.86"/>
    <col collapsed="false" customWidth="true" hidden="false" outlineLevel="0" max="25" min="25" style="0" width="19.37"/>
    <col collapsed="false" customWidth="true" hidden="false" outlineLevel="0" max="26" min="26" style="16" width="12.62"/>
    <col collapsed="false" customWidth="true" hidden="false" outlineLevel="0" max="27" min="27" style="0" width="14.37"/>
    <col collapsed="false" customWidth="true" hidden="false" outlineLevel="0" max="28" min="28" style="16" width="12.62"/>
    <col collapsed="false" customWidth="true" hidden="false" outlineLevel="0" max="29" min="29" style="0" width="14.37"/>
    <col collapsed="false" customWidth="true" hidden="false" outlineLevel="0" max="30" min="30" style="0" width="12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33" t="s">
        <v>22</v>
      </c>
      <c r="K1" s="33"/>
      <c r="L1" s="33"/>
      <c r="M1" s="33"/>
      <c r="N1" s="28" t="s">
        <v>23</v>
      </c>
      <c r="O1" s="29"/>
      <c r="P1" s="34" t="s">
        <v>24</v>
      </c>
      <c r="Q1" s="35" t="s">
        <v>25</v>
      </c>
      <c r="R1" s="36" t="s">
        <v>26</v>
      </c>
      <c r="S1" s="37" t="s">
        <v>27</v>
      </c>
      <c r="T1" s="37"/>
      <c r="U1" s="34" t="s">
        <v>27</v>
      </c>
      <c r="V1" s="35"/>
      <c r="W1" s="36"/>
      <c r="X1" s="28"/>
      <c r="Y1" s="28"/>
      <c r="Z1" s="37" t="s">
        <v>28</v>
      </c>
      <c r="AA1" s="37"/>
      <c r="AB1" s="37" t="s">
        <v>29</v>
      </c>
      <c r="AC1" s="37"/>
      <c r="AD1" s="28"/>
    </row>
    <row r="2" customFormat="false" ht="15" hidden="false" customHeight="true" outlineLevel="0" collapsed="false">
      <c r="A2" s="38" t="s">
        <v>30</v>
      </c>
      <c r="B2" s="39" t="s">
        <v>31</v>
      </c>
      <c r="C2" s="39" t="s">
        <v>31</v>
      </c>
      <c r="D2" s="38" t="s">
        <v>32</v>
      </c>
      <c r="E2" s="40" t="s">
        <v>33</v>
      </c>
      <c r="F2" s="38" t="s">
        <v>34</v>
      </c>
      <c r="G2" s="41" t="s">
        <v>35</v>
      </c>
      <c r="H2" s="42" t="s">
        <v>36</v>
      </c>
      <c r="I2" s="43" t="s">
        <v>37</v>
      </c>
      <c r="J2" s="44" t="s">
        <v>31</v>
      </c>
      <c r="K2" s="41" t="s">
        <v>35</v>
      </c>
      <c r="L2" s="45" t="s">
        <v>36</v>
      </c>
      <c r="M2" s="43" t="s">
        <v>37</v>
      </c>
      <c r="N2" s="38" t="s">
        <v>38</v>
      </c>
      <c r="O2" s="39" t="s">
        <v>39</v>
      </c>
      <c r="P2" s="46" t="s">
        <v>40</v>
      </c>
      <c r="Q2" s="38" t="s">
        <v>40</v>
      </c>
      <c r="R2" s="47" t="s">
        <v>40</v>
      </c>
      <c r="S2" s="44" t="s">
        <v>7</v>
      </c>
      <c r="T2" s="47" t="s">
        <v>6</v>
      </c>
      <c r="U2" s="38" t="s">
        <v>38</v>
      </c>
      <c r="V2" s="38" t="s">
        <v>41</v>
      </c>
      <c r="W2" s="47" t="s">
        <v>42</v>
      </c>
      <c r="X2" s="48"/>
      <c r="Y2" s="48"/>
      <c r="Z2" s="44" t="s">
        <v>7</v>
      </c>
      <c r="AA2" s="47" t="s">
        <v>6</v>
      </c>
      <c r="AB2" s="44" t="s">
        <v>7</v>
      </c>
      <c r="AC2" s="47" t="s">
        <v>6</v>
      </c>
      <c r="AD2" s="48"/>
    </row>
    <row r="3" customFormat="false" ht="15" hidden="false" customHeight="true" outlineLevel="0" collapsed="false">
      <c r="A3" s="49" t="s">
        <v>43</v>
      </c>
      <c r="B3" s="50"/>
      <c r="C3" s="50"/>
      <c r="D3" s="48"/>
      <c r="E3" s="51"/>
      <c r="F3" s="48"/>
      <c r="G3" s="52"/>
      <c r="H3" s="53"/>
      <c r="I3" s="51"/>
      <c r="J3" s="51"/>
      <c r="K3" s="51"/>
      <c r="L3" s="51"/>
      <c r="M3" s="51"/>
      <c r="N3" s="48"/>
      <c r="O3" s="50"/>
      <c r="P3" s="48"/>
      <c r="Q3" s="48"/>
      <c r="R3" s="48"/>
      <c r="S3" s="51"/>
      <c r="T3" s="48"/>
      <c r="U3" s="48"/>
      <c r="V3" s="48"/>
      <c r="W3" s="48"/>
      <c r="X3" s="48"/>
      <c r="Y3" s="48"/>
      <c r="Z3" s="51"/>
      <c r="AA3" s="48"/>
      <c r="AB3" s="51"/>
      <c r="AC3" s="48"/>
      <c r="AD3" s="48"/>
    </row>
    <row r="4" customFormat="false" ht="15.75" hidden="false" customHeight="false" outlineLevel="0" collapsed="false">
      <c r="A4" s="0" t="s">
        <v>44</v>
      </c>
      <c r="B4" s="23" t="n">
        <v>36741</v>
      </c>
      <c r="C4" s="23" t="n">
        <v>37836</v>
      </c>
      <c r="D4" s="24" t="s">
        <v>45</v>
      </c>
      <c r="E4" s="16" t="n">
        <v>0</v>
      </c>
      <c r="F4" s="24" t="s">
        <v>46</v>
      </c>
      <c r="G4" s="25" t="n">
        <v>1.17868389193476</v>
      </c>
      <c r="H4" s="26" t="n">
        <v>78000</v>
      </c>
      <c r="I4" s="16" t="n">
        <f aca="false">ROUND(+G4*H4,2)</f>
        <v>91937.34</v>
      </c>
      <c r="N4" s="25" t="n">
        <f aca="false">VLOOKUP(+O4,StkPrices,+'Stock Prices'!H$2)</f>
        <v>2.55045605898546</v>
      </c>
      <c r="O4" s="27" t="n">
        <f aca="false">+Summary!$C$5</f>
        <v>36962</v>
      </c>
      <c r="P4" s="16" t="n">
        <f aca="false">IF(O4&lt;B4,0,ROUND((+N4*(H4-IF(J4&gt;O4-1,0,L4))),2)-ROUND(((H4-IF(J4&gt;O4-1,0,L4))*G4),2))</f>
        <v>106998.23</v>
      </c>
      <c r="Q4" s="16" t="n">
        <v>0</v>
      </c>
      <c r="R4" s="54" t="n">
        <f aca="false">+P4+Q4</f>
        <v>106998.23</v>
      </c>
      <c r="S4" s="16" t="n">
        <v>0</v>
      </c>
      <c r="T4" s="16" t="n">
        <f aca="false">IF(Summary!$E$5&lt;'Daily Position'!B4,0,ROUND(+U4*(H4-L4),2)+M4-I4)</f>
        <v>131034.67</v>
      </c>
      <c r="U4" s="25" t="n">
        <f aca="false">+VLOOKUP(+Summary!$E$5,StkPrices,+'Stock Prices'!H$2)</f>
        <v>2.85861555797261</v>
      </c>
      <c r="V4" s="25"/>
      <c r="W4" s="55" t="n">
        <f aca="false">+N4*H4-'MPR Raptor'!U58</f>
        <v>0</v>
      </c>
      <c r="Z4" s="16" t="n">
        <v>0</v>
      </c>
      <c r="AA4" s="54" t="n">
        <v>119827.52</v>
      </c>
      <c r="AB4" s="16" t="n">
        <f aca="false">+Q4-Z4</f>
        <v>0</v>
      </c>
      <c r="AC4" s="16" t="n">
        <f aca="false">ROUND(+R4-AA4,2)</f>
        <v>-12829.29</v>
      </c>
      <c r="AD4" s="55" t="n">
        <f aca="false">-AC4+'MPR Raptor'!AH58</f>
        <v>-0.00047679624549346</v>
      </c>
    </row>
    <row r="5" customFormat="false" ht="15.75" hidden="false" customHeight="false" outlineLevel="0" collapsed="false">
      <c r="A5" s="0" t="s">
        <v>47</v>
      </c>
      <c r="B5" s="23" t="n">
        <v>36741</v>
      </c>
      <c r="C5" s="23" t="n">
        <v>37836</v>
      </c>
      <c r="D5" s="24" t="s">
        <v>45</v>
      </c>
      <c r="E5" s="16" t="n">
        <v>0</v>
      </c>
      <c r="F5" s="24" t="s">
        <v>46</v>
      </c>
      <c r="G5" s="25" t="n">
        <f aca="false">67648299.25/H5</f>
        <v>53.000000195866</v>
      </c>
      <c r="H5" s="56" t="n">
        <v>1276383</v>
      </c>
      <c r="I5" s="16" t="n">
        <f aca="false">ROUND(+G5*H5,2)</f>
        <v>67648299.25</v>
      </c>
      <c r="J5" s="27" t="n">
        <v>36907</v>
      </c>
      <c r="K5" s="25" t="n">
        <f aca="false">+M5/L5</f>
        <v>25.2658577774644</v>
      </c>
      <c r="L5" s="26" t="n">
        <v>255276</v>
      </c>
      <c r="M5" s="16" t="n">
        <v>6449767.11</v>
      </c>
      <c r="N5" s="25" t="n">
        <f aca="false">VLOOKUP(+O5,StkPrices,+'Stock Prices'!D$2)</f>
        <v>17.5625</v>
      </c>
      <c r="O5" s="27" t="n">
        <f aca="false">+Summary!$C$5</f>
        <v>36962</v>
      </c>
      <c r="P5" s="16" t="n">
        <f aca="false">IF(O5&lt;B5,0,ROUND((+N5*(H5-IF(J5&gt;O5-1,0,L5))),2)-ROUND(((H5-IF(J5&gt;O5-1,0,L5))*G5),2))</f>
        <v>-36185479.51</v>
      </c>
      <c r="Q5" s="16" t="n">
        <f aca="false">IF(J5&lt;(O5+1),(+K5-G5)*L5,0)</f>
        <v>-7079860.93999988</v>
      </c>
      <c r="R5" s="54" t="n">
        <f aca="false">+P5+Q5</f>
        <v>-43265340.4499999</v>
      </c>
      <c r="S5" s="16" t="n">
        <f aca="false">IF(J5&lt;O5,+Q5,0)</f>
        <v>-7079860.93999988</v>
      </c>
      <c r="T5" s="16" t="n">
        <f aca="false">IF(Summary!$E$5&lt;'Daily Position'!B5,0,ROUND(+U5*(H5-L5),2)+M5-I5)</f>
        <v>-42052775.89</v>
      </c>
      <c r="U5" s="25" t="n">
        <f aca="false">+VLOOKUP(+Summary!$E$5,StkPrices,+'Stock Prices'!D$2)</f>
        <v>18.75</v>
      </c>
      <c r="V5" s="25"/>
      <c r="W5" s="55" t="n">
        <f aca="false">+N5*(H5-L5)-'MPR Raptor'!U29</f>
        <v>0</v>
      </c>
      <c r="X5" s="57"/>
      <c r="Z5" s="16" t="n">
        <v>0</v>
      </c>
      <c r="AA5" s="54" t="n">
        <v>-39647647.19</v>
      </c>
      <c r="AB5" s="16" t="n">
        <f aca="false">+Q5-Z5</f>
        <v>-7079860.93999988</v>
      </c>
      <c r="AC5" s="16" t="n">
        <f aca="false">ROUND(+R5-AA5,2)</f>
        <v>-3617693.26</v>
      </c>
      <c r="AD5" s="55" t="n">
        <f aca="false">'MPR Raptor'!AH29-AC5</f>
        <v>-0.00499999988824129</v>
      </c>
    </row>
    <row r="6" customFormat="false" ht="15.75" hidden="false" customHeight="false" outlineLevel="0" collapsed="false">
      <c r="A6" s="0" t="s">
        <v>48</v>
      </c>
      <c r="B6" s="23" t="n">
        <v>36741</v>
      </c>
      <c r="C6" s="23" t="n">
        <v>37836</v>
      </c>
      <c r="D6" s="24" t="s">
        <v>45</v>
      </c>
      <c r="E6" s="16" t="n">
        <v>0</v>
      </c>
      <c r="F6" s="24" t="s">
        <v>46</v>
      </c>
      <c r="G6" s="25" t="n">
        <v>162.5</v>
      </c>
      <c r="H6" s="26" t="n">
        <v>1093426</v>
      </c>
      <c r="I6" s="16" t="n">
        <f aca="false">ROUND(+G6*H6,2)</f>
        <v>177681725</v>
      </c>
      <c r="J6" s="27" t="n">
        <v>36902</v>
      </c>
      <c r="K6" s="25" t="n">
        <f aca="false">+M6/L6</f>
        <v>30.43898</v>
      </c>
      <c r="L6" s="26" t="n">
        <v>1000</v>
      </c>
      <c r="M6" s="16" t="n">
        <v>30438.98</v>
      </c>
      <c r="N6" s="25" t="n">
        <f aca="false">VLOOKUP(+O6,StkPrices,+'Stock Prices'!C$2)</f>
        <v>10.3125</v>
      </c>
      <c r="O6" s="27" t="n">
        <f aca="false">+Summary!$C$5</f>
        <v>36962</v>
      </c>
      <c r="P6" s="16" t="n">
        <f aca="false">IF(O6&lt;B6,0,ROUND((+N6*(H6-IF(J6&gt;O6-1,0,L6))),2)-ROUND(((H6-IF(J6&gt;O6-1,0,L6))*G6),2))</f>
        <v>-166253581.87</v>
      </c>
      <c r="Q6" s="16" t="n">
        <f aca="false">IF(J6&lt;(O6+1),(+K6-G6)*L6,0)</f>
        <v>-132061.02</v>
      </c>
      <c r="R6" s="54" t="n">
        <f aca="false">+P6+Q6</f>
        <v>-166385642.89</v>
      </c>
      <c r="S6" s="16" t="n">
        <f aca="false">IF(J6&lt;O6,+Q6,0)</f>
        <v>-132061.02</v>
      </c>
      <c r="T6" s="16" t="n">
        <f aca="false">IF(Summary!$E$5&lt;'Daily Position'!B6,0,ROUND(+U6*(H6-L6),2)+M6-I6)</f>
        <v>-162425598.64</v>
      </c>
      <c r="U6" s="25" t="n">
        <f aca="false">+VLOOKUP(+Summary!$E$5,StkPrices,+'Stock Prices'!C$2)</f>
        <v>13.9375</v>
      </c>
      <c r="V6" s="25"/>
      <c r="W6" s="55" t="n">
        <f aca="false">+N6*(H6-L6)-'MPR Raptor'!U7</f>
        <v>0</v>
      </c>
      <c r="X6" s="57"/>
      <c r="Z6" s="16" t="n">
        <v>0</v>
      </c>
      <c r="AA6" s="54" t="n">
        <v>-150756109.75</v>
      </c>
      <c r="AB6" s="16" t="n">
        <f aca="false">+Q6-Z6</f>
        <v>-132061.02</v>
      </c>
      <c r="AC6" s="16" t="n">
        <f aca="false">ROUND(+R6-AA6,2)</f>
        <v>-15629533.14</v>
      </c>
      <c r="AD6" s="55" t="n">
        <f aca="false">'MPR Raptor'!AH7-AC6</f>
        <v>-0.00166666507720947</v>
      </c>
    </row>
    <row r="7" customFormat="false" ht="15.75" hidden="false" customHeight="false" outlineLevel="0" collapsed="false">
      <c r="A7" s="0" t="s">
        <v>49</v>
      </c>
      <c r="B7" s="23" t="n">
        <v>36741</v>
      </c>
      <c r="C7" s="23" t="n">
        <v>37836</v>
      </c>
      <c r="D7" s="24" t="s">
        <v>45</v>
      </c>
      <c r="E7" s="16" t="n">
        <v>0</v>
      </c>
      <c r="F7" s="24" t="s">
        <v>46</v>
      </c>
      <c r="G7" s="25" t="n">
        <v>4.19540251455472</v>
      </c>
      <c r="H7" s="26" t="n">
        <v>156250</v>
      </c>
      <c r="I7" s="16" t="n">
        <f aca="false">ROUND(+G7*H7,2)</f>
        <v>655531.64</v>
      </c>
      <c r="N7" s="25" t="n">
        <f aca="false">VLOOKUP(+O7,StkPrices,+'Stock Prices'!G$2)</f>
        <v>4.67022178822679</v>
      </c>
      <c r="O7" s="27" t="n">
        <f aca="false">+Summary!$C$5</f>
        <v>36962</v>
      </c>
      <c r="P7" s="16" t="n">
        <f aca="false">IF(O7&lt;B7,0,ROUND((+N7*(H7-IF(J7&gt;O7-1,0,L7))),2)-ROUND(((H7-IF(J7&gt;O7-1,0,L7))*G7),2))</f>
        <v>74190.51</v>
      </c>
      <c r="Q7" s="16" t="n">
        <v>0</v>
      </c>
      <c r="R7" s="54" t="n">
        <f aca="false">+P7+Q7</f>
        <v>74190.51</v>
      </c>
      <c r="S7" s="16" t="n">
        <v>0</v>
      </c>
      <c r="T7" s="16" t="n">
        <f aca="false">IF(Summary!$E$5&lt;'Daily Position'!B7,0,ROUND(+U7*(H7-L7),2)+M7-I7)</f>
        <v>148045.22</v>
      </c>
      <c r="U7" s="25" t="n">
        <f aca="false">+VLOOKUP(+Summary!$E$5,StkPrices,+'Stock Prices'!G$2)</f>
        <v>5.14289189834461</v>
      </c>
      <c r="V7" s="25"/>
      <c r="W7" s="55" t="n">
        <f aca="false">+N7*H7-'MPR Raptor'!U57</f>
        <v>0</v>
      </c>
      <c r="X7" s="57"/>
      <c r="Z7" s="16" t="n">
        <v>0</v>
      </c>
      <c r="AA7" s="54" t="n">
        <v>289157.77</v>
      </c>
      <c r="AB7" s="16" t="n">
        <f aca="false">+Q7-Z7</f>
        <v>0</v>
      </c>
      <c r="AC7" s="16" t="n">
        <f aca="false">ROUND(+R7-AA7,2)</f>
        <v>-214967.26</v>
      </c>
      <c r="AD7" s="55" t="n">
        <f aca="false">-AC7+'MPR Raptor'!AH57</f>
        <v>0.00702857307624072</v>
      </c>
    </row>
    <row r="8" customFormat="false" ht="15.75" hidden="false" customHeight="false" outlineLevel="0" collapsed="false">
      <c r="A8" s="58" t="s">
        <v>50</v>
      </c>
      <c r="B8" s="23" t="n">
        <v>36741</v>
      </c>
      <c r="C8" s="23" t="n">
        <v>37836</v>
      </c>
      <c r="D8" s="24" t="s">
        <v>45</v>
      </c>
      <c r="E8" s="16" t="n">
        <v>0</v>
      </c>
      <c r="F8" s="24" t="s">
        <v>46</v>
      </c>
      <c r="H8" s="26" t="n">
        <v>1339286</v>
      </c>
      <c r="I8" s="16" t="n">
        <f aca="false">IF(O8&gt;(X8-1),116115000,0)</f>
        <v>116115000</v>
      </c>
      <c r="N8" s="25" t="n">
        <f aca="false">VLOOKUP(+O8,StkPrices,+'Stock Prices'!L$2)</f>
        <v>17.6875</v>
      </c>
      <c r="O8" s="27" t="n">
        <f aca="false">+Summary!$C$5</f>
        <v>36962</v>
      </c>
      <c r="P8" s="16" t="n">
        <f aca="false">IF(O8&lt;B8,0,ROUND((+N8*H8),2)-I8-Q8)</f>
        <v>-92426378.87</v>
      </c>
      <c r="Q8" s="16" t="n">
        <v>0</v>
      </c>
      <c r="R8" s="54" t="n">
        <f aca="false">+P8+Q8</f>
        <v>-92426378.87</v>
      </c>
      <c r="S8" s="16" t="n">
        <v>0</v>
      </c>
      <c r="T8" s="16" t="n">
        <f aca="false">IF(Summary!$E$5&lt;'Daily Position'!B8,0,ROUND(+U8*(H8-L8),2)+M8-I8)</f>
        <v>-92175262.75</v>
      </c>
      <c r="U8" s="25" t="n">
        <f aca="false">IF(O8&gt;X8-1,+VLOOKUP(+Summary!$E$5,StkPrices,'Stock Prices'!L2),0)</f>
        <v>17.875</v>
      </c>
      <c r="V8" s="25"/>
      <c r="W8" s="55" t="n">
        <f aca="false">+N8*H8-'MPR Raptor'!U69</f>
        <v>0</v>
      </c>
      <c r="X8" s="59" t="n">
        <v>36874</v>
      </c>
      <c r="Y8" s="0" t="s">
        <v>51</v>
      </c>
      <c r="Z8" s="16" t="n">
        <v>0</v>
      </c>
      <c r="AA8" s="54" t="n">
        <v>-93012316.5</v>
      </c>
      <c r="AB8" s="16" t="n">
        <f aca="false">+Q8-Z8</f>
        <v>0</v>
      </c>
      <c r="AC8" s="16" t="n">
        <f aca="false">ROUND(+R8-AA8,2)</f>
        <v>585937.63</v>
      </c>
      <c r="AD8" s="55" t="n">
        <f aca="false">-AC8+'MPR Raptor'!AH69</f>
        <v>-0.00500000000465661</v>
      </c>
    </row>
    <row r="9" customFormat="false" ht="15.75" hidden="false" customHeight="false" outlineLevel="0" collapsed="false">
      <c r="A9" s="0" t="s">
        <v>52</v>
      </c>
      <c r="B9" s="23" t="n">
        <v>36741</v>
      </c>
      <c r="C9" s="23" t="n">
        <v>37836</v>
      </c>
      <c r="D9" s="24" t="s">
        <v>45</v>
      </c>
      <c r="E9" s="16" t="n">
        <v>0</v>
      </c>
      <c r="F9" s="24" t="s">
        <v>46</v>
      </c>
      <c r="G9" s="25" t="n">
        <v>5.875</v>
      </c>
      <c r="H9" s="26" t="n">
        <v>59891</v>
      </c>
      <c r="I9" s="16" t="n">
        <f aca="false">ROUND(+G9*H9,2)</f>
        <v>351859.63</v>
      </c>
      <c r="N9" s="25" t="n">
        <f aca="false">VLOOKUP(+O9,StkPrices,+'Stock Prices'!J$2)</f>
        <v>5.84375</v>
      </c>
      <c r="O9" s="27" t="n">
        <f aca="false">+Summary!$C$5</f>
        <v>36962</v>
      </c>
      <c r="P9" s="16" t="n">
        <f aca="false">IF(O9&lt;B9,0,ROUND((+N9*(H9-IF(J9&gt;O9-1,0,L9))),2)-ROUND(((H9-IF(J9&gt;O9-1,0,L9))*G9),2))</f>
        <v>-1871.59999999998</v>
      </c>
      <c r="Q9" s="16" t="n">
        <v>0</v>
      </c>
      <c r="R9" s="54" t="n">
        <f aca="false">+P9+Q9</f>
        <v>-1871.59999999998</v>
      </c>
      <c r="S9" s="16" t="n">
        <v>0</v>
      </c>
      <c r="T9" s="16" t="n">
        <f aca="false">IF(Summary!$E$5&lt;'Daily Position'!B9,0,ROUND(+U9*(H9-L9),2)+M9-I9)</f>
        <v>7486.37</v>
      </c>
      <c r="U9" s="25" t="n">
        <f aca="false">+VLOOKUP(+Summary!$E$5,StkPrices,+'Stock Prices'!J$2)</f>
        <v>6</v>
      </c>
      <c r="V9" s="25"/>
      <c r="W9" s="55" t="n">
        <f aca="false">+N9*H9-'MPR Raptor'!U68</f>
        <v>0</v>
      </c>
      <c r="X9" s="57"/>
      <c r="Z9" s="16" t="n">
        <v>0</v>
      </c>
      <c r="AA9" s="54" t="n">
        <v>-82350.13</v>
      </c>
      <c r="AB9" s="16" t="n">
        <f aca="false">+Q9-Z9</f>
        <v>0</v>
      </c>
      <c r="AC9" s="16" t="n">
        <f aca="false">ROUND(+R9-AA9,2)</f>
        <v>80478.53</v>
      </c>
      <c r="AD9" s="55" t="n">
        <f aca="false">-AC9+'MPR Raptor'!AH68</f>
        <v>0.00125000000116415</v>
      </c>
    </row>
    <row r="10" customFormat="false" ht="15.75" hidden="false" customHeight="false" outlineLevel="0" collapsed="false">
      <c r="A10" s="0" t="s">
        <v>53</v>
      </c>
      <c r="B10" s="23" t="n">
        <v>36741</v>
      </c>
      <c r="C10" s="23" t="n">
        <v>37836</v>
      </c>
      <c r="D10" s="24" t="s">
        <v>45</v>
      </c>
      <c r="E10" s="16" t="n">
        <v>0</v>
      </c>
      <c r="F10" s="24" t="s">
        <v>46</v>
      </c>
      <c r="G10" s="25" t="n">
        <v>1.68395</v>
      </c>
      <c r="H10" s="26" t="n">
        <v>735000</v>
      </c>
      <c r="I10" s="16" t="n">
        <f aca="false">ROUND(+G10*H10,2)</f>
        <v>1237703.25</v>
      </c>
      <c r="J10" s="27" t="n">
        <v>36839</v>
      </c>
      <c r="K10" s="25" t="n">
        <v>1.93798449612403</v>
      </c>
      <c r="L10" s="26" t="n">
        <f aca="false">+H10</f>
        <v>735000</v>
      </c>
      <c r="M10" s="16" t="n">
        <f aca="false">+K10*L10</f>
        <v>1424418.60465116</v>
      </c>
      <c r="N10" s="25" t="n">
        <f aca="false">VLOOKUP(+O10,StkPrices,+'Stock Prices'!E$2)</f>
        <v>0</v>
      </c>
      <c r="O10" s="27" t="n">
        <f aca="false">+Summary!$C$5</f>
        <v>36962</v>
      </c>
      <c r="P10" s="16" t="n">
        <f aca="false">IF(O10&lt;B10,0,ROUND((+N10*(H10-IF(J10&gt;O10-1,0,L10))),2)-ROUND(((H10-IF(J10&gt;O10-1,0,L10))*G10),2))</f>
        <v>0</v>
      </c>
      <c r="Q10" s="16" t="n">
        <f aca="false">IF(J10&lt;(O10+1),(+K10-G10)*L10,0)</f>
        <v>186715.354651162</v>
      </c>
      <c r="R10" s="54" t="n">
        <f aca="false">+P10+Q10</f>
        <v>186715.354651162</v>
      </c>
      <c r="S10" s="16" t="n">
        <f aca="false">IF(J10&lt;O10,+Q10,0)</f>
        <v>186715.354651162</v>
      </c>
      <c r="T10" s="16" t="n">
        <f aca="false">IF(Summary!$E$5&lt;'Daily Position'!B10,0,ROUND(+U10*(H10-L10),2)+M10-I10)</f>
        <v>186715.354651162</v>
      </c>
      <c r="U10" s="25" t="n">
        <f aca="false">IF(X10&gt;O9,+VLOOKUP(+Summary!$E$5,StkPrices,'Stock Prices'!E2),+'Stock Prices'!E76)</f>
        <v>1.93798449612403</v>
      </c>
      <c r="V10" s="25"/>
      <c r="W10" s="55"/>
      <c r="X10" s="60"/>
      <c r="Z10" s="16" t="n">
        <v>186715.354651162</v>
      </c>
      <c r="AA10" s="54" t="n">
        <v>186715.354651162</v>
      </c>
      <c r="AB10" s="16" t="n">
        <f aca="false">+Q10-Z10</f>
        <v>0</v>
      </c>
      <c r="AC10" s="16" t="n">
        <f aca="false">ROUND(+R10-AA10,2)</f>
        <v>0</v>
      </c>
      <c r="AD10" s="55" t="n">
        <f aca="false">-AC10</f>
        <v>-0</v>
      </c>
    </row>
    <row r="11" customFormat="false" ht="15.75" hidden="false" customHeight="false" outlineLevel="0" collapsed="false">
      <c r="A11" s="0" t="s">
        <v>54</v>
      </c>
      <c r="B11" s="23" t="n">
        <v>36741</v>
      </c>
      <c r="C11" s="23" t="n">
        <v>37836</v>
      </c>
      <c r="D11" s="24" t="s">
        <v>45</v>
      </c>
      <c r="E11" s="16" t="n">
        <v>0</v>
      </c>
      <c r="F11" s="24" t="s">
        <v>46</v>
      </c>
      <c r="G11" s="25" t="n">
        <f aca="false">IF(X11&lt;Summary!C5,0.09/(16891/2634952),0.09)</f>
        <v>14.0397655556213</v>
      </c>
      <c r="H11" s="26" t="n">
        <f aca="false">IF(X11&lt;Summary!C5,1580971.2*(16891/2634952),1580971.2)</f>
        <v>10134.6</v>
      </c>
      <c r="I11" s="16" t="n">
        <f aca="false">ROUND(+G11*H11,2)</f>
        <v>142287.41</v>
      </c>
      <c r="J11" s="27"/>
      <c r="K11" s="25"/>
      <c r="L11" s="26"/>
      <c r="N11" s="25" t="n">
        <f aca="false">VLOOKUP(+O11,StkPrices,+'Stock Prices'!F$2)</f>
        <v>8.3125</v>
      </c>
      <c r="O11" s="27" t="n">
        <f aca="false">+Summary!$C$5</f>
        <v>36962</v>
      </c>
      <c r="P11" s="16" t="n">
        <f aca="false">IF(O11&lt;B11,0,ROUND((+N11*(H11-IF(J11&gt;O11-1,0,L11))),2)-ROUND(((H11-IF(J11&gt;O11-1,0,L11))*G11),2))</f>
        <v>-58043.55</v>
      </c>
      <c r="Q11" s="16" t="n">
        <f aca="false">IF(J11&lt;(O11+1),(+K11-G11)*L11,0)</f>
        <v>-0</v>
      </c>
      <c r="R11" s="54" t="n">
        <f aca="false">+P11+Q11</f>
        <v>-58043.55</v>
      </c>
      <c r="S11" s="16" t="n">
        <f aca="false">IF(J11&lt;O11,+Q11,0)</f>
        <v>-0</v>
      </c>
      <c r="T11" s="16" t="n">
        <f aca="false">IF(Summary!$E$5&lt;'Daily Position'!B11,0,ROUND(+U11*(H11-L11),2)+M11-I11)</f>
        <v>-59310.37</v>
      </c>
      <c r="U11" s="25" t="n">
        <f aca="false">IF(O11=(X11+1),+'Stock Prices'!F65/(229391/12234952),+VLOOKUP(+Summary!$E$5,StkPrices,'Stock Prices'!F2))</f>
        <v>8.1875</v>
      </c>
      <c r="V11" s="25"/>
      <c r="W11" s="55" t="n">
        <f aca="false">+N11*(H11+H12-L11-L12)-'MPR Raptor'!U46</f>
        <v>0</v>
      </c>
      <c r="X11" s="60" t="n">
        <v>36824</v>
      </c>
      <c r="Y11" s="26" t="s">
        <v>55</v>
      </c>
      <c r="Z11" s="16" t="n">
        <v>0</v>
      </c>
      <c r="AA11" s="54" t="n">
        <v>-62477.43</v>
      </c>
      <c r="AB11" s="16" t="n">
        <f aca="false">+Q11-Z11</f>
        <v>-0</v>
      </c>
      <c r="AC11" s="16" t="n">
        <f aca="false">ROUND(+R11-AA11,2)</f>
        <v>4433.88</v>
      </c>
      <c r="AD11" s="55" t="n">
        <f aca="false">-AC11+'MPR Raptor'!AH46</f>
        <v>0.00750000036350684</v>
      </c>
    </row>
    <row r="12" customFormat="false" ht="15.75" hidden="false" customHeight="false" outlineLevel="0" collapsed="false">
      <c r="A12" s="0" t="s">
        <v>56</v>
      </c>
      <c r="B12" s="23" t="n">
        <v>36741</v>
      </c>
      <c r="C12" s="23" t="n">
        <v>37836</v>
      </c>
      <c r="D12" s="24" t="s">
        <v>45</v>
      </c>
      <c r="E12" s="16" t="n">
        <v>0</v>
      </c>
      <c r="F12" s="24" t="s">
        <v>46</v>
      </c>
      <c r="G12" s="25" t="n">
        <f aca="false">IF(X11&lt;Summary!C5,0.09/(212500/9600000),0.09)</f>
        <v>4.06588235294118</v>
      </c>
      <c r="H12" s="26" t="n">
        <f aca="false">IF(X11&lt;Summary!C5,5760000*(212500/9600000),5760000)</f>
        <v>127500</v>
      </c>
      <c r="I12" s="16" t="n">
        <f aca="false">ROUND(+G12*H12,2)</f>
        <v>518400</v>
      </c>
      <c r="J12" s="27" t="n">
        <v>36874</v>
      </c>
      <c r="K12" s="25" t="n">
        <f aca="false">+M12/L12</f>
        <v>6.99976470588235</v>
      </c>
      <c r="L12" s="26" t="n">
        <v>127500</v>
      </c>
      <c r="M12" s="16" t="n">
        <v>892470</v>
      </c>
      <c r="N12" s="25" t="n">
        <f aca="false">VLOOKUP(+O12,StkPrices,+'Stock Prices'!F$2)</f>
        <v>8.3125</v>
      </c>
      <c r="O12" s="27" t="n">
        <f aca="false">+Summary!$C$5</f>
        <v>36962</v>
      </c>
      <c r="P12" s="16" t="n">
        <f aca="false">IF(O12&lt;B12,0,ROUND((+N12*(H12-IF(J12&gt;O12-1,0,L12))),2)-ROUND(((H12-IF(J12&gt;O12-1,0,L12))*G12),2))</f>
        <v>0</v>
      </c>
      <c r="Q12" s="16" t="n">
        <f aca="false">IF(J12&lt;(O12+1),(+K12-G12)*L12,0)</f>
        <v>374070</v>
      </c>
      <c r="R12" s="54" t="n">
        <f aca="false">+P12+Q12</f>
        <v>374070</v>
      </c>
      <c r="S12" s="16" t="n">
        <f aca="false">IF(J12&lt;O12,+Q12,0)</f>
        <v>374070</v>
      </c>
      <c r="T12" s="16" t="n">
        <f aca="false">IF(Summary!$E$5&lt;'Daily Position'!B12,0,ROUND(+U12*(H12-L12),2)+M12-I12)</f>
        <v>374070</v>
      </c>
      <c r="U12" s="25" t="n">
        <f aca="false">IF(O12=(X12+1),+'Stock Prices'!F66/(229391/12234952),+VLOOKUP(+Summary!$E$5,StkPrices,'Stock Prices'!F2))</f>
        <v>8.1875</v>
      </c>
      <c r="V12" s="25"/>
      <c r="W12" s="55"/>
      <c r="X12" s="60" t="n">
        <v>36824</v>
      </c>
      <c r="Y12" s="26" t="s">
        <v>55</v>
      </c>
      <c r="Z12" s="16" t="n">
        <v>374070</v>
      </c>
      <c r="AA12" s="54" t="n">
        <v>374070</v>
      </c>
      <c r="AB12" s="16" t="n">
        <f aca="false">+Q12-Z12</f>
        <v>0</v>
      </c>
      <c r="AC12" s="16" t="n">
        <f aca="false">ROUND(+R12-AA12,2)</f>
        <v>0</v>
      </c>
      <c r="AD12" s="55" t="n">
        <f aca="false">-AC12</f>
        <v>-0</v>
      </c>
    </row>
    <row r="13" customFormat="false" ht="15.75" hidden="false" customHeight="false" outlineLevel="0" collapsed="false">
      <c r="A13" s="0" t="s">
        <v>57</v>
      </c>
      <c r="B13" s="23" t="n">
        <v>36741</v>
      </c>
      <c r="C13" s="23" t="n">
        <v>37836</v>
      </c>
      <c r="D13" s="24" t="s">
        <v>45</v>
      </c>
      <c r="E13" s="16" t="n">
        <v>0</v>
      </c>
      <c r="F13" s="24" t="s">
        <v>46</v>
      </c>
      <c r="G13" s="25" t="n">
        <v>7.625</v>
      </c>
      <c r="H13" s="26" t="n">
        <v>804243</v>
      </c>
      <c r="I13" s="16" t="n">
        <f aca="false">ROUND(+G13*H13,2)</f>
        <v>6132352.88</v>
      </c>
      <c r="J13" s="27" t="n">
        <v>36868</v>
      </c>
      <c r="K13" s="25" t="n">
        <f aca="false">+M13/L13</f>
        <v>6.7199995523741</v>
      </c>
      <c r="L13" s="26" t="n">
        <f aca="false">+H13</f>
        <v>804243</v>
      </c>
      <c r="M13" s="16" t="n">
        <v>5404512.6</v>
      </c>
      <c r="N13" s="25" t="n">
        <f aca="false">VLOOKUP(+O13,StkPrices,+'Stock Prices'!K$2)</f>
        <v>0</v>
      </c>
      <c r="O13" s="27" t="n">
        <f aca="false">+Summary!$C$5</f>
        <v>36962</v>
      </c>
      <c r="P13" s="16" t="n">
        <f aca="false">IF(O13&lt;B13,0,ROUND((+N13*(H13-IF(J13&gt;O13-1,0,L13))),2)-ROUND(((H13-IF(J13&gt;O13-1,0,L13))*G13),2))</f>
        <v>0</v>
      </c>
      <c r="Q13" s="16" t="n">
        <f aca="false">IF(J13&lt;(O13+1),(+K13-G13)*L13,0)</f>
        <v>-727840.275</v>
      </c>
      <c r="R13" s="54" t="n">
        <f aca="false">+P13+Q13</f>
        <v>-727840.275</v>
      </c>
      <c r="S13" s="16" t="n">
        <f aca="false">IF(J13&lt;O13,+Q13,0)</f>
        <v>-727840.275</v>
      </c>
      <c r="T13" s="16" t="n">
        <f aca="false">IF(Summary!$E$5&lt;'Daily Position'!B13,0,ROUND(+U13*(H13-L13),2)+M13-I13)</f>
        <v>-727840.28</v>
      </c>
      <c r="U13" s="25" t="n">
        <f aca="false">+VLOOKUP(+Summary!$E$5,StkPrices,+'Stock Prices'!K$2)</f>
        <v>0</v>
      </c>
      <c r="V13" s="25"/>
      <c r="W13" s="55"/>
      <c r="X13" s="60"/>
      <c r="Z13" s="16" t="n">
        <v>-727840.275</v>
      </c>
      <c r="AA13" s="54" t="n">
        <v>-727840.28</v>
      </c>
      <c r="AB13" s="16" t="n">
        <f aca="false">+Q13-Z13</f>
        <v>0</v>
      </c>
      <c r="AC13" s="16" t="n">
        <f aca="false">ROUND(+R13-AA13,2)</f>
        <v>0</v>
      </c>
      <c r="AD13" s="55" t="n">
        <f aca="false">-AC13</f>
        <v>-0</v>
      </c>
    </row>
    <row r="14" customFormat="false" ht="15.75" hidden="false" customHeight="false" outlineLevel="0" collapsed="false">
      <c r="N14" s="25"/>
      <c r="P14" s="16"/>
      <c r="Q14" s="16"/>
      <c r="R14" s="54"/>
      <c r="T14" s="16"/>
      <c r="U14" s="16"/>
      <c r="V14" s="16"/>
      <c r="AA14" s="54"/>
      <c r="AC14" s="16"/>
    </row>
    <row r="15" customFormat="false" ht="15.75" hidden="false" customHeight="false" outlineLevel="0" collapsed="false">
      <c r="A15" s="49" t="s">
        <v>58</v>
      </c>
      <c r="N15" s="25"/>
      <c r="P15" s="16"/>
      <c r="Q15" s="16"/>
      <c r="R15" s="54"/>
      <c r="T15" s="16"/>
      <c r="U15" s="16"/>
      <c r="V15" s="16"/>
      <c r="AA15" s="54"/>
      <c r="AC15" s="16"/>
    </row>
    <row r="16" customFormat="false" ht="15.75" hidden="false" customHeight="false" outlineLevel="0" collapsed="false">
      <c r="A16" s="61" t="s">
        <v>59</v>
      </c>
      <c r="B16" s="23" t="n">
        <v>36741</v>
      </c>
      <c r="C16" s="23" t="n">
        <v>37836</v>
      </c>
      <c r="D16" s="24" t="s">
        <v>45</v>
      </c>
      <c r="E16" s="16" t="n">
        <v>0</v>
      </c>
      <c r="F16" s="24" t="s">
        <v>46</v>
      </c>
      <c r="I16" s="16" t="n">
        <v>1250000</v>
      </c>
      <c r="N16" s="16" t="n">
        <f aca="false">VLOOKUP(+O16,Privates,V16)</f>
        <v>1250000</v>
      </c>
      <c r="O16" s="27" t="n">
        <f aca="false">+Summary!$C$5</f>
        <v>36962</v>
      </c>
      <c r="P16" s="16" t="n">
        <f aca="false">IF(O16&lt;B16,0,(+N16-I16-Q16))</f>
        <v>0</v>
      </c>
      <c r="Q16" s="16" t="n">
        <v>0</v>
      </c>
      <c r="R16" s="54" t="n">
        <f aca="false">+P16+Q16</f>
        <v>0</v>
      </c>
      <c r="S16" s="16" t="n">
        <v>0</v>
      </c>
      <c r="T16" s="16" t="n">
        <f aca="false">+U16-I16</f>
        <v>0</v>
      </c>
      <c r="U16" s="16" t="n">
        <f aca="false">VLOOKUP(+Summary!$E$5,Privates,V16)</f>
        <v>1250000</v>
      </c>
      <c r="V16" s="62" t="n">
        <v>2</v>
      </c>
      <c r="W16" s="55" t="n">
        <f aca="false">+N16-'MPR Raptor'!U63+'Private Cash'!B375</f>
        <v>0</v>
      </c>
      <c r="Z16" s="16" t="n">
        <v>0</v>
      </c>
      <c r="AA16" s="54" t="n">
        <v>0</v>
      </c>
      <c r="AB16" s="16" t="n">
        <f aca="false">+Q16-Z16</f>
        <v>0</v>
      </c>
      <c r="AC16" s="16" t="n">
        <f aca="false">ROUND(+R16-AA16,2)</f>
        <v>0</v>
      </c>
      <c r="AD16" s="55" t="n">
        <f aca="false">-AC16+'MPR Raptor'!AH63</f>
        <v>0</v>
      </c>
    </row>
    <row r="17" customFormat="false" ht="15.75" hidden="false" customHeight="false" outlineLevel="0" collapsed="false">
      <c r="A17" s="58" t="s">
        <v>60</v>
      </c>
      <c r="B17" s="23" t="n">
        <v>36741</v>
      </c>
      <c r="C17" s="23" t="n">
        <v>37836</v>
      </c>
      <c r="D17" s="24" t="s">
        <v>45</v>
      </c>
      <c r="E17" s="16" t="n">
        <v>0</v>
      </c>
      <c r="F17" s="24" t="s">
        <v>46</v>
      </c>
      <c r="I17" s="16" t="n">
        <v>4563600</v>
      </c>
      <c r="N17" s="16" t="n">
        <f aca="false">VLOOKUP(+O17,Privates,V17)</f>
        <v>4375178.69</v>
      </c>
      <c r="O17" s="27" t="n">
        <f aca="false">+Summary!$C$5</f>
        <v>36962</v>
      </c>
      <c r="P17" s="16" t="n">
        <f aca="false">IF(O17&lt;B17,0,(+N17-I17-Q17))</f>
        <v>-188421.31</v>
      </c>
      <c r="Q17" s="16" t="n">
        <v>0</v>
      </c>
      <c r="R17" s="54" t="n">
        <f aca="false">+P17+Q17</f>
        <v>-188421.31</v>
      </c>
      <c r="S17" s="16" t="n">
        <v>0</v>
      </c>
      <c r="T17" s="16" t="n">
        <f aca="false">+U17-I17</f>
        <v>-188421.31</v>
      </c>
      <c r="U17" s="16" t="n">
        <f aca="false">VLOOKUP(+Summary!$E$5,Privates,V17)</f>
        <v>4375178.69</v>
      </c>
      <c r="V17" s="62" t="n">
        <f aca="false">+V16+1</f>
        <v>3</v>
      </c>
      <c r="W17" s="55" t="n">
        <f aca="false">+N17-'MPR Raptor'!U10+'Private Cash'!C375</f>
        <v>0</v>
      </c>
      <c r="Z17" s="16" t="n">
        <v>0</v>
      </c>
      <c r="AA17" s="54" t="n">
        <v>-188421.31</v>
      </c>
      <c r="AB17" s="16" t="n">
        <f aca="false">+Q17-Z17</f>
        <v>0</v>
      </c>
      <c r="AC17" s="16" t="n">
        <f aca="false">ROUND(+R17-AA17,2)</f>
        <v>0</v>
      </c>
      <c r="AD17" s="55" t="n">
        <f aca="false">'MPR Raptor'!AH10-AC17</f>
        <v>0</v>
      </c>
    </row>
    <row r="18" customFormat="false" ht="15.75" hidden="false" customHeight="false" outlineLevel="0" collapsed="false">
      <c r="A18" s="58" t="s">
        <v>61</v>
      </c>
      <c r="B18" s="23" t="n">
        <v>36741</v>
      </c>
      <c r="C18" s="23" t="n">
        <v>37836</v>
      </c>
      <c r="D18" s="24" t="s">
        <v>45</v>
      </c>
      <c r="E18" s="16" t="n">
        <v>0</v>
      </c>
      <c r="F18" s="24" t="s">
        <v>46</v>
      </c>
      <c r="I18" s="16" t="n">
        <v>2136334</v>
      </c>
      <c r="J18" s="27"/>
      <c r="K18" s="25"/>
      <c r="L18" s="26"/>
      <c r="N18" s="16" t="n">
        <f aca="false">VLOOKUP(+O18,Privates,V18)</f>
        <v>1247943.5</v>
      </c>
      <c r="O18" s="27" t="n">
        <f aca="false">+Summary!$C$5</f>
        <v>36962</v>
      </c>
      <c r="P18" s="16" t="n">
        <f aca="false">IF(O18&lt;B18,0,(+N18-I18-Q18))</f>
        <v>-888390.5</v>
      </c>
      <c r="Q18" s="16" t="n">
        <v>0</v>
      </c>
      <c r="R18" s="54" t="n">
        <f aca="false">+P18+Q18</f>
        <v>-888390.5</v>
      </c>
      <c r="S18" s="16" t="n">
        <v>0</v>
      </c>
      <c r="T18" s="16" t="n">
        <f aca="false">+U18-I18</f>
        <v>-888390.5</v>
      </c>
      <c r="U18" s="16" t="n">
        <f aca="false">VLOOKUP(+Summary!$E$5,Privates,V18)-'Private Cash'!D375</f>
        <v>1247943.5</v>
      </c>
      <c r="V18" s="62" t="n">
        <f aca="false">+V17+1</f>
        <v>4</v>
      </c>
      <c r="W18" s="55" t="n">
        <f aca="false">+N18-'MPR Raptor'!U41-'MPR Raptor'!U42+'Private Cash'!D375</f>
        <v>0</v>
      </c>
      <c r="Z18" s="16" t="n">
        <v>0</v>
      </c>
      <c r="AA18" s="54" t="n">
        <v>-713159.63</v>
      </c>
      <c r="AB18" s="16" t="n">
        <f aca="false">+Q18-Z18</f>
        <v>0</v>
      </c>
      <c r="AC18" s="16" t="n">
        <f aca="false">ROUND(+R18-AA18,2)</f>
        <v>-175230.87</v>
      </c>
      <c r="AD18" s="55" t="n">
        <f aca="false">-AC18+'MPR Raptor'!AH41+'MPR Raptor'!AH42</f>
        <v>0.299999999988358</v>
      </c>
    </row>
    <row r="19" customFormat="false" ht="15.75" hidden="false" customHeight="false" outlineLevel="0" collapsed="false">
      <c r="A19" s="58" t="s">
        <v>62</v>
      </c>
      <c r="B19" s="23" t="n">
        <v>36741</v>
      </c>
      <c r="C19" s="23" t="n">
        <v>37836</v>
      </c>
      <c r="D19" s="24" t="s">
        <v>45</v>
      </c>
      <c r="E19" s="16" t="n">
        <v>0</v>
      </c>
      <c r="F19" s="24" t="s">
        <v>46</v>
      </c>
      <c r="I19" s="16" t="n">
        <v>429975</v>
      </c>
      <c r="J19" s="27" t="n">
        <v>36888</v>
      </c>
      <c r="K19" s="25" t="s">
        <v>63</v>
      </c>
      <c r="L19" s="26"/>
      <c r="M19" s="16" t="n">
        <f aca="false">-'Private Cash'!E375</f>
        <v>372147.13</v>
      </c>
      <c r="N19" s="16" t="n">
        <f aca="false">VLOOKUP(+O19,Privates,V19)</f>
        <v>0</v>
      </c>
      <c r="O19" s="27" t="n">
        <f aca="false">+Summary!$C$5</f>
        <v>36962</v>
      </c>
      <c r="P19" s="16" t="n">
        <f aca="false">IF(O19&lt;B19,0,IF(O19+1&gt;J19,0,(+N19-I19-Q19)))</f>
        <v>0</v>
      </c>
      <c r="Q19" s="16" t="n">
        <f aca="false">IF(O19+1&gt;J19,+M19-I19,0)</f>
        <v>-57827.87</v>
      </c>
      <c r="R19" s="54" t="n">
        <f aca="false">+P19+Q19</f>
        <v>-57827.87</v>
      </c>
      <c r="S19" s="16" t="n">
        <f aca="false">IF(O19&gt;J19,+Q19,0)</f>
        <v>-57827.87</v>
      </c>
      <c r="T19" s="16" t="n">
        <f aca="false">+U19-I19</f>
        <v>-57827.87</v>
      </c>
      <c r="U19" s="16" t="n">
        <f aca="false">VLOOKUP(+Summary!$E$5,Privates,V19)-'Private Cash'!E375</f>
        <v>372147.13</v>
      </c>
      <c r="V19" s="62" t="n">
        <f aca="false">+V18+1</f>
        <v>5</v>
      </c>
      <c r="W19" s="55"/>
      <c r="Z19" s="16" t="n">
        <v>-57827.87</v>
      </c>
      <c r="AA19" s="54" t="n">
        <v>-57827.87</v>
      </c>
      <c r="AB19" s="16" t="n">
        <f aca="false">+Q19-Z19</f>
        <v>0</v>
      </c>
      <c r="AC19" s="16" t="n">
        <f aca="false">ROUND(+R19-AA19,2)</f>
        <v>0</v>
      </c>
      <c r="AD19" s="55" t="n">
        <f aca="false">-AC19</f>
        <v>-0</v>
      </c>
    </row>
    <row r="20" customFormat="false" ht="15.75" hidden="false" customHeight="false" outlineLevel="0" collapsed="false">
      <c r="A20" s="58" t="s">
        <v>64</v>
      </c>
      <c r="B20" s="23" t="n">
        <v>36741</v>
      </c>
      <c r="C20" s="23" t="n">
        <v>37836</v>
      </c>
      <c r="D20" s="24" t="s">
        <v>45</v>
      </c>
      <c r="E20" s="16" t="n">
        <v>0</v>
      </c>
      <c r="F20" s="24" t="s">
        <v>46</v>
      </c>
      <c r="I20" s="16" t="n">
        <f aca="false">12500000</f>
        <v>12500000</v>
      </c>
      <c r="J20" s="27" t="n">
        <v>36831</v>
      </c>
      <c r="K20" s="25" t="s">
        <v>63</v>
      </c>
      <c r="L20" s="26"/>
      <c r="M20" s="16" t="n">
        <f aca="false">12500000+65507.43+3.57</f>
        <v>12565511</v>
      </c>
      <c r="N20" s="16" t="n">
        <f aca="false">VLOOKUP(+O20,Privates,V20)</f>
        <v>0</v>
      </c>
      <c r="O20" s="27" t="n">
        <f aca="false">+Summary!$C$5</f>
        <v>36962</v>
      </c>
      <c r="P20" s="16" t="n">
        <f aca="false">IF(O20&lt;B20,0,IF(O20+1&gt;J20,0,(+N20-I20-Q20)))</f>
        <v>0</v>
      </c>
      <c r="Q20" s="16" t="n">
        <f aca="false">IF(O20+1&gt;J20,+M20-I20,0)</f>
        <v>65511</v>
      </c>
      <c r="R20" s="54" t="n">
        <f aca="false">+P20+Q20</f>
        <v>65511</v>
      </c>
      <c r="S20" s="16" t="n">
        <f aca="false">IF(O20&gt;J20,+Q20,0)</f>
        <v>65511</v>
      </c>
      <c r="T20" s="16" t="n">
        <f aca="false">+U20-I20</f>
        <v>65511</v>
      </c>
      <c r="U20" s="16" t="n">
        <f aca="false">VLOOKUP(+Summary!$E$5,Privates,V20)-'Private Cash'!F375</f>
        <v>12565511</v>
      </c>
      <c r="V20" s="62" t="n">
        <f aca="false">+V19+1</f>
        <v>6</v>
      </c>
      <c r="W20" s="55"/>
      <c r="X20" s="59"/>
      <c r="Z20" s="16" t="n">
        <v>65511</v>
      </c>
      <c r="AA20" s="54" t="n">
        <v>65511</v>
      </c>
      <c r="AB20" s="16" t="n">
        <f aca="false">+Q20-Z20</f>
        <v>0</v>
      </c>
      <c r="AC20" s="16" t="n">
        <f aca="false">ROUND(+R20-AA20,2)</f>
        <v>0</v>
      </c>
      <c r="AD20" s="55" t="n">
        <f aca="false">-AC20</f>
        <v>-0</v>
      </c>
    </row>
    <row r="21" customFormat="false" ht="15.75" hidden="false" customHeight="false" outlineLevel="0" collapsed="false">
      <c r="A21" s="58" t="s">
        <v>65</v>
      </c>
      <c r="B21" s="23" t="n">
        <v>36741</v>
      </c>
      <c r="C21" s="23" t="n">
        <v>37836</v>
      </c>
      <c r="D21" s="24" t="s">
        <v>45</v>
      </c>
      <c r="E21" s="16" t="n">
        <v>0</v>
      </c>
      <c r="F21" s="24" t="s">
        <v>46</v>
      </c>
      <c r="G21" s="25" t="n">
        <f aca="false">IF(O21&lt;X21,3870.5,0)</f>
        <v>0</v>
      </c>
      <c r="H21" s="26" t="n">
        <f aca="false">IF(O21&lt;X21,30000,0)</f>
        <v>0</v>
      </c>
      <c r="I21" s="16" t="n">
        <f aca="false">ROUND(+G21*H21,2)</f>
        <v>0</v>
      </c>
      <c r="N21" s="16" t="n">
        <f aca="false">VLOOKUP(+O21,Privates,V21)</f>
        <v>0</v>
      </c>
      <c r="O21" s="27" t="n">
        <f aca="false">+Summary!$C$5</f>
        <v>36962</v>
      </c>
      <c r="P21" s="16" t="n">
        <f aca="false">IF(O21&lt;B21,0,(+N21-I21-Q21))</f>
        <v>0</v>
      </c>
      <c r="Q21" s="16" t="n">
        <v>0</v>
      </c>
      <c r="R21" s="54" t="n">
        <f aca="false">+P21+Q21</f>
        <v>0</v>
      </c>
      <c r="S21" s="16" t="n">
        <v>0</v>
      </c>
      <c r="T21" s="16" t="n">
        <f aca="false">+U21-I21</f>
        <v>0</v>
      </c>
      <c r="U21" s="16" t="n">
        <f aca="false">VLOOKUP(+Summary!$E$5,Privates,V21)</f>
        <v>0</v>
      </c>
      <c r="V21" s="62" t="n">
        <f aca="false">+V20+1</f>
        <v>7</v>
      </c>
      <c r="W21" s="55"/>
      <c r="X21" s="59" t="n">
        <v>36874</v>
      </c>
      <c r="Y21" s="0" t="s">
        <v>51</v>
      </c>
      <c r="Z21" s="16" t="n">
        <v>0</v>
      </c>
      <c r="AA21" s="54" t="n">
        <v>0</v>
      </c>
      <c r="AB21" s="16" t="n">
        <f aca="false">+Q21-Z21</f>
        <v>0</v>
      </c>
      <c r="AC21" s="16" t="n">
        <f aca="false">ROUND(+R21-AA21,2)</f>
        <v>0</v>
      </c>
      <c r="AD21" s="55" t="n">
        <f aca="false">-AC21</f>
        <v>-0</v>
      </c>
    </row>
    <row r="22" customFormat="false" ht="15.75" hidden="false" customHeight="false" outlineLevel="0" collapsed="false">
      <c r="A22" s="58" t="s">
        <v>66</v>
      </c>
      <c r="B22" s="23" t="n">
        <v>36741</v>
      </c>
      <c r="C22" s="23" t="n">
        <v>37836</v>
      </c>
      <c r="D22" s="24" t="s">
        <v>45</v>
      </c>
      <c r="E22" s="16" t="n">
        <v>0</v>
      </c>
      <c r="F22" s="24" t="s">
        <v>46</v>
      </c>
      <c r="I22" s="16" t="n">
        <v>1663000</v>
      </c>
      <c r="N22" s="16" t="n">
        <f aca="false">VLOOKUP(+O22,Privates,V22)</f>
        <v>1663000</v>
      </c>
      <c r="O22" s="27" t="n">
        <f aca="false">+Summary!$C$5</f>
        <v>36962</v>
      </c>
      <c r="P22" s="16" t="n">
        <f aca="false">IF(O22&lt;B22,0,(+N22-I22-Q22))</f>
        <v>0</v>
      </c>
      <c r="Q22" s="16" t="n">
        <v>0</v>
      </c>
      <c r="R22" s="54" t="n">
        <f aca="false">+P22+Q22</f>
        <v>0</v>
      </c>
      <c r="S22" s="16" t="n">
        <v>0</v>
      </c>
      <c r="T22" s="16" t="n">
        <f aca="false">+U22-I22</f>
        <v>0</v>
      </c>
      <c r="U22" s="16" t="n">
        <f aca="false">VLOOKUP(+Summary!$E$5,Privates,V22)</f>
        <v>1663000</v>
      </c>
      <c r="V22" s="62" t="n">
        <f aca="false">+V21+1</f>
        <v>8</v>
      </c>
      <c r="W22" s="55" t="n">
        <f aca="false">+N22-'MPR Raptor'!U64+'Private Cash'!H375</f>
        <v>0</v>
      </c>
      <c r="Z22" s="16" t="n">
        <v>0</v>
      </c>
      <c r="AA22" s="54" t="n">
        <v>0</v>
      </c>
      <c r="AB22" s="16" t="n">
        <f aca="false">+Q22-Z22</f>
        <v>0</v>
      </c>
      <c r="AC22" s="16" t="n">
        <f aca="false">ROUND(+R22-AA22,2)</f>
        <v>0</v>
      </c>
      <c r="AD22" s="55" t="n">
        <f aca="false">-AC22+'MPR Raptor'!AH64</f>
        <v>0</v>
      </c>
    </row>
    <row r="23" customFormat="false" ht="15.75" hidden="false" customHeight="false" outlineLevel="0" collapsed="false">
      <c r="A23" s="0" t="s">
        <v>67</v>
      </c>
      <c r="B23" s="23" t="n">
        <v>36741</v>
      </c>
      <c r="C23" s="23" t="n">
        <v>37836</v>
      </c>
      <c r="D23" s="24" t="s">
        <v>45</v>
      </c>
      <c r="E23" s="16" t="n">
        <v>0</v>
      </c>
      <c r="F23" s="24" t="s">
        <v>46</v>
      </c>
      <c r="I23" s="16" t="n">
        <f aca="false">12878050+0</f>
        <v>12878050</v>
      </c>
      <c r="N23" s="16" t="n">
        <f aca="false">VLOOKUP(+O23,Privates,V23)</f>
        <v>0</v>
      </c>
      <c r="O23" s="27" t="n">
        <f aca="false">+Summary!$C$5</f>
        <v>36962</v>
      </c>
      <c r="P23" s="16" t="n">
        <f aca="false">IF(O23&lt;B23,0,(+N23-I23-Q23))</f>
        <v>-12878050</v>
      </c>
      <c r="Q23" s="16" t="n">
        <v>0</v>
      </c>
      <c r="R23" s="54" t="n">
        <f aca="false">+P23+Q23</f>
        <v>-12878050</v>
      </c>
      <c r="S23" s="16" t="n">
        <v>0</v>
      </c>
      <c r="T23" s="16" t="n">
        <f aca="false">+U23-I23</f>
        <v>-12878050</v>
      </c>
      <c r="U23" s="16" t="n">
        <f aca="false">VLOOKUP(+Summary!$E$5,Privates,V23)</f>
        <v>0</v>
      </c>
      <c r="V23" s="62" t="n">
        <f aca="false">+V22+1</f>
        <v>9</v>
      </c>
      <c r="W23" s="55" t="n">
        <f aca="false">+N23-'MPR Raptor'!U48+'Private Cash'!I375</f>
        <v>0</v>
      </c>
      <c r="Z23" s="16" t="n">
        <v>0</v>
      </c>
      <c r="AA23" s="54" t="n">
        <v>-12878050</v>
      </c>
      <c r="AB23" s="16" t="n">
        <f aca="false">+Q23-Z23</f>
        <v>0</v>
      </c>
      <c r="AC23" s="16" t="n">
        <f aca="false">ROUND(+R23-AA23,2)</f>
        <v>0</v>
      </c>
      <c r="AD23" s="55" t="n">
        <f aca="false">-AC23+'MPR Raptor'!AH48</f>
        <v>0</v>
      </c>
    </row>
    <row r="24" customFormat="false" ht="15.75" hidden="false" customHeight="false" outlineLevel="0" collapsed="false">
      <c r="A24" s="58" t="s">
        <v>68</v>
      </c>
      <c r="B24" s="23" t="n">
        <v>36741</v>
      </c>
      <c r="C24" s="23" t="n">
        <v>37836</v>
      </c>
      <c r="D24" s="24" t="s">
        <v>45</v>
      </c>
      <c r="E24" s="16" t="n">
        <v>0</v>
      </c>
      <c r="F24" s="24" t="s">
        <v>46</v>
      </c>
      <c r="I24" s="16" t="n">
        <v>1012500</v>
      </c>
      <c r="J24" s="27" t="n">
        <v>36889</v>
      </c>
      <c r="K24" s="25" t="s">
        <v>63</v>
      </c>
      <c r="L24" s="26"/>
      <c r="M24" s="16" t="n">
        <f aca="false">-'Private Cash'!J375</f>
        <v>125000</v>
      </c>
      <c r="N24" s="16" t="n">
        <f aca="false">VLOOKUP(+O24,Privates,V24)</f>
        <v>0</v>
      </c>
      <c r="O24" s="27" t="n">
        <f aca="false">+Summary!$C$5</f>
        <v>36962</v>
      </c>
      <c r="P24" s="16" t="n">
        <f aca="false">IF(O24&lt;B24,0,IF(O24+1&gt;J24,0,(+N24-I24-Q24)))</f>
        <v>0</v>
      </c>
      <c r="Q24" s="16" t="n">
        <f aca="false">IF(O24+1&gt;J24,+M24-I24,0)</f>
        <v>-887500</v>
      </c>
      <c r="R24" s="54" t="n">
        <f aca="false">+P24+Q24</f>
        <v>-887500</v>
      </c>
      <c r="S24" s="16" t="n">
        <f aca="false">IF(O24&gt;J24,+Q24,0)</f>
        <v>-887500</v>
      </c>
      <c r="T24" s="16" t="n">
        <f aca="false">+U24-I24</f>
        <v>-887500</v>
      </c>
      <c r="U24" s="16" t="n">
        <f aca="false">VLOOKUP(+Summary!$E$5,Privates,V24)-'Private Cash'!J375</f>
        <v>125000</v>
      </c>
      <c r="V24" s="62" t="n">
        <f aca="false">+V23+1</f>
        <v>10</v>
      </c>
      <c r="W24" s="55"/>
      <c r="Z24" s="16" t="n">
        <v>-887500</v>
      </c>
      <c r="AA24" s="54" t="n">
        <v>-887500</v>
      </c>
      <c r="AB24" s="16" t="n">
        <f aca="false">+Q24-Z24</f>
        <v>0</v>
      </c>
      <c r="AC24" s="16" t="n">
        <f aca="false">ROUND(+R24-AA24,2)</f>
        <v>0</v>
      </c>
      <c r="AD24" s="55" t="n">
        <f aca="false">+AC24</f>
        <v>0</v>
      </c>
    </row>
    <row r="25" customFormat="false" ht="15.75" hidden="false" customHeight="false" outlineLevel="0" collapsed="false">
      <c r="A25" s="58" t="s">
        <v>69</v>
      </c>
      <c r="B25" s="23" t="n">
        <v>36741</v>
      </c>
      <c r="C25" s="23" t="n">
        <v>37836</v>
      </c>
      <c r="D25" s="24" t="s">
        <v>45</v>
      </c>
      <c r="E25" s="16" t="n">
        <v>0</v>
      </c>
      <c r="F25" s="24" t="s">
        <v>46</v>
      </c>
      <c r="G25" s="25" t="n">
        <v>136.649295766461</v>
      </c>
      <c r="H25" s="26" t="n">
        <v>172031</v>
      </c>
      <c r="I25" s="16" t="n">
        <f aca="false">ROUND(+G25*H25,2)</f>
        <v>23507915</v>
      </c>
      <c r="N25" s="16" t="n">
        <f aca="false">VLOOKUP(+O25,Privates,V25)</f>
        <v>2.83122062683105E-007</v>
      </c>
      <c r="O25" s="27" t="n">
        <f aca="false">+Summary!$C$5</f>
        <v>36962</v>
      </c>
      <c r="P25" s="16" t="n">
        <f aca="false">IF(O25&lt;B25,0,(+N25-I25-Q25))</f>
        <v>-23507914.9999997</v>
      </c>
      <c r="Q25" s="16" t="n">
        <v>0</v>
      </c>
      <c r="R25" s="54" t="n">
        <f aca="false">+P25+Q25</f>
        <v>-23507914.9999997</v>
      </c>
      <c r="S25" s="16" t="n">
        <v>0</v>
      </c>
      <c r="T25" s="16" t="n">
        <f aca="false">+U25-I25</f>
        <v>-23507914.9999997</v>
      </c>
      <c r="U25" s="16" t="n">
        <f aca="false">VLOOKUP(+Summary!$E$5,Privates,V25)</f>
        <v>2.83122062683105E-007</v>
      </c>
      <c r="V25" s="62" t="n">
        <f aca="false">+V24+1</f>
        <v>11</v>
      </c>
      <c r="W25" s="55" t="n">
        <f aca="false">+N25-'MPR Raptor'!U43+'Private Cash'!K375</f>
        <v>0</v>
      </c>
      <c r="Z25" s="16" t="n">
        <v>0</v>
      </c>
      <c r="AA25" s="54" t="n">
        <v>2.12341547012329E-007</v>
      </c>
      <c r="AB25" s="16" t="n">
        <f aca="false">+Q25-Z25</f>
        <v>0</v>
      </c>
      <c r="AC25" s="16" t="n">
        <f aca="false">ROUND(+R25-AA25,2)</f>
        <v>-23507915</v>
      </c>
      <c r="AD25" s="55" t="n">
        <f aca="false">-AC25+'MPR Raptor'!AH43</f>
        <v>0</v>
      </c>
    </row>
    <row r="26" customFormat="false" ht="15.75" hidden="false" customHeight="false" outlineLevel="0" collapsed="false">
      <c r="A26" s="58" t="s">
        <v>70</v>
      </c>
      <c r="B26" s="23" t="n">
        <v>36741</v>
      </c>
      <c r="C26" s="23" t="n">
        <v>37836</v>
      </c>
      <c r="D26" s="24" t="s">
        <v>45</v>
      </c>
      <c r="E26" s="16" t="n">
        <v>0</v>
      </c>
      <c r="F26" s="24" t="s">
        <v>46</v>
      </c>
      <c r="I26" s="16" t="n">
        <v>10372212</v>
      </c>
      <c r="N26" s="16" t="n">
        <f aca="false">VLOOKUP(+O26,Privates,V26)</f>
        <v>0</v>
      </c>
      <c r="O26" s="27" t="n">
        <f aca="false">+Summary!$C$5</f>
        <v>36962</v>
      </c>
      <c r="P26" s="16" t="n">
        <f aca="false">IF(O26&lt;B26,0,(+N26-I26-Q26))</f>
        <v>-10372212</v>
      </c>
      <c r="Q26" s="16" t="n">
        <v>0</v>
      </c>
      <c r="R26" s="54" t="n">
        <f aca="false">+P26+Q26</f>
        <v>-10372212</v>
      </c>
      <c r="S26" s="16" t="n">
        <v>0</v>
      </c>
      <c r="T26" s="16" t="n">
        <f aca="false">+U26-I26</f>
        <v>-10372212</v>
      </c>
      <c r="U26" s="16" t="n">
        <f aca="false">VLOOKUP(+Summary!$E$5,Privates,V26)</f>
        <v>0</v>
      </c>
      <c r="V26" s="62" t="n">
        <f aca="false">+V25+1</f>
        <v>12</v>
      </c>
      <c r="W26" s="55" t="n">
        <f aca="false">+N26-'MPR Raptor'!U44+'Private Cash'!L375</f>
        <v>0</v>
      </c>
      <c r="Z26" s="16" t="n">
        <v>0</v>
      </c>
      <c r="AA26" s="54" t="n">
        <v>0</v>
      </c>
      <c r="AB26" s="16" t="n">
        <f aca="false">+Q26-Z26</f>
        <v>0</v>
      </c>
      <c r="AC26" s="16" t="n">
        <f aca="false">ROUND(+R26-AA26,2)</f>
        <v>-10372212</v>
      </c>
      <c r="AD26" s="55" t="n">
        <f aca="false">-AC26+'MPR Raptor'!AH44</f>
        <v>0</v>
      </c>
    </row>
    <row r="27" customFormat="false" ht="15.75" hidden="false" customHeight="false" outlineLevel="0" collapsed="false">
      <c r="A27" s="58" t="s">
        <v>71</v>
      </c>
      <c r="B27" s="23" t="n">
        <v>36741</v>
      </c>
      <c r="C27" s="23" t="n">
        <v>37836</v>
      </c>
      <c r="D27" s="24" t="s">
        <v>45</v>
      </c>
      <c r="E27" s="16" t="n">
        <v>0</v>
      </c>
      <c r="F27" s="24" t="s">
        <v>46</v>
      </c>
      <c r="I27" s="16" t="n">
        <v>1302980</v>
      </c>
      <c r="N27" s="16" t="n">
        <f aca="false">VLOOKUP(+O27,Privates,V27)</f>
        <v>137317.57</v>
      </c>
      <c r="O27" s="27" t="n">
        <f aca="false">+Summary!$C$5</f>
        <v>36962</v>
      </c>
      <c r="P27" s="16" t="n">
        <f aca="false">IF(O27&lt;B27,0,(+N27-I27-Q27))</f>
        <v>-1165662.43</v>
      </c>
      <c r="Q27" s="16" t="n">
        <v>0</v>
      </c>
      <c r="R27" s="54" t="n">
        <f aca="false">+P27+Q27</f>
        <v>-1165662.43</v>
      </c>
      <c r="S27" s="16" t="n">
        <v>0</v>
      </c>
      <c r="T27" s="16" t="n">
        <f aca="false">+U27-I27</f>
        <v>-1165662.43</v>
      </c>
      <c r="U27" s="16" t="n">
        <f aca="false">VLOOKUP(+Summary!$E$5,Privates,V27)</f>
        <v>137317.57</v>
      </c>
      <c r="V27" s="62" t="n">
        <f aca="false">+V26+1</f>
        <v>13</v>
      </c>
      <c r="W27" s="55" t="n">
        <f aca="false">+N27-'MPR Raptor'!U50+'Private Cash'!M375</f>
        <v>0</v>
      </c>
      <c r="Z27" s="16" t="n">
        <v>0</v>
      </c>
      <c r="AA27" s="54" t="n">
        <v>0</v>
      </c>
      <c r="AB27" s="16" t="n">
        <f aca="false">+Q27-Z27</f>
        <v>0</v>
      </c>
      <c r="AC27" s="16" t="n">
        <f aca="false">ROUND(+R27-AA27,2)</f>
        <v>-1165662.43</v>
      </c>
      <c r="AD27" s="55" t="n">
        <f aca="false">-AC27+'MPR Raptor'!AH50</f>
        <v>0</v>
      </c>
    </row>
    <row r="28" customFormat="false" ht="15.75" hidden="false" customHeight="false" outlineLevel="0" collapsed="false">
      <c r="A28" s="58" t="s">
        <v>72</v>
      </c>
      <c r="B28" s="23" t="n">
        <v>36741</v>
      </c>
      <c r="C28" s="23" t="n">
        <v>37836</v>
      </c>
      <c r="D28" s="24" t="s">
        <v>45</v>
      </c>
      <c r="E28" s="16" t="n">
        <v>0</v>
      </c>
      <c r="F28" s="24" t="s">
        <v>46</v>
      </c>
      <c r="I28" s="16" t="n">
        <v>3486752</v>
      </c>
      <c r="N28" s="16" t="n">
        <f aca="false">VLOOKUP(+O28,Privates,V28)</f>
        <v>0</v>
      </c>
      <c r="O28" s="27" t="n">
        <f aca="false">+Summary!$C$5</f>
        <v>36962</v>
      </c>
      <c r="P28" s="16" t="n">
        <f aca="false">IF(O28&lt;B28,0,(+N28-I28-Q28))</f>
        <v>-3486752</v>
      </c>
      <c r="Q28" s="16" t="n">
        <v>0</v>
      </c>
      <c r="R28" s="54" t="n">
        <f aca="false">+P28+Q28</f>
        <v>-3486752</v>
      </c>
      <c r="S28" s="16" t="n">
        <v>0</v>
      </c>
      <c r="T28" s="16" t="n">
        <f aca="false">+U28-I28</f>
        <v>-3486752</v>
      </c>
      <c r="U28" s="16" t="n">
        <f aca="false">VLOOKUP(+Summary!$E$5,Privates,V28)</f>
        <v>0</v>
      </c>
      <c r="V28" s="62" t="n">
        <f aca="false">+V27+1</f>
        <v>14</v>
      </c>
      <c r="W28" s="55" t="n">
        <f aca="false">+N28-'MPR Raptor'!U55+'Private Cash'!N375</f>
        <v>0</v>
      </c>
      <c r="Z28" s="16" t="n">
        <v>0</v>
      </c>
      <c r="AA28" s="54" t="n">
        <v>0</v>
      </c>
      <c r="AB28" s="16" t="n">
        <f aca="false">+Q28-Z28</f>
        <v>0</v>
      </c>
      <c r="AC28" s="16" t="n">
        <f aca="false">ROUND(+R28-AA28,2)</f>
        <v>-3486752</v>
      </c>
      <c r="AD28" s="55" t="n">
        <f aca="false">-AC28+'MPR Raptor'!AH55</f>
        <v>0</v>
      </c>
    </row>
    <row r="29" customFormat="false" ht="15.75" hidden="false" customHeight="false" outlineLevel="0" collapsed="false">
      <c r="A29" s="58" t="s">
        <v>73</v>
      </c>
      <c r="B29" s="23" t="n">
        <v>36741</v>
      </c>
      <c r="C29" s="23" t="n">
        <v>37836</v>
      </c>
      <c r="D29" s="24" t="s">
        <v>45</v>
      </c>
      <c r="E29" s="16" t="n">
        <v>0</v>
      </c>
      <c r="F29" s="24" t="s">
        <v>46</v>
      </c>
      <c r="I29" s="16" t="n">
        <v>429210</v>
      </c>
      <c r="N29" s="16" t="n">
        <f aca="false">VLOOKUP(+O29,Privates,V29)</f>
        <v>1000000</v>
      </c>
      <c r="O29" s="27" t="n">
        <f aca="false">+Summary!$C$5</f>
        <v>36962</v>
      </c>
      <c r="P29" s="16" t="n">
        <f aca="false">IF(O29&lt;B29,0,(+N29-I29-Q29))</f>
        <v>570790</v>
      </c>
      <c r="Q29" s="16" t="n">
        <v>0</v>
      </c>
      <c r="R29" s="54" t="n">
        <f aca="false">+P29+Q29</f>
        <v>570790</v>
      </c>
      <c r="S29" s="16" t="n">
        <v>0</v>
      </c>
      <c r="T29" s="16" t="n">
        <f aca="false">+U29-I29</f>
        <v>570790</v>
      </c>
      <c r="U29" s="16" t="n">
        <f aca="false">VLOOKUP(+Summary!$E$5,Privates,V29)</f>
        <v>1000000</v>
      </c>
      <c r="V29" s="62" t="n">
        <f aca="false">+V28+1</f>
        <v>15</v>
      </c>
      <c r="W29" s="55" t="n">
        <f aca="false">+N29-'MPR Raptor'!U51+'Private Cash'!O375</f>
        <v>0</v>
      </c>
      <c r="Z29" s="16" t="n">
        <v>0</v>
      </c>
      <c r="AA29" s="54" t="n">
        <v>0</v>
      </c>
      <c r="AB29" s="16" t="n">
        <f aca="false">+Q29-Z29</f>
        <v>0</v>
      </c>
      <c r="AC29" s="16" t="n">
        <f aca="false">ROUND(+R29-AA29,2)</f>
        <v>570790</v>
      </c>
      <c r="AD29" s="55" t="n">
        <f aca="false">-AC29+'MPR Raptor'!AH51</f>
        <v>0</v>
      </c>
    </row>
    <row r="30" customFormat="false" ht="15.75" hidden="false" customHeight="false" outlineLevel="0" collapsed="false">
      <c r="A30" s="58" t="s">
        <v>74</v>
      </c>
      <c r="B30" s="23" t="n">
        <v>36741</v>
      </c>
      <c r="C30" s="23" t="n">
        <v>37836</v>
      </c>
      <c r="D30" s="24" t="s">
        <v>45</v>
      </c>
      <c r="E30" s="16" t="n">
        <v>0</v>
      </c>
      <c r="F30" s="24" t="s">
        <v>46</v>
      </c>
      <c r="I30" s="16" t="n">
        <v>470790</v>
      </c>
      <c r="N30" s="16" t="n">
        <f aca="false">VLOOKUP(+O30,Privates,V30)</f>
        <v>0</v>
      </c>
      <c r="O30" s="27" t="n">
        <f aca="false">+Summary!$C$5</f>
        <v>36962</v>
      </c>
      <c r="P30" s="16" t="n">
        <f aca="false">IF(O30&lt;B30,0,(+N30-I30-Q30))</f>
        <v>-470790</v>
      </c>
      <c r="Q30" s="16" t="n">
        <v>0</v>
      </c>
      <c r="R30" s="54" t="n">
        <f aca="false">+P30+Q30</f>
        <v>-470790</v>
      </c>
      <c r="S30" s="16" t="n">
        <v>0</v>
      </c>
      <c r="T30" s="16" t="n">
        <f aca="false">+U30-I30</f>
        <v>-470790</v>
      </c>
      <c r="U30" s="16" t="n">
        <f aca="false">VLOOKUP(+Summary!$E$5,Privates,V30)</f>
        <v>0</v>
      </c>
      <c r="V30" s="62" t="n">
        <f aca="false">+V29+1</f>
        <v>16</v>
      </c>
      <c r="W30" s="55" t="n">
        <f aca="false">+N30-'MPR Raptor'!U52+'Private Cash'!P375</f>
        <v>0</v>
      </c>
      <c r="Z30" s="16" t="n">
        <v>0</v>
      </c>
      <c r="AA30" s="54" t="n">
        <v>0</v>
      </c>
      <c r="AB30" s="16" t="n">
        <f aca="false">+Q30-Z30</f>
        <v>0</v>
      </c>
      <c r="AC30" s="16" t="n">
        <f aca="false">ROUND(+R30-AA30,2)</f>
        <v>-470790</v>
      </c>
      <c r="AD30" s="55" t="n">
        <f aca="false">-AC30+'MPR Raptor'!AH52</f>
        <v>0</v>
      </c>
    </row>
    <row r="31" customFormat="false" ht="15.75" hidden="false" customHeight="false" outlineLevel="0" collapsed="false">
      <c r="A31" s="58" t="s">
        <v>75</v>
      </c>
      <c r="B31" s="23" t="n">
        <v>36741</v>
      </c>
      <c r="C31" s="23" t="n">
        <v>37836</v>
      </c>
      <c r="D31" s="24" t="s">
        <v>45</v>
      </c>
      <c r="E31" s="16" t="n">
        <v>0</v>
      </c>
      <c r="F31" s="24" t="s">
        <v>46</v>
      </c>
      <c r="I31" s="16" t="n">
        <v>27082500</v>
      </c>
      <c r="N31" s="16" t="n">
        <f aca="false">VLOOKUP(+O31,Privates,V31)</f>
        <v>23513434.5</v>
      </c>
      <c r="O31" s="27" t="n">
        <f aca="false">+Summary!$C$5</f>
        <v>36962</v>
      </c>
      <c r="P31" s="16" t="n">
        <f aca="false">IF(O31&lt;B31,0,(+N31-I31-Q31))</f>
        <v>-3569065.5</v>
      </c>
      <c r="Q31" s="16" t="n">
        <v>0</v>
      </c>
      <c r="R31" s="54" t="n">
        <f aca="false">+P31+Q31</f>
        <v>-3569065.5</v>
      </c>
      <c r="S31" s="16" t="n">
        <v>0</v>
      </c>
      <c r="T31" s="16" t="n">
        <f aca="false">+U31-I31</f>
        <v>-3569065.5</v>
      </c>
      <c r="U31" s="16" t="n">
        <f aca="false">VLOOKUP(+Summary!$E$5,Privates,V31)</f>
        <v>23513434.5</v>
      </c>
      <c r="V31" s="62" t="n">
        <f aca="false">+V30+1</f>
        <v>17</v>
      </c>
      <c r="W31" s="55" t="n">
        <f aca="false">+N31-'MPR Raptor'!U73+'Private Cash'!Q375</f>
        <v>0</v>
      </c>
      <c r="X31" s="54"/>
      <c r="Z31" s="16" t="n">
        <v>0</v>
      </c>
      <c r="AA31" s="54" t="n">
        <v>-3569065.5</v>
      </c>
      <c r="AB31" s="16" t="n">
        <f aca="false">+Q31-Z31</f>
        <v>0</v>
      </c>
      <c r="AC31" s="16" t="n">
        <f aca="false">ROUND(+R31-AA31,2)</f>
        <v>0</v>
      </c>
      <c r="AD31" s="55" t="n">
        <f aca="false">-AC31+'MPR Raptor'!AH73</f>
        <v>0</v>
      </c>
    </row>
    <row r="32" customFormat="false" ht="15.75" hidden="false" customHeight="false" outlineLevel="0" collapsed="false">
      <c r="A32" s="58" t="s">
        <v>76</v>
      </c>
      <c r="B32" s="23" t="n">
        <v>36741</v>
      </c>
      <c r="C32" s="23" t="n">
        <v>37836</v>
      </c>
      <c r="D32" s="24" t="s">
        <v>45</v>
      </c>
      <c r="E32" s="16" t="n">
        <v>0</v>
      </c>
      <c r="F32" s="24" t="s">
        <v>46</v>
      </c>
      <c r="I32" s="16" t="n">
        <v>7121810</v>
      </c>
      <c r="N32" s="16" t="n">
        <f aca="false">VLOOKUP(+O32,Privates,V32)</f>
        <v>7121810</v>
      </c>
      <c r="O32" s="27" t="n">
        <f aca="false">+Summary!$C$5</f>
        <v>36962</v>
      </c>
      <c r="P32" s="16" t="n">
        <f aca="false">IF(O32&lt;B32,0,(+N32-I32-Q32))</f>
        <v>0</v>
      </c>
      <c r="Q32" s="16" t="n">
        <v>0</v>
      </c>
      <c r="R32" s="54" t="n">
        <f aca="false">+P32+Q32</f>
        <v>0</v>
      </c>
      <c r="S32" s="16" t="n">
        <v>0</v>
      </c>
      <c r="T32" s="16" t="n">
        <f aca="false">+U32-I32</f>
        <v>0</v>
      </c>
      <c r="U32" s="16" t="n">
        <f aca="false">VLOOKUP(+Summary!$E$5,Privates,V32)</f>
        <v>7121810</v>
      </c>
      <c r="V32" s="62" t="n">
        <f aca="false">+V31+1</f>
        <v>18</v>
      </c>
      <c r="W32" s="55" t="n">
        <f aca="false">+N32-'MPR Raptor'!U53+'Private Cash'!R375</f>
        <v>0</v>
      </c>
      <c r="Z32" s="16" t="n">
        <v>0</v>
      </c>
      <c r="AA32" s="54" t="n">
        <v>0</v>
      </c>
      <c r="AB32" s="16" t="n">
        <f aca="false">+Q32-Z32</f>
        <v>0</v>
      </c>
      <c r="AC32" s="16" t="n">
        <f aca="false">ROUND(+R32-AA32,2)</f>
        <v>0</v>
      </c>
      <c r="AD32" s="55" t="n">
        <f aca="false">-AC32+'MPR Raptor'!AH53</f>
        <v>0</v>
      </c>
    </row>
    <row r="33" customFormat="false" ht="15.75" hidden="false" customHeight="false" outlineLevel="0" collapsed="false">
      <c r="A33" s="58" t="s">
        <v>77</v>
      </c>
      <c r="B33" s="23" t="n">
        <v>36741</v>
      </c>
      <c r="C33" s="23" t="n">
        <v>37836</v>
      </c>
      <c r="D33" s="24" t="s">
        <v>45</v>
      </c>
      <c r="E33" s="16" t="n">
        <v>0</v>
      </c>
      <c r="F33" s="24" t="s">
        <v>46</v>
      </c>
      <c r="I33" s="16" t="n">
        <v>5644007</v>
      </c>
      <c r="N33" s="16" t="n">
        <f aca="false">VLOOKUP(+O33,Privates,V33)</f>
        <v>5644007</v>
      </c>
      <c r="O33" s="27" t="n">
        <f aca="false">+Summary!$C$5</f>
        <v>36962</v>
      </c>
      <c r="P33" s="16" t="n">
        <f aca="false">IF(O33&lt;B33,0,(+N33-I33-Q33))</f>
        <v>0</v>
      </c>
      <c r="Q33" s="16" t="n">
        <v>0</v>
      </c>
      <c r="R33" s="54" t="n">
        <f aca="false">+P33+Q33</f>
        <v>0</v>
      </c>
      <c r="S33" s="16" t="n">
        <v>0</v>
      </c>
      <c r="T33" s="16" t="n">
        <f aca="false">+U33-I33</f>
        <v>0</v>
      </c>
      <c r="U33" s="16" t="n">
        <f aca="false">VLOOKUP(+Summary!$E$5,Privates,V33)</f>
        <v>5644007</v>
      </c>
      <c r="V33" s="62" t="n">
        <f aca="false">+V32+1</f>
        <v>19</v>
      </c>
      <c r="W33" s="55" t="n">
        <f aca="false">+N33-'MPR Raptor'!U4+'Private Cash'!S375</f>
        <v>0</v>
      </c>
      <c r="Z33" s="16" t="n">
        <v>0</v>
      </c>
      <c r="AA33" s="54" t="n">
        <v>0</v>
      </c>
      <c r="AB33" s="16" t="n">
        <f aca="false">+Q33-Z33</f>
        <v>0</v>
      </c>
      <c r="AC33" s="16" t="n">
        <f aca="false">ROUND(+R33-AA33,2)</f>
        <v>0</v>
      </c>
      <c r="AD33" s="55" t="n">
        <f aca="false">'MPR Raptor'!AH4-AC33</f>
        <v>0</v>
      </c>
    </row>
    <row r="34" customFormat="false" ht="15.75" hidden="false" customHeight="false" outlineLevel="0" collapsed="false">
      <c r="A34" s="58" t="s">
        <v>78</v>
      </c>
      <c r="B34" s="23" t="n">
        <v>36741</v>
      </c>
      <c r="C34" s="23" t="n">
        <v>37836</v>
      </c>
      <c r="D34" s="24" t="s">
        <v>45</v>
      </c>
      <c r="E34" s="16" t="n">
        <v>0</v>
      </c>
      <c r="F34" s="24" t="s">
        <v>46</v>
      </c>
      <c r="I34" s="16" t="n">
        <v>20916875</v>
      </c>
      <c r="N34" s="16" t="n">
        <f aca="false">VLOOKUP(+O34,Privates,V34)</f>
        <v>20999559.86</v>
      </c>
      <c r="O34" s="27" t="n">
        <f aca="false">+Summary!$C$5</f>
        <v>36962</v>
      </c>
      <c r="P34" s="16" t="n">
        <f aca="false">IF(O34&lt;B34,0,(+N34-I34-Q34))</f>
        <v>82684.8599999994</v>
      </c>
      <c r="Q34" s="16" t="n">
        <v>0</v>
      </c>
      <c r="R34" s="54" t="n">
        <f aca="false">+P34+Q34</f>
        <v>82684.8599999994</v>
      </c>
      <c r="S34" s="16" t="n">
        <v>0</v>
      </c>
      <c r="T34" s="16" t="n">
        <f aca="false">+U34-I34</f>
        <v>82684.8599999994</v>
      </c>
      <c r="U34" s="16" t="n">
        <f aca="false">VLOOKUP(+Summary!$E$5,Privates,V34)</f>
        <v>20999559.86</v>
      </c>
      <c r="V34" s="62" t="n">
        <f aca="false">+V33+1</f>
        <v>20</v>
      </c>
      <c r="W34" s="55" t="n">
        <f aca="false">+N34-'MPR Raptor'!U11+'Private Cash'!T375</f>
        <v>0</v>
      </c>
      <c r="Z34" s="16" t="n">
        <v>0</v>
      </c>
      <c r="AA34" s="54" t="n">
        <v>82684.8599999994</v>
      </c>
      <c r="AB34" s="16" t="n">
        <f aca="false">+Q34-Z34</f>
        <v>0</v>
      </c>
      <c r="AC34" s="16" t="n">
        <f aca="false">ROUND(+R34-AA34,2)</f>
        <v>0</v>
      </c>
      <c r="AD34" s="55" t="n">
        <f aca="false">'MPR Raptor'!AH11-AC34</f>
        <v>0</v>
      </c>
    </row>
    <row r="35" customFormat="false" ht="15.75" hidden="false" customHeight="false" outlineLevel="0" collapsed="false">
      <c r="A35" s="58" t="s">
        <v>79</v>
      </c>
      <c r="B35" s="23" t="n">
        <v>36741</v>
      </c>
      <c r="C35" s="23" t="n">
        <v>37836</v>
      </c>
      <c r="D35" s="24" t="s">
        <v>45</v>
      </c>
      <c r="E35" s="16" t="n">
        <v>0</v>
      </c>
      <c r="F35" s="24" t="s">
        <v>46</v>
      </c>
      <c r="I35" s="16" t="n">
        <v>2560525</v>
      </c>
      <c r="N35" s="16" t="n">
        <f aca="false">VLOOKUP(+O35,Privates,V35)</f>
        <v>2560525</v>
      </c>
      <c r="O35" s="27" t="n">
        <f aca="false">+Summary!$C$5</f>
        <v>36962</v>
      </c>
      <c r="P35" s="16" t="n">
        <f aca="false">IF(O35&lt;B35,0,(+N35-I35-Q35))</f>
        <v>0</v>
      </c>
      <c r="Q35" s="16" t="n">
        <v>0</v>
      </c>
      <c r="R35" s="54" t="n">
        <f aca="false">+P35+Q35</f>
        <v>0</v>
      </c>
      <c r="S35" s="16" t="n">
        <v>0</v>
      </c>
      <c r="T35" s="16" t="n">
        <f aca="false">+U35-I35</f>
        <v>0</v>
      </c>
      <c r="U35" s="16" t="n">
        <f aca="false">VLOOKUP(+Summary!$E$5,Privates,V35)</f>
        <v>2560525</v>
      </c>
      <c r="V35" s="62" t="n">
        <f aca="false">+V34+1</f>
        <v>21</v>
      </c>
      <c r="W35" s="55" t="n">
        <f aca="false">+N35-'MPR Raptor'!U12+'Private Cash'!U375</f>
        <v>0</v>
      </c>
      <c r="Z35" s="16" t="n">
        <v>0</v>
      </c>
      <c r="AA35" s="54" t="n">
        <v>0</v>
      </c>
      <c r="AB35" s="16" t="n">
        <f aca="false">+Q35-Z35</f>
        <v>0</v>
      </c>
      <c r="AC35" s="16" t="n">
        <f aca="false">ROUND(+R35-AA35,2)</f>
        <v>0</v>
      </c>
      <c r="AD35" s="55" t="n">
        <f aca="false">'MPR Raptor'!AH12-AC35</f>
        <v>0</v>
      </c>
    </row>
    <row r="36" customFormat="false" ht="15.75" hidden="false" customHeight="false" outlineLevel="0" collapsed="false">
      <c r="A36" s="58" t="s">
        <v>80</v>
      </c>
      <c r="B36" s="23" t="n">
        <v>36741</v>
      </c>
      <c r="C36" s="23" t="n">
        <v>37836</v>
      </c>
      <c r="D36" s="24" t="s">
        <v>45</v>
      </c>
      <c r="E36" s="16" t="n">
        <v>0</v>
      </c>
      <c r="F36" s="24" t="s">
        <v>46</v>
      </c>
      <c r="I36" s="16" t="n">
        <v>4774950</v>
      </c>
      <c r="J36" s="27" t="n">
        <v>36888</v>
      </c>
      <c r="K36" s="25" t="s">
        <v>63</v>
      </c>
      <c r="L36" s="26"/>
      <c r="M36" s="16" t="n">
        <f aca="false">-'Private Cash'!V375</f>
        <v>2415598.88</v>
      </c>
      <c r="N36" s="16" t="n">
        <f aca="false">VLOOKUP(+O36,Privates,V36)</f>
        <v>0</v>
      </c>
      <c r="O36" s="27" t="n">
        <f aca="false">+Summary!$C$5</f>
        <v>36962</v>
      </c>
      <c r="P36" s="16" t="n">
        <f aca="false">IF(O36&lt;B36,0,IF(O36+1&gt;J36,0,(+N36-I36-Q36)))</f>
        <v>0</v>
      </c>
      <c r="Q36" s="16" t="n">
        <f aca="false">IF(O36+1&gt;J36,+M36-I36,0)</f>
        <v>-2359351.12</v>
      </c>
      <c r="R36" s="54" t="n">
        <f aca="false">+P36+Q36</f>
        <v>-2359351.12</v>
      </c>
      <c r="S36" s="16" t="n">
        <f aca="false">IF(O36&gt;J36,+Q36,0)</f>
        <v>-2359351.12</v>
      </c>
      <c r="T36" s="16" t="n">
        <f aca="false">+U36-I36</f>
        <v>-2359351.12</v>
      </c>
      <c r="U36" s="16" t="n">
        <f aca="false">VLOOKUP(+Summary!$E$5,Privates,V36)-'Private Cash'!V375</f>
        <v>2415598.88</v>
      </c>
      <c r="V36" s="62" t="n">
        <f aca="false">+V35+1</f>
        <v>22</v>
      </c>
      <c r="W36" s="55"/>
      <c r="X36" s="54"/>
      <c r="Z36" s="16" t="n">
        <v>-2359351.12</v>
      </c>
      <c r="AA36" s="54" t="n">
        <v>-2359351.12</v>
      </c>
      <c r="AB36" s="16" t="n">
        <f aca="false">+Q36-Z36</f>
        <v>0</v>
      </c>
      <c r="AC36" s="16" t="n">
        <f aca="false">ROUND(+R36-AA36,2)</f>
        <v>0</v>
      </c>
      <c r="AD36" s="55" t="n">
        <f aca="false">+AC36</f>
        <v>0</v>
      </c>
    </row>
    <row r="37" customFormat="false" ht="15.75" hidden="false" customHeight="false" outlineLevel="0" collapsed="false">
      <c r="A37" s="58" t="s">
        <v>81</v>
      </c>
      <c r="B37" s="23" t="n">
        <v>36741</v>
      </c>
      <c r="C37" s="23" t="n">
        <v>37836</v>
      </c>
      <c r="D37" s="24" t="s">
        <v>45</v>
      </c>
      <c r="E37" s="16" t="n">
        <v>0</v>
      </c>
      <c r="F37" s="24" t="s">
        <v>46</v>
      </c>
      <c r="I37" s="16" t="n">
        <v>1822363</v>
      </c>
      <c r="N37" s="16" t="n">
        <f aca="false">VLOOKUP(+O37,Privates,V37)</f>
        <v>0</v>
      </c>
      <c r="O37" s="27" t="n">
        <f aca="false">+Summary!$C$5</f>
        <v>36962</v>
      </c>
      <c r="P37" s="16" t="n">
        <f aca="false">IF(O37&lt;B37,0,(+N37-I37-Q37))</f>
        <v>-1822363</v>
      </c>
      <c r="Q37" s="16" t="n">
        <v>0</v>
      </c>
      <c r="R37" s="54" t="n">
        <f aca="false">+P37+Q37</f>
        <v>-1822363</v>
      </c>
      <c r="S37" s="16" t="n">
        <v>0</v>
      </c>
      <c r="T37" s="16" t="n">
        <f aca="false">+U37-I37</f>
        <v>-1822363</v>
      </c>
      <c r="U37" s="16" t="n">
        <f aca="false">VLOOKUP(+Summary!$E$5,Privates,V37)</f>
        <v>0</v>
      </c>
      <c r="V37" s="62" t="n">
        <f aca="false">+V36+1</f>
        <v>23</v>
      </c>
      <c r="W37" s="55" t="n">
        <f aca="false">+N37-'MPR Raptor'!U71+'Private Cash'!W375</f>
        <v>0</v>
      </c>
      <c r="Z37" s="16" t="n">
        <v>0</v>
      </c>
      <c r="AA37" s="54" t="n">
        <v>191228.65998389</v>
      </c>
      <c r="AB37" s="16" t="n">
        <f aca="false">+Q37-Z37</f>
        <v>0</v>
      </c>
      <c r="AC37" s="16" t="n">
        <f aca="false">ROUND(+R37-AA37,2)</f>
        <v>-2013591.66</v>
      </c>
      <c r="AD37" s="55" t="n">
        <f aca="false">-AC37+'MPR Raptor'!AH71</f>
        <v>1.61100178956985E-005</v>
      </c>
    </row>
    <row r="38" customFormat="false" ht="15.75" hidden="false" customHeight="false" outlineLevel="0" collapsed="false">
      <c r="A38" s="58" t="s">
        <v>82</v>
      </c>
      <c r="B38" s="23" t="n">
        <v>36741</v>
      </c>
      <c r="C38" s="23" t="n">
        <v>37836</v>
      </c>
      <c r="D38" s="24" t="s">
        <v>45</v>
      </c>
      <c r="E38" s="16" t="n">
        <v>0</v>
      </c>
      <c r="F38" s="24" t="s">
        <v>46</v>
      </c>
      <c r="I38" s="16" t="n">
        <v>1374750</v>
      </c>
      <c r="N38" s="16" t="n">
        <f aca="false">VLOOKUP(+O38,Privates,V38)</f>
        <v>0</v>
      </c>
      <c r="O38" s="27" t="n">
        <f aca="false">+Summary!$C$5</f>
        <v>36962</v>
      </c>
      <c r="P38" s="16" t="n">
        <f aca="false">IF(O38&lt;B38,0,(+N38-I38-Q38))</f>
        <v>-1374750</v>
      </c>
      <c r="Q38" s="16" t="n">
        <v>0</v>
      </c>
      <c r="R38" s="54" t="n">
        <f aca="false">+P38+Q38</f>
        <v>-1374750</v>
      </c>
      <c r="S38" s="16" t="n">
        <v>0</v>
      </c>
      <c r="T38" s="16" t="n">
        <f aca="false">+U38-I38</f>
        <v>-1374750</v>
      </c>
      <c r="U38" s="16" t="n">
        <f aca="false">VLOOKUP(+Summary!$E$5,Privates,V38)</f>
        <v>0</v>
      </c>
      <c r="V38" s="62" t="n">
        <f aca="false">+V37+1</f>
        <v>24</v>
      </c>
      <c r="W38" s="55" t="n">
        <f aca="false">+N38-'MPR Raptor'!U74+'Private Cash'!X375</f>
        <v>0</v>
      </c>
      <c r="Z38" s="16" t="n">
        <v>0</v>
      </c>
      <c r="AA38" s="54" t="n">
        <v>0</v>
      </c>
      <c r="AB38" s="16" t="n">
        <f aca="false">+Q38-Z38</f>
        <v>0</v>
      </c>
      <c r="AC38" s="16" t="n">
        <f aca="false">ROUND(+R38-AA38,2)</f>
        <v>-1374750</v>
      </c>
      <c r="AD38" s="55" t="n">
        <f aca="false">-AC38+'MPR Raptor'!AH74</f>
        <v>0</v>
      </c>
    </row>
    <row r="39" customFormat="false" ht="15.75" hidden="false" customHeight="false" outlineLevel="0" collapsed="false">
      <c r="A39" s="58" t="s">
        <v>83</v>
      </c>
      <c r="B39" s="23" t="n">
        <v>36741</v>
      </c>
      <c r="C39" s="23" t="n">
        <v>37836</v>
      </c>
      <c r="D39" s="24" t="s">
        <v>45</v>
      </c>
      <c r="E39" s="16" t="n">
        <v>0</v>
      </c>
      <c r="F39" s="24" t="s">
        <v>46</v>
      </c>
      <c r="I39" s="16" t="n">
        <v>1803840</v>
      </c>
      <c r="N39" s="16" t="n">
        <f aca="false">VLOOKUP(+O39,Privates,V39)</f>
        <v>1803840</v>
      </c>
      <c r="O39" s="27" t="n">
        <f aca="false">+Summary!$C$5</f>
        <v>36962</v>
      </c>
      <c r="P39" s="16" t="n">
        <f aca="false">IF(O39&lt;B39,0,(+N39-I39-Q39))</f>
        <v>0</v>
      </c>
      <c r="Q39" s="16" t="n">
        <v>0</v>
      </c>
      <c r="R39" s="54" t="n">
        <f aca="false">+P39+Q39</f>
        <v>0</v>
      </c>
      <c r="S39" s="16" t="n">
        <v>0</v>
      </c>
      <c r="T39" s="16" t="n">
        <f aca="false">+U39-I39</f>
        <v>0</v>
      </c>
      <c r="U39" s="16" t="n">
        <f aca="false">VLOOKUP(+Summary!$E$5,Privates,V39)</f>
        <v>1803840</v>
      </c>
      <c r="V39" s="62" t="n">
        <f aca="false">+V38+1</f>
        <v>25</v>
      </c>
      <c r="W39" s="55" t="n">
        <f aca="false">+N39-'MPR Raptor'!U22+'Private Cash'!Y375</f>
        <v>0</v>
      </c>
      <c r="Z39" s="16" t="n">
        <v>0</v>
      </c>
      <c r="AA39" s="54" t="n">
        <v>0</v>
      </c>
      <c r="AB39" s="16" t="n">
        <f aca="false">+Q39-Z39</f>
        <v>0</v>
      </c>
      <c r="AC39" s="16" t="n">
        <f aca="false">ROUND(+R39-AA39,2)</f>
        <v>0</v>
      </c>
      <c r="AD39" s="55" t="n">
        <f aca="false">'MPR Raptor'!AH22-AC39</f>
        <v>0</v>
      </c>
    </row>
    <row r="40" customFormat="false" ht="15.75" hidden="false" customHeight="false" outlineLevel="0" collapsed="false">
      <c r="A40" s="58" t="s">
        <v>84</v>
      </c>
      <c r="B40" s="23" t="n">
        <v>36741</v>
      </c>
      <c r="C40" s="23" t="n">
        <v>37836</v>
      </c>
      <c r="D40" s="24" t="s">
        <v>45</v>
      </c>
      <c r="E40" s="16" t="n">
        <v>0</v>
      </c>
      <c r="F40" s="24" t="s">
        <v>46</v>
      </c>
      <c r="I40" s="16" t="n">
        <v>2300803</v>
      </c>
      <c r="N40" s="16" t="n">
        <f aca="false">VLOOKUP(+O40,Privates,V40)</f>
        <v>2300803</v>
      </c>
      <c r="O40" s="27" t="n">
        <f aca="false">+Summary!$C$5</f>
        <v>36962</v>
      </c>
      <c r="P40" s="16" t="n">
        <f aca="false">IF(O40&lt;B40,0,(+N40-I40-Q40))</f>
        <v>0</v>
      </c>
      <c r="Q40" s="16" t="n">
        <v>0</v>
      </c>
      <c r="R40" s="54" t="n">
        <f aca="false">+P40+Q40</f>
        <v>0</v>
      </c>
      <c r="S40" s="16" t="n">
        <v>0</v>
      </c>
      <c r="T40" s="16" t="n">
        <f aca="false">+U40-I40</f>
        <v>0</v>
      </c>
      <c r="U40" s="16" t="n">
        <f aca="false">VLOOKUP(+Summary!$E$5,Privates,V40)</f>
        <v>2300803</v>
      </c>
      <c r="V40" s="62" t="n">
        <f aca="false">+V39+1</f>
        <v>26</v>
      </c>
      <c r="W40" s="55" t="n">
        <f aca="false">+N40-'MPR Raptor'!U23+'Private Cash'!Z375</f>
        <v>0</v>
      </c>
      <c r="Z40" s="16" t="n">
        <v>0</v>
      </c>
      <c r="AA40" s="54" t="n">
        <v>0</v>
      </c>
      <c r="AB40" s="16" t="n">
        <f aca="false">+Q40-Z40</f>
        <v>0</v>
      </c>
      <c r="AC40" s="16" t="n">
        <f aca="false">ROUND(+R40-AA40,2)</f>
        <v>0</v>
      </c>
      <c r="AD40" s="55" t="n">
        <f aca="false">'MPR Raptor'!AH23-AC40</f>
        <v>0</v>
      </c>
    </row>
    <row r="41" customFormat="false" ht="15.75" hidden="false" customHeight="false" outlineLevel="0" collapsed="false">
      <c r="A41" s="58" t="s">
        <v>85</v>
      </c>
      <c r="B41" s="23" t="n">
        <v>36741</v>
      </c>
      <c r="C41" s="23" t="n">
        <v>37836</v>
      </c>
      <c r="D41" s="24" t="s">
        <v>45</v>
      </c>
      <c r="E41" s="16" t="n">
        <v>0</v>
      </c>
      <c r="F41" s="24" t="s">
        <v>46</v>
      </c>
      <c r="I41" s="16" t="n">
        <v>7483750</v>
      </c>
      <c r="N41" s="16" t="n">
        <f aca="false">VLOOKUP(+O41,Privates,V41)</f>
        <v>8551988.34</v>
      </c>
      <c r="O41" s="27" t="n">
        <f aca="false">+Summary!$C$5</f>
        <v>36962</v>
      </c>
      <c r="P41" s="16" t="n">
        <f aca="false">IF(O41&lt;B41,0,(+N41-I41-Q41))</f>
        <v>1068238.34</v>
      </c>
      <c r="Q41" s="16" t="n">
        <v>0</v>
      </c>
      <c r="R41" s="54" t="n">
        <f aca="false">+P41+Q41</f>
        <v>1068238.34</v>
      </c>
      <c r="S41" s="16" t="n">
        <v>0</v>
      </c>
      <c r="T41" s="16" t="n">
        <f aca="false">+U41-I41</f>
        <v>1068238.34</v>
      </c>
      <c r="U41" s="16" t="n">
        <f aca="false">VLOOKUP(+Summary!$E$5,Privates,V41)</f>
        <v>8551988.34</v>
      </c>
      <c r="V41" s="62" t="n">
        <f aca="false">+V40+1</f>
        <v>27</v>
      </c>
      <c r="W41" s="55" t="n">
        <f aca="false">+N41-'MPR Raptor'!U13+'Private Cash'!AA375</f>
        <v>0</v>
      </c>
      <c r="Z41" s="16" t="n">
        <v>0</v>
      </c>
      <c r="AA41" s="54" t="n">
        <v>1068238.34</v>
      </c>
      <c r="AB41" s="16" t="n">
        <f aca="false">+Q41-Z41</f>
        <v>0</v>
      </c>
      <c r="AC41" s="16" t="n">
        <f aca="false">ROUND(+R41-AA41,2)</f>
        <v>0</v>
      </c>
      <c r="AD41" s="55" t="n">
        <f aca="false">'MPR Raptor'!AH13-AC41</f>
        <v>0</v>
      </c>
    </row>
    <row r="42" customFormat="false" ht="15.75" hidden="false" customHeight="false" outlineLevel="0" collapsed="false">
      <c r="A42" s="58" t="s">
        <v>86</v>
      </c>
      <c r="B42" s="23" t="n">
        <v>36741</v>
      </c>
      <c r="C42" s="23" t="n">
        <v>37836</v>
      </c>
      <c r="D42" s="24" t="s">
        <v>45</v>
      </c>
      <c r="E42" s="16" t="n">
        <v>0</v>
      </c>
      <c r="F42" s="24" t="s">
        <v>46</v>
      </c>
      <c r="I42" s="16" t="n">
        <v>2343750</v>
      </c>
      <c r="N42" s="16" t="n">
        <f aca="false">VLOOKUP(+O42,Privates,V42)</f>
        <v>2343750</v>
      </c>
      <c r="O42" s="27" t="n">
        <f aca="false">+Summary!$C$5</f>
        <v>36962</v>
      </c>
      <c r="P42" s="16" t="n">
        <f aca="false">IF(O42&lt;B42,0,(+N42-I42-Q42))</f>
        <v>0</v>
      </c>
      <c r="Q42" s="16" t="n">
        <v>0</v>
      </c>
      <c r="R42" s="54" t="n">
        <f aca="false">+P42+Q42</f>
        <v>0</v>
      </c>
      <c r="S42" s="16" t="n">
        <v>0</v>
      </c>
      <c r="T42" s="16" t="n">
        <f aca="false">+U42-I42</f>
        <v>0</v>
      </c>
      <c r="U42" s="16" t="n">
        <f aca="false">VLOOKUP(+Summary!$E$5,Privates,V42)</f>
        <v>2343750</v>
      </c>
      <c r="V42" s="62" t="n">
        <f aca="false">+V41+1</f>
        <v>28</v>
      </c>
      <c r="W42" s="55" t="n">
        <f aca="false">+N42-'MPR Raptor'!U14+'Private Cash'!AB375</f>
        <v>0</v>
      </c>
      <c r="Z42" s="16" t="n">
        <v>0</v>
      </c>
      <c r="AA42" s="54" t="n">
        <v>0</v>
      </c>
      <c r="AB42" s="16" t="n">
        <f aca="false">+Q42-Z42</f>
        <v>0</v>
      </c>
      <c r="AC42" s="16" t="n">
        <f aca="false">ROUND(+R42-AA42,2)</f>
        <v>0</v>
      </c>
      <c r="AD42" s="55" t="n">
        <f aca="false">'MPR Raptor'!AH14-AC42</f>
        <v>0</v>
      </c>
    </row>
    <row r="43" customFormat="false" ht="15.75" hidden="false" customHeight="false" outlineLevel="0" collapsed="false">
      <c r="A43" s="0" t="s">
        <v>87</v>
      </c>
      <c r="B43" s="23" t="n">
        <v>36741</v>
      </c>
      <c r="C43" s="23" t="n">
        <v>37836</v>
      </c>
      <c r="D43" s="24" t="s">
        <v>45</v>
      </c>
      <c r="E43" s="16" t="n">
        <v>0</v>
      </c>
      <c r="F43" s="24" t="s">
        <v>46</v>
      </c>
      <c r="I43" s="16" t="n">
        <v>16316247</v>
      </c>
      <c r="N43" s="16" t="n">
        <f aca="false">VLOOKUP(+O43,Privates,V43)</f>
        <v>16316247</v>
      </c>
      <c r="O43" s="27" t="n">
        <f aca="false">+Summary!$C$5</f>
        <v>36962</v>
      </c>
      <c r="P43" s="16" t="n">
        <f aca="false">IF(O43&lt;B43,0,(+N43-I43-Q43))</f>
        <v>0</v>
      </c>
      <c r="Q43" s="16" t="n">
        <v>0</v>
      </c>
      <c r="R43" s="54" t="n">
        <f aca="false">+P43+Q43</f>
        <v>0</v>
      </c>
      <c r="S43" s="16" t="n">
        <v>0</v>
      </c>
      <c r="T43" s="16" t="n">
        <f aca="false">+U43-I43</f>
        <v>0</v>
      </c>
      <c r="U43" s="16" t="n">
        <f aca="false">VLOOKUP(+Summary!$E$5,Privates,V43)</f>
        <v>16316247</v>
      </c>
      <c r="V43" s="62" t="n">
        <f aca="false">+V42+1</f>
        <v>29</v>
      </c>
      <c r="W43" s="55" t="n">
        <f aca="false">+N43-'MPR Raptor'!U15+'Private Cash'!AC375</f>
        <v>0</v>
      </c>
      <c r="Z43" s="16" t="n">
        <v>0</v>
      </c>
      <c r="AA43" s="54" t="n">
        <v>0</v>
      </c>
      <c r="AB43" s="16" t="n">
        <f aca="false">+Q43-Z43</f>
        <v>0</v>
      </c>
      <c r="AC43" s="16" t="n">
        <f aca="false">ROUND(+R43-AA43,2)</f>
        <v>0</v>
      </c>
      <c r="AD43" s="55" t="n">
        <f aca="false">'MPR Raptor'!AH15-AC43</f>
        <v>0</v>
      </c>
    </row>
    <row r="44" customFormat="false" ht="15.75" hidden="false" customHeight="false" outlineLevel="0" collapsed="false">
      <c r="A44" s="0" t="s">
        <v>88</v>
      </c>
      <c r="B44" s="23" t="n">
        <v>36741</v>
      </c>
      <c r="C44" s="23" t="n">
        <v>37836</v>
      </c>
      <c r="D44" s="24" t="s">
        <v>45</v>
      </c>
      <c r="E44" s="16" t="n">
        <v>0</v>
      </c>
      <c r="F44" s="24" t="s">
        <v>46</v>
      </c>
      <c r="I44" s="16" t="n">
        <v>1050000</v>
      </c>
      <c r="N44" s="16" t="n">
        <f aca="false">VLOOKUP(+O44,Privates,V44)</f>
        <v>1050000</v>
      </c>
      <c r="O44" s="27" t="n">
        <f aca="false">+Summary!$C$5</f>
        <v>36962</v>
      </c>
      <c r="P44" s="16" t="n">
        <f aca="false">IF(O44&lt;B44,0,(+N44-I44-Q44))</f>
        <v>0</v>
      </c>
      <c r="Q44" s="16" t="n">
        <v>0</v>
      </c>
      <c r="R44" s="54" t="n">
        <f aca="false">+P44+Q44</f>
        <v>0</v>
      </c>
      <c r="S44" s="16" t="n">
        <v>0</v>
      </c>
      <c r="T44" s="16" t="n">
        <f aca="false">+U44-I44</f>
        <v>0</v>
      </c>
      <c r="U44" s="16" t="n">
        <f aca="false">VLOOKUP(+Summary!$E$5,Privates,V44)</f>
        <v>1050000</v>
      </c>
      <c r="V44" s="62" t="n">
        <f aca="false">+V43+1</f>
        <v>30</v>
      </c>
      <c r="W44" s="55" t="n">
        <f aca="false">+N44-'MPR Raptor'!U16+'Private Cash'!AD375</f>
        <v>0</v>
      </c>
      <c r="Z44" s="16" t="n">
        <v>0</v>
      </c>
      <c r="AA44" s="54" t="n">
        <v>0</v>
      </c>
      <c r="AB44" s="16" t="n">
        <f aca="false">+Q44-Z44</f>
        <v>0</v>
      </c>
      <c r="AC44" s="16" t="n">
        <f aca="false">ROUND(+R44-AA44,2)</f>
        <v>0</v>
      </c>
      <c r="AD44" s="55" t="n">
        <f aca="false">'MPR Raptor'!AH16-AC44</f>
        <v>0</v>
      </c>
    </row>
    <row r="45" customFormat="false" ht="15.75" hidden="false" customHeight="false" outlineLevel="0" collapsed="false">
      <c r="A45" s="58" t="s">
        <v>89</v>
      </c>
      <c r="B45" s="23" t="n">
        <v>36741</v>
      </c>
      <c r="C45" s="23" t="n">
        <v>37836</v>
      </c>
      <c r="D45" s="24" t="s">
        <v>45</v>
      </c>
      <c r="E45" s="16" t="n">
        <v>0</v>
      </c>
      <c r="F45" s="24" t="s">
        <v>46</v>
      </c>
      <c r="G45" s="25" t="n">
        <v>217.28</v>
      </c>
      <c r="H45" s="26" t="n">
        <v>375000</v>
      </c>
      <c r="I45" s="16" t="n">
        <f aca="false">ROUND(+G45*H45,2)</f>
        <v>81480000</v>
      </c>
      <c r="N45" s="16" t="n">
        <f aca="false">VLOOKUP(+O45,Privates,V45)</f>
        <v>80202486.48</v>
      </c>
      <c r="O45" s="27" t="n">
        <f aca="false">+Summary!$C$5</f>
        <v>36962</v>
      </c>
      <c r="P45" s="16" t="n">
        <f aca="false">IF(O45&lt;B45,0,(+N45-I45-Q45))</f>
        <v>-1277513.52000001</v>
      </c>
      <c r="Q45" s="16" t="n">
        <v>0</v>
      </c>
      <c r="R45" s="54" t="n">
        <f aca="false">+P45+Q45</f>
        <v>-1277513.52000001</v>
      </c>
      <c r="S45" s="16" t="n">
        <v>0</v>
      </c>
      <c r="T45" s="16" t="n">
        <f aca="false">+U45-I45</f>
        <v>-1277513.52000001</v>
      </c>
      <c r="U45" s="16" t="n">
        <f aca="false">VLOOKUP(+Summary!$E$5,Privates,V45)</f>
        <v>80202486.48</v>
      </c>
      <c r="V45" s="62" t="n">
        <f aca="false">+V44+1</f>
        <v>31</v>
      </c>
      <c r="W45" s="55" t="n">
        <f aca="false">+N45-'MPR Raptor'!U61+'Private Cash'!AE375</f>
        <v>0</v>
      </c>
      <c r="X45" s="54"/>
      <c r="Z45" s="16" t="n">
        <v>0</v>
      </c>
      <c r="AA45" s="54" t="n">
        <v>-1277513.52</v>
      </c>
      <c r="AB45" s="16" t="n">
        <f aca="false">+Q45-Z45</f>
        <v>0</v>
      </c>
      <c r="AC45" s="16" t="n">
        <f aca="false">ROUND(+R45-AA45,2)</f>
        <v>-0</v>
      </c>
      <c r="AD45" s="55" t="n">
        <f aca="false">-AC45+'MPR Raptor'!AH61</f>
        <v>0</v>
      </c>
    </row>
    <row r="46" customFormat="false" ht="15.75" hidden="false" customHeight="false" outlineLevel="0" collapsed="false">
      <c r="A46" s="58" t="s">
        <v>90</v>
      </c>
      <c r="B46" s="23" t="n">
        <v>36741</v>
      </c>
      <c r="C46" s="23" t="n">
        <v>37836</v>
      </c>
      <c r="D46" s="24" t="s">
        <v>45</v>
      </c>
      <c r="E46" s="16" t="n">
        <v>0</v>
      </c>
      <c r="F46" s="24" t="s">
        <v>46</v>
      </c>
      <c r="G46" s="25" t="n">
        <v>1360</v>
      </c>
      <c r="H46" s="26" t="n">
        <v>1000</v>
      </c>
      <c r="I46" s="16" t="n">
        <f aca="false">ROUND(+G46*H46,2)</f>
        <v>1360000</v>
      </c>
      <c r="N46" s="16" t="n">
        <f aca="false">VLOOKUP(+O46,Privates,V46)</f>
        <v>1360000</v>
      </c>
      <c r="O46" s="27" t="n">
        <f aca="false">+Summary!$C$5</f>
        <v>36962</v>
      </c>
      <c r="P46" s="16" t="n">
        <f aca="false">IF(O46&lt;B46,0,(+N46-I46-Q46))</f>
        <v>0</v>
      </c>
      <c r="Q46" s="16" t="n">
        <v>0</v>
      </c>
      <c r="R46" s="54" t="n">
        <f aca="false">+P46+Q46</f>
        <v>0</v>
      </c>
      <c r="S46" s="16" t="n">
        <v>0</v>
      </c>
      <c r="T46" s="16" t="n">
        <f aca="false">+U46-I46</f>
        <v>0</v>
      </c>
      <c r="U46" s="16" t="n">
        <f aca="false">VLOOKUP(+Summary!$E$5,Privates,V46)</f>
        <v>1360000</v>
      </c>
      <c r="V46" s="62" t="n">
        <f aca="false">+V45+1</f>
        <v>32</v>
      </c>
      <c r="W46" s="55" t="n">
        <f aca="false">+N46-'MPR Raptor'!U66+'Private Cash'!AF375</f>
        <v>0</v>
      </c>
      <c r="Z46" s="16" t="n">
        <v>0</v>
      </c>
      <c r="AA46" s="54" t="n">
        <v>0</v>
      </c>
      <c r="AB46" s="16" t="n">
        <f aca="false">+Q46-Z46</f>
        <v>0</v>
      </c>
      <c r="AC46" s="16" t="n">
        <f aca="false">ROUND(+R46-AA46,2)</f>
        <v>0</v>
      </c>
      <c r="AD46" s="55" t="n">
        <f aca="false">-AC46+'MPR Raptor'!AH66</f>
        <v>0</v>
      </c>
    </row>
    <row r="47" customFormat="false" ht="15.75" hidden="false" customHeight="false" outlineLevel="0" collapsed="false">
      <c r="A47" s="58" t="s">
        <v>91</v>
      </c>
      <c r="B47" s="23" t="n">
        <v>36741</v>
      </c>
      <c r="C47" s="23" t="n">
        <v>37836</v>
      </c>
      <c r="D47" s="24" t="s">
        <v>92</v>
      </c>
      <c r="E47" s="16" t="n">
        <v>36066314</v>
      </c>
      <c r="F47" s="24" t="s">
        <v>93</v>
      </c>
      <c r="I47" s="16" t="n">
        <v>93746590</v>
      </c>
      <c r="J47" s="27" t="n">
        <v>36910</v>
      </c>
      <c r="K47" s="25" t="s">
        <v>94</v>
      </c>
      <c r="L47" s="26"/>
      <c r="M47" s="16" t="n">
        <v>63109023.64</v>
      </c>
      <c r="N47" s="16" t="n">
        <f aca="false">VLOOKUP(+O47,Privates,V47)</f>
        <v>30637565.036478</v>
      </c>
      <c r="O47" s="27" t="n">
        <f aca="false">+Summary!$C$5</f>
        <v>36962</v>
      </c>
      <c r="P47" s="16" t="n">
        <f aca="false">IF(O47&lt;B47,0,(+N47-I47-Q47))</f>
        <v>-1.3235220015049</v>
      </c>
      <c r="Q47" s="16" t="n">
        <f aca="false">IF(O47&gt;(J47-1),-M47,0)</f>
        <v>-63109023.64</v>
      </c>
      <c r="R47" s="54" t="n">
        <f aca="false">+P47+Q47</f>
        <v>-63109024.963522</v>
      </c>
      <c r="S47" s="16" t="n">
        <f aca="false">IF((O47-1)&gt;(J47-1),-M47,0)</f>
        <v>-63109023.64</v>
      </c>
      <c r="T47" s="16" t="n">
        <f aca="false">+U47-I47</f>
        <v>-63109024.963522</v>
      </c>
      <c r="U47" s="16" t="n">
        <f aca="false">VLOOKUP(+Summary!$E$5,Privates,V47)</f>
        <v>30637565.036478</v>
      </c>
      <c r="V47" s="62" t="n">
        <f aca="false">+V46+1</f>
        <v>33</v>
      </c>
      <c r="W47" s="55" t="n">
        <f aca="false">+N47-'MPR Raptor'!U26+'Private Cash'!AG375</f>
        <v>0</v>
      </c>
      <c r="Z47" s="16" t="n">
        <v>0</v>
      </c>
      <c r="AA47" s="54" t="n">
        <v>-1.3235220015049</v>
      </c>
      <c r="AB47" s="16" t="n">
        <f aca="false">+Q47-Z47</f>
        <v>-63109023.64</v>
      </c>
      <c r="AC47" s="16" t="n">
        <f aca="false">ROUND(+R47-AA47,2)</f>
        <v>-63109023.64</v>
      </c>
      <c r="AD47" s="55" t="n">
        <f aca="false">'MPR Raptor'!AH26-AC47</f>
        <v>0</v>
      </c>
    </row>
    <row r="48" customFormat="false" ht="15.75" hidden="false" customHeight="false" outlineLevel="0" collapsed="false">
      <c r="A48" s="58"/>
      <c r="N48" s="16"/>
      <c r="P48" s="16"/>
      <c r="Q48" s="16"/>
      <c r="R48" s="54"/>
      <c r="T48" s="16"/>
      <c r="U48" s="16"/>
      <c r="V48" s="62"/>
      <c r="W48" s="55"/>
      <c r="AA48" s="54"/>
      <c r="AC48" s="16"/>
      <c r="AD48" s="55"/>
    </row>
    <row r="49" customFormat="false" ht="15.75" hidden="false" customHeight="false" outlineLevel="0" collapsed="false">
      <c r="A49" s="58" t="s">
        <v>95</v>
      </c>
      <c r="N49" s="16"/>
      <c r="P49" s="16"/>
      <c r="Q49" s="16"/>
      <c r="R49" s="54"/>
      <c r="T49" s="16"/>
      <c r="U49" s="16"/>
      <c r="V49" s="62"/>
      <c r="W49" s="55"/>
      <c r="AA49" s="54"/>
      <c r="AC49" s="16"/>
      <c r="AD49" s="55"/>
    </row>
    <row r="50" customFormat="false" ht="15.75" hidden="false" customHeight="false" outlineLevel="0" collapsed="false">
      <c r="A50" s="0" t="s">
        <v>44</v>
      </c>
      <c r="B50" s="23" t="n">
        <v>36741</v>
      </c>
      <c r="C50" s="23" t="n">
        <v>37836</v>
      </c>
      <c r="D50" s="24" t="s">
        <v>45</v>
      </c>
      <c r="E50" s="16" t="n">
        <v>0</v>
      </c>
      <c r="F50" s="24" t="s">
        <v>46</v>
      </c>
      <c r="G50" s="25" t="n">
        <f aca="false">+G4</f>
        <v>1.17868389193476</v>
      </c>
      <c r="H50" s="26" t="n">
        <f aca="false">ROUND(+H4/0.6*0.3612,2)</f>
        <v>46956</v>
      </c>
      <c r="I50" s="16" t="n">
        <f aca="false">ROUND(+G50*H50,2)</f>
        <v>55346.28</v>
      </c>
      <c r="J50" s="27"/>
      <c r="K50" s="25"/>
      <c r="L50" s="26"/>
      <c r="M50" s="16" t="n">
        <f aca="false">ROUND(+K50*L50,2)</f>
        <v>0</v>
      </c>
      <c r="N50" s="25" t="n">
        <f aca="false">+N4</f>
        <v>2.55045605898546</v>
      </c>
      <c r="O50" s="27" t="n">
        <f aca="false">+Summary!$C$5</f>
        <v>36962</v>
      </c>
      <c r="P50" s="16" t="n">
        <f aca="false">IF(O50&lt;B50,0,ROUND((+N50*H50),2)-I50-Q50)</f>
        <v>64412.93</v>
      </c>
      <c r="Q50" s="16" t="n">
        <v>0</v>
      </c>
      <c r="R50" s="54" t="n">
        <f aca="false">+P50+Q50</f>
        <v>64412.93</v>
      </c>
      <c r="S50" s="16" t="n">
        <v>0</v>
      </c>
      <c r="T50" s="16" t="n">
        <f aca="false">IF(Summary!$E$5&lt;'Daily Position'!B50,0,ROUND(+U50*(H50-L50),2)+M50-I50)</f>
        <v>78882.87</v>
      </c>
      <c r="U50" s="25" t="n">
        <f aca="false">+U4</f>
        <v>2.85861555797261</v>
      </c>
      <c r="V50" s="25"/>
      <c r="W50" s="55" t="n">
        <f aca="false">+N50*H50-'MPR Raptor'!U19</f>
        <v>0</v>
      </c>
      <c r="Z50" s="16" t="n">
        <v>0</v>
      </c>
      <c r="AA50" s="54" t="n">
        <v>72136.17</v>
      </c>
      <c r="AB50" s="16" t="n">
        <f aca="false">+Q50-Z50</f>
        <v>0</v>
      </c>
      <c r="AC50" s="16" t="n">
        <f aca="false">ROUND(+R50-AA50,2)</f>
        <v>-7723.24</v>
      </c>
      <c r="AD50" s="55" t="n">
        <f aca="false">'MPR Raptor'!AH19-AC50</f>
        <v>0.00713296867070312</v>
      </c>
    </row>
    <row r="51" customFormat="false" ht="15.75" hidden="false" customHeight="false" outlineLevel="0" collapsed="false">
      <c r="A51" s="0" t="s">
        <v>53</v>
      </c>
      <c r="B51" s="23" t="n">
        <v>36741</v>
      </c>
      <c r="C51" s="23" t="n">
        <v>37836</v>
      </c>
      <c r="D51" s="24" t="s">
        <v>45</v>
      </c>
      <c r="E51" s="16" t="n">
        <v>0</v>
      </c>
      <c r="F51" s="24" t="s">
        <v>46</v>
      </c>
      <c r="G51" s="25" t="n">
        <f aca="false">+G10</f>
        <v>1.68395</v>
      </c>
      <c r="H51" s="26" t="n">
        <f aca="false">ROUND(+H10/0.6*0.3612,2)</f>
        <v>442470</v>
      </c>
      <c r="I51" s="16" t="n">
        <f aca="false">ROUND(+G51*H51,2)-2</f>
        <v>745095.36</v>
      </c>
      <c r="J51" s="27" t="n">
        <f aca="false">+J10</f>
        <v>36839</v>
      </c>
      <c r="K51" s="25" t="n">
        <f aca="false">+K10</f>
        <v>1.93798449612403</v>
      </c>
      <c r="L51" s="26" t="n">
        <f aca="false">ROUND(+L10/0.6*0.3612,2)</f>
        <v>442470</v>
      </c>
      <c r="M51" s="16" t="n">
        <f aca="false">ROUND(+K51*L51,2)-2</f>
        <v>857498</v>
      </c>
      <c r="N51" s="25" t="n">
        <f aca="false">+N10</f>
        <v>0</v>
      </c>
      <c r="O51" s="27" t="n">
        <f aca="false">+Summary!$C$5</f>
        <v>36962</v>
      </c>
      <c r="P51" s="16" t="n">
        <f aca="false">IF(O51&lt;B51,0,ROUND((+N51*(H51-L51)),2)-ROUND(((H51-L51)*G51),2))</f>
        <v>0</v>
      </c>
      <c r="Q51" s="16" t="n">
        <f aca="false">IF(J51&lt;(O51+1),(+K51-G51)*L51,0)</f>
        <v>112402.6435</v>
      </c>
      <c r="R51" s="54" t="n">
        <f aca="false">+P51+Q51</f>
        <v>112402.6435</v>
      </c>
      <c r="S51" s="16" t="n">
        <f aca="false">IF(J51&lt;O51,+Q51,0)</f>
        <v>112402.6435</v>
      </c>
      <c r="T51" s="16" t="n">
        <f aca="false">IF(Summary!$E$5&lt;'Daily Position'!B51,0,ROUND(+U51*(H51-L51),2)+M51-I51)</f>
        <v>112402.64</v>
      </c>
      <c r="U51" s="25" t="n">
        <f aca="false">+U10</f>
        <v>1.93798449612403</v>
      </c>
      <c r="V51" s="25"/>
      <c r="W51" s="55"/>
      <c r="X51" s="57"/>
      <c r="Z51" s="16" t="n">
        <v>112402.6435</v>
      </c>
      <c r="AA51" s="54" t="n">
        <v>112402.6435</v>
      </c>
      <c r="AB51" s="16" t="n">
        <f aca="false">+Q51-Z51</f>
        <v>0</v>
      </c>
      <c r="AC51" s="16" t="n">
        <f aca="false">ROUND(+R51-AA51,2)</f>
        <v>0</v>
      </c>
      <c r="AD51" s="55" t="n">
        <f aca="false">+AC51</f>
        <v>0</v>
      </c>
    </row>
    <row r="52" customFormat="false" ht="15.75" hidden="false" customHeight="false" outlineLevel="0" collapsed="false">
      <c r="A52" s="0" t="str">
        <f aca="false">+A11</f>
        <v>DevX Energy Common</v>
      </c>
      <c r="B52" s="23" t="n">
        <v>36741</v>
      </c>
      <c r="C52" s="23" t="n">
        <v>37836</v>
      </c>
      <c r="D52" s="24" t="s">
        <v>45</v>
      </c>
      <c r="E52" s="16" t="n">
        <v>0</v>
      </c>
      <c r="F52" s="24" t="s">
        <v>46</v>
      </c>
      <c r="G52" s="25" t="n">
        <f aca="false">+G11</f>
        <v>14.0397655556213</v>
      </c>
      <c r="H52" s="26" t="n">
        <f aca="false">ROUND(+H11/0.6*0.3612,4)</f>
        <v>6101.0292</v>
      </c>
      <c r="I52" s="16" t="n">
        <f aca="false">ROUND(+G52*H52,2)</f>
        <v>85657.02</v>
      </c>
      <c r="J52" s="27"/>
      <c r="K52" s="25"/>
      <c r="L52" s="26"/>
      <c r="M52" s="16" t="n">
        <f aca="false">ROUND(+K52*L52,2)</f>
        <v>0</v>
      </c>
      <c r="N52" s="25" t="n">
        <f aca="false">+N11</f>
        <v>8.3125</v>
      </c>
      <c r="O52" s="27" t="n">
        <f aca="false">+Summary!$C$5</f>
        <v>36962</v>
      </c>
      <c r="P52" s="16" t="n">
        <f aca="false">IF(O52&lt;B52,0,ROUND((+N52*(H52-L52)),2)-ROUND(((H52-L52)*G52),2))</f>
        <v>-34942.21</v>
      </c>
      <c r="Q52" s="16" t="n">
        <f aca="false">IF(J52&lt;(O52+1),(+K52-G52)*L52,0)</f>
        <v>-0</v>
      </c>
      <c r="R52" s="54" t="n">
        <f aca="false">+P52+Q52</f>
        <v>-34942.21</v>
      </c>
      <c r="S52" s="16" t="n">
        <f aca="false">IF(J52&lt;O52,+Q52,0)</f>
        <v>-0</v>
      </c>
      <c r="T52" s="16" t="n">
        <f aca="false">IF(Summary!$E$5&lt;'Daily Position'!B52,0,ROUND(+U52*(H52-L52),2)+M52-I52)</f>
        <v>-35704.84</v>
      </c>
      <c r="U52" s="25" t="n">
        <f aca="false">+U11</f>
        <v>8.1875</v>
      </c>
      <c r="V52" s="25"/>
      <c r="W52" s="55" t="n">
        <f aca="false">+N52*(H52+H53-L52-L53)-'MPR Raptor'!U34</f>
        <v>0</v>
      </c>
      <c r="X52" s="57"/>
      <c r="Z52" s="16" t="n">
        <v>0</v>
      </c>
      <c r="AA52" s="54" t="n">
        <v>-37611.42</v>
      </c>
      <c r="AB52" s="16" t="n">
        <f aca="false">+Q52-Z52</f>
        <v>-0</v>
      </c>
      <c r="AC52" s="16" t="n">
        <f aca="false">ROUND(+R52-AA52,2)</f>
        <v>2669.21</v>
      </c>
      <c r="AD52" s="55" t="n">
        <f aca="false">'MPR Raptor'!AH34-AC52</f>
        <v>-0.00972499999716092</v>
      </c>
    </row>
    <row r="53" customFormat="false" ht="15.75" hidden="false" customHeight="false" outlineLevel="0" collapsed="false">
      <c r="A53" s="0" t="str">
        <f aca="false">+A12</f>
        <v>DevX Energy Pref</v>
      </c>
      <c r="B53" s="23" t="n">
        <v>36741</v>
      </c>
      <c r="C53" s="23" t="n">
        <v>37836</v>
      </c>
      <c r="D53" s="24" t="s">
        <v>45</v>
      </c>
      <c r="E53" s="16" t="n">
        <v>0</v>
      </c>
      <c r="F53" s="24" t="s">
        <v>46</v>
      </c>
      <c r="G53" s="25" t="n">
        <f aca="false">+G12</f>
        <v>4.06588235294118</v>
      </c>
      <c r="H53" s="26" t="n">
        <f aca="false">ROUND(+H12/0.6*0.3612,4)</f>
        <v>76755</v>
      </c>
      <c r="I53" s="16" t="n">
        <f aca="false">ROUND(+G53*H53,2)</f>
        <v>312076.8</v>
      </c>
      <c r="J53" s="27" t="n">
        <f aca="false">+J12</f>
        <v>36874</v>
      </c>
      <c r="K53" s="25" t="n">
        <f aca="false">+K12</f>
        <v>6.99976470588235</v>
      </c>
      <c r="L53" s="26" t="n">
        <f aca="false">ROUND(+L12/0.6*0.3612,4)</f>
        <v>76755</v>
      </c>
      <c r="M53" s="16" t="n">
        <f aca="false">ROUND(+K53*L53,2)</f>
        <v>537266.94</v>
      </c>
      <c r="N53" s="25" t="n">
        <f aca="false">+N12</f>
        <v>8.3125</v>
      </c>
      <c r="O53" s="27" t="n">
        <f aca="false">+Summary!$C$5</f>
        <v>36962</v>
      </c>
      <c r="P53" s="16" t="n">
        <f aca="false">IF(O53&lt;B53,0,ROUND((+N53*(H53-L53)),2)-ROUND(((H53-L53)*G53),2))</f>
        <v>0</v>
      </c>
      <c r="Q53" s="16" t="n">
        <f aca="false">IF(J53&lt;(O53+1),(+K53-G53)*L53,0)</f>
        <v>225190.14</v>
      </c>
      <c r="R53" s="54" t="n">
        <f aca="false">+P53+Q53</f>
        <v>225190.14</v>
      </c>
      <c r="S53" s="16" t="n">
        <f aca="false">IF(J53&lt;O53,+Q53,0)</f>
        <v>225190.14</v>
      </c>
      <c r="T53" s="16" t="n">
        <f aca="false">IF(Summary!$E$5&lt;'Daily Position'!B53,0,ROUND(+U53*(H53-L53),2)+M53-I53)</f>
        <v>225190.14</v>
      </c>
      <c r="U53" s="25" t="n">
        <f aca="false">+U12</f>
        <v>8.1875</v>
      </c>
      <c r="V53" s="25"/>
      <c r="W53" s="55"/>
      <c r="X53" s="57"/>
      <c r="Z53" s="16" t="n">
        <v>225190.14</v>
      </c>
      <c r="AA53" s="54" t="n">
        <v>225190.14</v>
      </c>
      <c r="AB53" s="16" t="n">
        <f aca="false">+Q53-Z53</f>
        <v>0</v>
      </c>
      <c r="AC53" s="16" t="n">
        <f aca="false">ROUND(+R53-AA53,2)</f>
        <v>0</v>
      </c>
      <c r="AD53" s="55" t="n">
        <f aca="false">+AC53</f>
        <v>0</v>
      </c>
    </row>
    <row r="54" customFormat="false" ht="15.75" hidden="false" customHeight="false" outlineLevel="0" collapsed="false">
      <c r="A54" s="0" t="s">
        <v>57</v>
      </c>
      <c r="B54" s="23" t="n">
        <v>36741</v>
      </c>
      <c r="C54" s="23" t="n">
        <v>37836</v>
      </c>
      <c r="D54" s="24" t="s">
        <v>45</v>
      </c>
      <c r="E54" s="16" t="n">
        <v>0</v>
      </c>
      <c r="F54" s="24" t="s">
        <v>46</v>
      </c>
      <c r="G54" s="25" t="n">
        <f aca="false">+G13</f>
        <v>7.625</v>
      </c>
      <c r="H54" s="26" t="n">
        <f aca="false">ROUND(+H13/0.6*0.3612,3)</f>
        <v>484154.286</v>
      </c>
      <c r="I54" s="16" t="n">
        <f aca="false">ROUND(+G54*H54,2)</f>
        <v>3691676.43</v>
      </c>
      <c r="J54" s="27" t="n">
        <f aca="false">+J13</f>
        <v>36868</v>
      </c>
      <c r="K54" s="25" t="n">
        <f aca="false">+K13</f>
        <v>6.7199995523741</v>
      </c>
      <c r="L54" s="26" t="n">
        <f aca="false">ROUND(+L13/0.6*0.3612,3)</f>
        <v>484154.286</v>
      </c>
      <c r="M54" s="16" t="n">
        <f aca="false">ROUND(+K54*L54,2)</f>
        <v>3253516.59</v>
      </c>
      <c r="N54" s="25" t="n">
        <f aca="false">+N13</f>
        <v>0</v>
      </c>
      <c r="O54" s="27" t="n">
        <f aca="false">+Summary!$C$5</f>
        <v>36962</v>
      </c>
      <c r="P54" s="16" t="n">
        <f aca="false">IF(O54&lt;B54,0,ROUND((+N54*(H54-L54)),2)-ROUND(((H54-L54)*G54),2))</f>
        <v>0</v>
      </c>
      <c r="Q54" s="16" t="n">
        <f aca="false">IF(J54&lt;(O54+1),(+K54-G54)*L54,0)</f>
        <v>-438159.84555</v>
      </c>
      <c r="R54" s="54" t="n">
        <f aca="false">+P54+Q54</f>
        <v>-438159.84555</v>
      </c>
      <c r="S54" s="16" t="n">
        <f aca="false">IF(J54&lt;O54,+Q54,0)</f>
        <v>-438159.84555</v>
      </c>
      <c r="T54" s="16" t="n">
        <f aca="false">IF(Summary!$E$5&lt;'Daily Position'!B54,0,ROUND(+U54*(H54-L54),2)+M54-I54)</f>
        <v>-438159.84</v>
      </c>
      <c r="U54" s="25" t="n">
        <f aca="false">+U13</f>
        <v>0</v>
      </c>
      <c r="V54" s="25"/>
      <c r="W54" s="55"/>
      <c r="X54" s="57"/>
      <c r="Z54" s="16" t="n">
        <v>-438159.84555</v>
      </c>
      <c r="AA54" s="54" t="n">
        <v>-438159.84555</v>
      </c>
      <c r="AB54" s="16" t="n">
        <f aca="false">+Q54-Z54</f>
        <v>0</v>
      </c>
      <c r="AC54" s="16" t="n">
        <f aca="false">ROUND(+R54-AA54,2)</f>
        <v>0</v>
      </c>
      <c r="AD54" s="55" t="n">
        <f aca="false">+AC54</f>
        <v>0</v>
      </c>
    </row>
    <row r="55" customFormat="false" ht="15.75" hidden="false" customHeight="false" outlineLevel="0" collapsed="false">
      <c r="A55" s="58" t="s">
        <v>60</v>
      </c>
      <c r="B55" s="23" t="n">
        <v>36741</v>
      </c>
      <c r="C55" s="23" t="n">
        <v>37836</v>
      </c>
      <c r="D55" s="24" t="s">
        <v>45</v>
      </c>
      <c r="E55" s="16" t="n">
        <v>0</v>
      </c>
      <c r="F55" s="24" t="s">
        <v>46</v>
      </c>
      <c r="I55" s="16" t="n">
        <f aca="false">ROUND(+I17/0.6*0.3612,2)</f>
        <v>2747287.2</v>
      </c>
      <c r="M55" s="16" t="n">
        <f aca="false">ROUND(+M17/0.6*0.3612,2)</f>
        <v>0</v>
      </c>
      <c r="N55" s="16" t="n">
        <f aca="false">ROUND(+N17/0.6*0.3612,2)</f>
        <v>2633857.57</v>
      </c>
      <c r="O55" s="27" t="n">
        <f aca="false">+Summary!$C$5</f>
        <v>36962</v>
      </c>
      <c r="P55" s="16" t="n">
        <f aca="false">IF(O55&lt;B55,0,(+N55-I55-Q55))</f>
        <v>-113429.63</v>
      </c>
      <c r="Q55" s="16" t="n">
        <v>0</v>
      </c>
      <c r="R55" s="54" t="n">
        <f aca="false">+P55+Q55</f>
        <v>-113429.63</v>
      </c>
      <c r="S55" s="16" t="n">
        <v>0</v>
      </c>
      <c r="T55" s="16" t="n">
        <f aca="false">+U55-I55</f>
        <v>-113429.63</v>
      </c>
      <c r="U55" s="16" t="n">
        <f aca="false">ROUND(+U17/0.6*0.3612,2)</f>
        <v>2633857.57</v>
      </c>
      <c r="V55" s="62"/>
      <c r="W55" s="55" t="n">
        <f aca="false">+N55-'MPR Raptor'!U32+'Private Cash'!C375/0.6*0.3612</f>
        <v>-0.123380000441102</v>
      </c>
      <c r="Z55" s="16" t="n">
        <v>0</v>
      </c>
      <c r="AA55" s="54" t="n">
        <v>-113429.63</v>
      </c>
      <c r="AB55" s="16" t="n">
        <f aca="false">+Q55-Z55</f>
        <v>0</v>
      </c>
      <c r="AC55" s="16" t="n">
        <f aca="false">ROUND(+R55-AA55,2)</f>
        <v>0</v>
      </c>
      <c r="AD55" s="55" t="n">
        <f aca="false">'MPR Raptor'!AH32-AC55</f>
        <v>0</v>
      </c>
    </row>
    <row r="56" customFormat="false" ht="15.75" hidden="false" customHeight="false" outlineLevel="0" collapsed="false">
      <c r="A56" s="58" t="s">
        <v>74</v>
      </c>
      <c r="B56" s="23" t="n">
        <v>36741</v>
      </c>
      <c r="C56" s="23" t="n">
        <v>37836</v>
      </c>
      <c r="D56" s="24" t="s">
        <v>45</v>
      </c>
      <c r="E56" s="16" t="n">
        <v>0</v>
      </c>
      <c r="F56" s="24" t="s">
        <v>46</v>
      </c>
      <c r="I56" s="16" t="n">
        <f aca="false">ROUND(+I30/0.6*0.3612,2)</f>
        <v>283415.58</v>
      </c>
      <c r="M56" s="16" t="n">
        <f aca="false">ROUND(+M30/0.6*0.3612,2)</f>
        <v>0</v>
      </c>
      <c r="N56" s="16" t="n">
        <f aca="false">ROUND(+N30/0.6*0.3612,2)</f>
        <v>0</v>
      </c>
      <c r="O56" s="27" t="n">
        <f aca="false">+Summary!$C$5</f>
        <v>36962</v>
      </c>
      <c r="P56" s="16" t="n">
        <f aca="false">IF(O56&lt;B56,0,(+N56-I56-Q56))</f>
        <v>-283415.58</v>
      </c>
      <c r="Q56" s="16" t="n">
        <v>0</v>
      </c>
      <c r="R56" s="54" t="n">
        <f aca="false">+P56+Q56</f>
        <v>-283415.58</v>
      </c>
      <c r="S56" s="16" t="n">
        <v>0</v>
      </c>
      <c r="T56" s="16" t="n">
        <f aca="false">+U56-I56</f>
        <v>-283415.58</v>
      </c>
      <c r="U56" s="16" t="n">
        <f aca="false">ROUND(+U30/0.6*0.3612,2)</f>
        <v>0</v>
      </c>
      <c r="V56" s="62"/>
      <c r="W56" s="55" t="n">
        <f aca="false">+N56-'MPR Raptor'!U36+'Private Cash'!P375/0.6*0.3612</f>
        <v>0</v>
      </c>
      <c r="Z56" s="16" t="n">
        <v>0</v>
      </c>
      <c r="AA56" s="54" t="n">
        <v>0</v>
      </c>
      <c r="AB56" s="16" t="n">
        <f aca="false">+Q56-Z56</f>
        <v>0</v>
      </c>
      <c r="AC56" s="16" t="n">
        <f aca="false">ROUND(+R56-AA56,2)</f>
        <v>-283415.58</v>
      </c>
      <c r="AD56" s="55" t="n">
        <f aca="false">'MPR Raptor'!AH36-AC56</f>
        <v>-0.419999999983702</v>
      </c>
    </row>
    <row r="57" customFormat="false" ht="15.75" hidden="false" customHeight="false" outlineLevel="0" collapsed="false">
      <c r="A57" s="58"/>
      <c r="N57" s="16"/>
      <c r="P57" s="16"/>
      <c r="Q57" s="16"/>
      <c r="R57" s="54"/>
      <c r="T57" s="16"/>
      <c r="U57" s="16"/>
      <c r="V57" s="62"/>
      <c r="W57" s="55"/>
      <c r="AA57" s="16"/>
      <c r="AC57" s="16"/>
    </row>
    <row r="59" customFormat="false" ht="16.5" hidden="false" customHeight="false" outlineLevel="0" collapsed="false">
      <c r="B59" s="63" t="s">
        <v>96</v>
      </c>
      <c r="E59" s="64" t="n">
        <f aca="false">SUM(E4:E58)</f>
        <v>36066314</v>
      </c>
      <c r="I59" s="65" t="n">
        <f aca="false">SUM(I3:I58)</f>
        <v>733681729.07</v>
      </c>
      <c r="P59" s="64" t="n">
        <f aca="false">SUM(P3:P58)</f>
        <v>-354391714.533522</v>
      </c>
      <c r="Q59" s="64" t="n">
        <f aca="false">SUM(Q3:Q58)</f>
        <v>-73827735.5723987</v>
      </c>
      <c r="R59" s="64" t="n">
        <f aca="false">SUM(R3:R58)</f>
        <v>-428219450.10592</v>
      </c>
      <c r="S59" s="65" t="n">
        <f aca="false">SUM(S3:S58)</f>
        <v>-73827735.5723987</v>
      </c>
      <c r="T59" s="64" t="n">
        <f aca="false">SUM(T3:T58)</f>
        <v>-422676035.568871</v>
      </c>
      <c r="U59" s="12"/>
      <c r="V59" s="12"/>
      <c r="W59" s="64" t="n">
        <f aca="false">SUM(W3:W58)</f>
        <v>-0.123380000441102</v>
      </c>
      <c r="Z59" s="65" t="n">
        <f aca="false">SUM(Z3:Z58)</f>
        <v>-3506789.97239884</v>
      </c>
      <c r="AA59" s="64" t="n">
        <f aca="false">SUM(AA3:AA58)</f>
        <v>-304021669.990937</v>
      </c>
      <c r="AB59" s="65" t="n">
        <f aca="false">SUM(AB3:AB58)</f>
        <v>-70320945.5999999</v>
      </c>
      <c r="AC59" s="64" t="n">
        <f aca="false">SUM(AC3:AC58)</f>
        <v>-124197780.12</v>
      </c>
      <c r="AD59" s="64" t="n">
        <f aca="false">SUM(AD3:AD58)</f>
        <v>-0.118940809078595</v>
      </c>
    </row>
    <row r="60" customFormat="false" ht="16.5" hidden="false" customHeight="false" outlineLevel="0" collapsed="false"/>
    <row r="61" customFormat="false" ht="15.75" hidden="false" customHeight="false" outlineLevel="0" collapsed="false">
      <c r="G61" s="25" t="s">
        <v>22</v>
      </c>
      <c r="Q61" s="25" t="n">
        <f aca="false">SUMIF(Q3:Q58,"&lt;0",Q3:Q58)</f>
        <v>-74791624.7105499</v>
      </c>
      <c r="R61" s="0" t="s">
        <v>97</v>
      </c>
      <c r="W61" s="54"/>
      <c r="AA61" s="54"/>
      <c r="AC61" s="66" t="n">
        <f aca="false">+AC59-'MPR Raptor'!AH80+'MPR Raptor'!AH76+'MPR Raptor'!AH38+AD59</f>
        <v>-2.355136530241E-008</v>
      </c>
      <c r="AD61" s="0" t="s">
        <v>98</v>
      </c>
    </row>
    <row r="62" customFormat="false" ht="15.75" hidden="false" customHeight="false" outlineLevel="0" collapsed="false">
      <c r="G62" s="25" t="s">
        <v>99</v>
      </c>
      <c r="I62" s="16" t="n">
        <f aca="false">+L10*G10+L12*G12+L13*G13+L51*G51+L53*G53+L54*G54+L5*G5+L6*G6</f>
        <v>26329434.7622499</v>
      </c>
      <c r="Q62" s="25" t="n">
        <f aca="false">SUMIF(Q3:Q58,"&gt;0",Q3:Q58)</f>
        <v>963889.138151162</v>
      </c>
      <c r="R62" s="0" t="s">
        <v>100</v>
      </c>
      <c r="W62" s="54"/>
      <c r="AA62" s="26"/>
    </row>
    <row r="63" customFormat="false" ht="15.75" hidden="false" customHeight="false" outlineLevel="0" collapsed="false">
      <c r="G63" s="25" t="s">
        <v>101</v>
      </c>
      <c r="I63" s="17" t="n">
        <f aca="false">+I19+I20+I24+I36+M47</f>
        <v>81826448.64</v>
      </c>
      <c r="Q63" s="66" t="n">
        <f aca="false">+Q61+Q62-Q59</f>
        <v>0</v>
      </c>
      <c r="R63" s="0" t="s">
        <v>98</v>
      </c>
      <c r="W63" s="54"/>
      <c r="AA63" s="54"/>
    </row>
    <row r="64" customFormat="false" ht="15.75" hidden="false" customHeight="false" outlineLevel="0" collapsed="false">
      <c r="W64" s="66"/>
    </row>
    <row r="65" customFormat="false" ht="15.75" hidden="false" customHeight="false" outlineLevel="0" collapsed="false">
      <c r="G65" s="25" t="s">
        <v>102</v>
      </c>
      <c r="I65" s="16" t="n">
        <f aca="false">+I59-I62-I63</f>
        <v>625525845.66775</v>
      </c>
      <c r="W65" s="67"/>
    </row>
  </sheetData>
  <mergeCells count="5">
    <mergeCell ref="H1:I1"/>
    <mergeCell ref="J1:M1"/>
    <mergeCell ref="S1:T1"/>
    <mergeCell ref="Z1:AA1"/>
    <mergeCell ref="AB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49" activePane="bottomLeft" state="frozen"/>
      <selection pane="topLeft" activeCell="A1" activeCellId="0" sqref="A1"/>
      <selection pane="bottomLeft" activeCell="A161" activeCellId="0" sqref="A16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9" width="9.99"/>
    <col collapsed="false" customWidth="true" hidden="false" outlineLevel="0" max="2" min="2" style="68" width="14.74"/>
    <col collapsed="false" customWidth="true" hidden="false" outlineLevel="0" max="3" min="3" style="68" width="9.74"/>
    <col collapsed="false" customWidth="true" hidden="false" outlineLevel="0" max="4" min="4" style="68" width="9.12"/>
    <col collapsed="false" customWidth="true" hidden="false" outlineLevel="0" max="5" min="5" style="68" width="11.24"/>
    <col collapsed="false" customWidth="true" hidden="false" outlineLevel="0" max="8" min="6" style="68" width="9.12"/>
    <col collapsed="false" customWidth="true" hidden="false" outlineLevel="0" max="9" min="9" style="68" width="9.74"/>
    <col collapsed="false" customWidth="true" hidden="false" outlineLevel="0" max="12" min="10" style="68" width="9.12"/>
  </cols>
  <sheetData>
    <row r="1" customFormat="false" ht="15.75" hidden="false" customHeight="false" outlineLevel="0" collapsed="false">
      <c r="A1" s="69" t="s">
        <v>103</v>
      </c>
      <c r="B1" s="70"/>
      <c r="C1" s="71"/>
    </row>
    <row r="2" customFormat="false" ht="15.75" hidden="false" customHeight="false" outlineLevel="0" collapsed="false">
      <c r="B2" s="72" t="n">
        <v>2</v>
      </c>
      <c r="C2" s="72" t="n">
        <f aca="false">+B2+1</f>
        <v>3</v>
      </c>
      <c r="D2" s="72" t="n">
        <f aca="false">+C2+1</f>
        <v>4</v>
      </c>
      <c r="E2" s="72" t="n">
        <f aca="false">+D2+1</f>
        <v>5</v>
      </c>
      <c r="F2" s="72" t="n">
        <f aca="false">+E2+1</f>
        <v>6</v>
      </c>
      <c r="G2" s="72" t="n">
        <f aca="false">+F2+1</f>
        <v>7</v>
      </c>
      <c r="H2" s="72" t="n">
        <f aca="false">+G2+1</f>
        <v>8</v>
      </c>
      <c r="I2" s="72" t="n">
        <f aca="false">+H2+1</f>
        <v>9</v>
      </c>
      <c r="J2" s="72" t="n">
        <f aca="false">+I2+1</f>
        <v>10</v>
      </c>
      <c r="K2" s="72" t="n">
        <f aca="false">+J2+1</f>
        <v>11</v>
      </c>
      <c r="L2" s="72" t="n">
        <f aca="false">+K2+1</f>
        <v>12</v>
      </c>
    </row>
    <row r="3" customFormat="false" ht="47.25" hidden="false" customHeight="false" outlineLevel="0" collapsed="false">
      <c r="A3" s="73"/>
      <c r="B3" s="74" t="s">
        <v>104</v>
      </c>
      <c r="C3" s="74" t="s">
        <v>48</v>
      </c>
      <c r="D3" s="74" t="s">
        <v>47</v>
      </c>
      <c r="E3" s="74" t="s">
        <v>105</v>
      </c>
      <c r="F3" s="74" t="s">
        <v>106</v>
      </c>
      <c r="G3" s="74" t="s">
        <v>49</v>
      </c>
      <c r="H3" s="74" t="s">
        <v>44</v>
      </c>
      <c r="I3" s="74" t="s">
        <v>107</v>
      </c>
      <c r="J3" s="74" t="s">
        <v>52</v>
      </c>
      <c r="K3" s="74" t="s">
        <v>57</v>
      </c>
      <c r="L3" s="74" t="s">
        <v>108</v>
      </c>
    </row>
    <row r="4" customFormat="false" ht="15.75" hidden="false" customHeight="false" outlineLevel="0" collapsed="false">
      <c r="A4" s="75" t="s">
        <v>31</v>
      </c>
      <c r="B4" s="76" t="s">
        <v>109</v>
      </c>
      <c r="C4" s="76" t="s">
        <v>110</v>
      </c>
      <c r="D4" s="76" t="s">
        <v>111</v>
      </c>
      <c r="E4" s="76" t="s">
        <v>112</v>
      </c>
      <c r="F4" s="76" t="s">
        <v>106</v>
      </c>
      <c r="G4" s="76" t="s">
        <v>113</v>
      </c>
      <c r="H4" s="76" t="s">
        <v>114</v>
      </c>
      <c r="I4" s="76" t="s">
        <v>115</v>
      </c>
      <c r="J4" s="76" t="s">
        <v>116</v>
      </c>
      <c r="K4" s="76" t="s">
        <v>117</v>
      </c>
      <c r="L4" s="76" t="s">
        <v>118</v>
      </c>
    </row>
    <row r="5" customFormat="false" ht="15.75" hidden="false" customHeight="false" outlineLevel="0" collapsed="false">
      <c r="A5" s="59" t="n">
        <v>36739</v>
      </c>
      <c r="B5" s="71" t="n">
        <v>76</v>
      </c>
      <c r="C5" s="71" t="n">
        <v>107.5</v>
      </c>
      <c r="D5" s="68" t="n">
        <v>51.7666719158748</v>
      </c>
      <c r="E5" s="68" t="n">
        <v>1.74707700577879</v>
      </c>
      <c r="F5" s="68" t="n">
        <v>0.094</v>
      </c>
      <c r="G5" s="68" t="n">
        <v>3.347881383</v>
      </c>
      <c r="H5" s="68" t="n">
        <v>1.091023692</v>
      </c>
      <c r="I5" s="68" t="n">
        <v>1.091023692</v>
      </c>
      <c r="J5" s="68" t="n">
        <v>6</v>
      </c>
      <c r="K5" s="68" t="n">
        <v>7.125</v>
      </c>
      <c r="N5" s="77"/>
      <c r="O5" s="78"/>
    </row>
    <row r="6" customFormat="false" ht="15.75" hidden="false" customHeight="false" outlineLevel="0" collapsed="false">
      <c r="A6" s="59" t="n">
        <v>36740</v>
      </c>
      <c r="B6" s="71" t="n">
        <v>77.625</v>
      </c>
      <c r="C6" s="71" t="n">
        <v>132</v>
      </c>
      <c r="D6" s="68" t="n">
        <v>51.7666719158748</v>
      </c>
      <c r="E6" s="68" t="n">
        <v>1.75557056043214</v>
      </c>
      <c r="F6" s="68" t="n">
        <v>0.078</v>
      </c>
      <c r="G6" s="68" t="n">
        <v>3.347385044</v>
      </c>
      <c r="H6" s="68" t="n">
        <v>1.195439165</v>
      </c>
      <c r="I6" s="68" t="n">
        <v>1.195439165</v>
      </c>
      <c r="J6" s="68" t="n">
        <v>6</v>
      </c>
      <c r="K6" s="68" t="n">
        <v>7.313</v>
      </c>
      <c r="N6" s="77"/>
      <c r="O6" s="78"/>
    </row>
    <row r="7" customFormat="false" ht="15.75" hidden="false" customHeight="false" outlineLevel="0" collapsed="false">
      <c r="A7" s="59" t="n">
        <v>36741</v>
      </c>
      <c r="B7" s="71" t="n">
        <v>78.016</v>
      </c>
      <c r="C7" s="71" t="n">
        <v>163.5</v>
      </c>
      <c r="D7" s="68" t="n">
        <v>51.7666719158748</v>
      </c>
      <c r="E7" s="68" t="n">
        <v>1.68395527414792</v>
      </c>
      <c r="F7" s="68" t="n">
        <v>0.094</v>
      </c>
      <c r="G7" s="68" t="n">
        <v>4.195402515</v>
      </c>
      <c r="H7" s="68" t="n">
        <v>1.178683892</v>
      </c>
      <c r="I7" s="68" t="n">
        <v>1.178683892</v>
      </c>
      <c r="J7" s="68" t="n">
        <v>5.875</v>
      </c>
      <c r="K7" s="68" t="n">
        <v>7.625</v>
      </c>
      <c r="N7" s="77"/>
      <c r="O7" s="78"/>
    </row>
    <row r="8" customFormat="false" ht="15.75" hidden="false" customHeight="false" outlineLevel="0" collapsed="false">
      <c r="A8" s="59" t="n">
        <v>36742</v>
      </c>
      <c r="B8" s="71" t="n">
        <v>78</v>
      </c>
      <c r="C8" s="71" t="n">
        <v>156</v>
      </c>
      <c r="D8" s="68" t="n">
        <v>51.7666719158748</v>
      </c>
      <c r="E8" s="68" t="n">
        <v>1.67841557569654</v>
      </c>
      <c r="F8" s="68" t="n">
        <v>0.063</v>
      </c>
      <c r="G8" s="68" t="n">
        <v>4.217262234</v>
      </c>
      <c r="H8" s="68" t="n">
        <v>1.135536521</v>
      </c>
      <c r="I8" s="68" t="n">
        <v>1.135536521</v>
      </c>
      <c r="J8" s="68" t="n">
        <v>5.625</v>
      </c>
      <c r="K8" s="68" t="n">
        <v>7.5</v>
      </c>
      <c r="N8" s="77"/>
      <c r="O8" s="78"/>
    </row>
    <row r="9" customFormat="false" ht="15.75" hidden="false" customHeight="false" outlineLevel="0" collapsed="false">
      <c r="A9" s="59" t="n">
        <v>36745</v>
      </c>
      <c r="B9" s="71" t="n">
        <v>80.266</v>
      </c>
      <c r="C9" s="71" t="n">
        <v>140.625</v>
      </c>
      <c r="D9" s="68" t="n">
        <v>51.7666719158748</v>
      </c>
      <c r="E9" s="68" t="n">
        <v>1.68123739071957</v>
      </c>
      <c r="F9" s="68" t="n">
        <v>0.063</v>
      </c>
      <c r="G9" s="68" t="n">
        <v>4.479516674</v>
      </c>
      <c r="H9" s="68" t="n">
        <v>1.099220151</v>
      </c>
      <c r="I9" s="68" t="n">
        <v>1.099220151</v>
      </c>
      <c r="J9" s="68" t="n">
        <v>5.75</v>
      </c>
      <c r="K9" s="68" t="n">
        <v>7.75</v>
      </c>
      <c r="N9" s="77"/>
      <c r="O9" s="78"/>
    </row>
    <row r="10" customFormat="false" ht="15.75" hidden="false" customHeight="false" outlineLevel="0" collapsed="false">
      <c r="A10" s="59" t="n">
        <v>36746</v>
      </c>
      <c r="B10" s="71" t="n">
        <v>82.438</v>
      </c>
      <c r="C10" s="71" t="n">
        <v>125.672</v>
      </c>
      <c r="D10" s="68" t="n">
        <v>52.75</v>
      </c>
      <c r="E10" s="68" t="n">
        <v>1.68067226890756</v>
      </c>
      <c r="F10" s="68" t="n">
        <v>0.078</v>
      </c>
      <c r="G10" s="68" t="n">
        <v>5.058480426</v>
      </c>
      <c r="H10" s="68" t="n">
        <v>1.113244336</v>
      </c>
      <c r="I10" s="68" t="n">
        <v>1.113244336</v>
      </c>
      <c r="J10" s="68" t="n">
        <v>5.75</v>
      </c>
      <c r="K10" s="68" t="n">
        <v>7.688</v>
      </c>
      <c r="N10" s="77"/>
      <c r="O10" s="78"/>
    </row>
    <row r="11" customFormat="false" ht="15.75" hidden="false" customHeight="false" outlineLevel="0" collapsed="false">
      <c r="A11" s="59" t="n">
        <v>36747</v>
      </c>
      <c r="B11" s="71" t="n">
        <v>82.297</v>
      </c>
      <c r="C11" s="71" t="n">
        <v>138.375</v>
      </c>
      <c r="D11" s="68" t="n">
        <v>52</v>
      </c>
      <c r="E11" s="68" t="n">
        <v>1.61855948206097</v>
      </c>
      <c r="F11" s="68" t="n">
        <v>0.063</v>
      </c>
      <c r="G11" s="68" t="n">
        <v>4.998384501</v>
      </c>
      <c r="H11" s="68" t="n">
        <v>1.256169847</v>
      </c>
      <c r="I11" s="68" t="n">
        <v>1.256169847</v>
      </c>
      <c r="J11" s="68" t="n">
        <v>6.0625</v>
      </c>
      <c r="K11" s="68" t="n">
        <v>7.75</v>
      </c>
      <c r="N11" s="77"/>
      <c r="O11" s="78"/>
    </row>
    <row r="12" customFormat="false" ht="15.75" hidden="false" customHeight="false" outlineLevel="0" collapsed="false">
      <c r="A12" s="59" t="n">
        <v>36748</v>
      </c>
      <c r="B12" s="71" t="n">
        <v>80.766</v>
      </c>
      <c r="C12" s="71" t="n">
        <v>132.875</v>
      </c>
      <c r="D12" s="68" t="n">
        <v>42.625</v>
      </c>
      <c r="E12" s="68" t="n">
        <v>1.68634064080944</v>
      </c>
      <c r="F12" s="68" t="n">
        <v>0.078</v>
      </c>
      <c r="G12" s="68" t="n">
        <v>5.055350564</v>
      </c>
      <c r="H12" s="68" t="n">
        <v>1.272361051</v>
      </c>
      <c r="I12" s="68" t="n">
        <v>1.272361051</v>
      </c>
      <c r="J12" s="68" t="n">
        <v>5.75</v>
      </c>
      <c r="K12" s="68" t="n">
        <v>7.75</v>
      </c>
      <c r="N12" s="77"/>
      <c r="O12" s="78"/>
    </row>
    <row r="13" customFormat="false" ht="15.75" hidden="false" customHeight="false" outlineLevel="0" collapsed="false">
      <c r="A13" s="59" t="n">
        <v>36749</v>
      </c>
      <c r="B13" s="71" t="n">
        <v>80.25</v>
      </c>
      <c r="C13" s="71" t="n">
        <v>130.5</v>
      </c>
      <c r="D13" s="68" t="n">
        <v>44.813</v>
      </c>
      <c r="E13" s="68" t="n">
        <v>1.62508428860418</v>
      </c>
      <c r="F13" s="68" t="n">
        <v>0.063</v>
      </c>
      <c r="G13" s="68" t="n">
        <v>4.827922625</v>
      </c>
      <c r="H13" s="68" t="n">
        <v>1.315273496</v>
      </c>
      <c r="I13" s="68" t="n">
        <v>1.315273496</v>
      </c>
      <c r="J13" s="68" t="n">
        <v>6</v>
      </c>
      <c r="K13" s="68" t="n">
        <v>7.875</v>
      </c>
      <c r="N13" s="77"/>
      <c r="O13" s="78"/>
    </row>
    <row r="14" customFormat="false" ht="15.75" hidden="false" customHeight="false" outlineLevel="0" collapsed="false">
      <c r="A14" s="59" t="n">
        <v>36752</v>
      </c>
      <c r="B14" s="71" t="n">
        <v>84.25</v>
      </c>
      <c r="C14" s="71" t="n">
        <v>128.25</v>
      </c>
      <c r="D14" s="68" t="n">
        <v>47.75</v>
      </c>
      <c r="E14" s="68" t="n">
        <v>1.58206543691935</v>
      </c>
      <c r="F14" s="68" t="n">
        <v>0.063</v>
      </c>
      <c r="G14" s="68" t="n">
        <v>5.207184395</v>
      </c>
      <c r="H14" s="68" t="n">
        <v>1.487949299</v>
      </c>
      <c r="I14" s="68" t="n">
        <v>1.487949299</v>
      </c>
      <c r="J14" s="68" t="n">
        <v>6</v>
      </c>
      <c r="K14" s="68" t="n">
        <v>8.188</v>
      </c>
      <c r="N14" s="77"/>
      <c r="O14" s="78"/>
    </row>
    <row r="15" customFormat="false" ht="15.75" hidden="false" customHeight="false" outlineLevel="0" collapsed="false">
      <c r="A15" s="59" t="n">
        <v>36753</v>
      </c>
      <c r="B15" s="71" t="n">
        <v>82.125</v>
      </c>
      <c r="C15" s="71" t="n">
        <v>128.469</v>
      </c>
      <c r="D15" s="68" t="n">
        <v>45.75</v>
      </c>
      <c r="E15" s="68" t="n">
        <v>1.61779575328615</v>
      </c>
      <c r="F15" s="68" t="n">
        <v>0.063</v>
      </c>
      <c r="G15" s="68" t="n">
        <v>5.83250348</v>
      </c>
      <c r="H15" s="68" t="n">
        <v>1.745488257</v>
      </c>
      <c r="I15" s="68" t="n">
        <v>1.745488257</v>
      </c>
      <c r="J15" s="68" t="n">
        <v>6.0625</v>
      </c>
      <c r="K15" s="68" t="n">
        <v>7.938</v>
      </c>
      <c r="N15" s="77"/>
      <c r="O15" s="78"/>
    </row>
    <row r="16" customFormat="false" ht="15.75" hidden="false" customHeight="false" outlineLevel="0" collapsed="false">
      <c r="A16" s="59" t="n">
        <v>36754</v>
      </c>
      <c r="B16" s="68" t="n">
        <v>84.016</v>
      </c>
      <c r="C16" s="68" t="n">
        <v>137.75</v>
      </c>
      <c r="D16" s="68" t="n">
        <v>46.813</v>
      </c>
      <c r="E16" s="68" t="n">
        <v>1.63745855605927</v>
      </c>
      <c r="F16" s="68" t="n">
        <v>0.063</v>
      </c>
      <c r="G16" s="68" t="n">
        <v>5.418667411</v>
      </c>
      <c r="H16" s="68" t="n">
        <v>1.7456441</v>
      </c>
      <c r="I16" s="68" t="n">
        <v>1.7456441</v>
      </c>
      <c r="J16" s="68" t="n">
        <v>5.8125</v>
      </c>
      <c r="K16" s="68" t="n">
        <v>7.75</v>
      </c>
      <c r="N16" s="77"/>
      <c r="O16" s="78"/>
    </row>
    <row r="17" customFormat="false" ht="15.75" hidden="false" customHeight="false" outlineLevel="0" collapsed="false">
      <c r="A17" s="59" t="n">
        <v>36755</v>
      </c>
      <c r="B17" s="68" t="n">
        <v>90</v>
      </c>
      <c r="C17" s="68" t="n">
        <v>153.938</v>
      </c>
      <c r="D17" s="68" t="n">
        <v>50.719</v>
      </c>
      <c r="E17" s="68" t="n">
        <v>1.83791115632418</v>
      </c>
      <c r="F17" s="68" t="n">
        <v>0.078</v>
      </c>
      <c r="G17" s="68" t="n">
        <v>5.714406672</v>
      </c>
      <c r="H17" s="68" t="n">
        <v>1.743570252</v>
      </c>
      <c r="I17" s="68" t="n">
        <v>1.743570252</v>
      </c>
      <c r="J17" s="68" t="n">
        <v>5.75</v>
      </c>
      <c r="K17" s="68" t="n">
        <v>7.75</v>
      </c>
      <c r="N17" s="77"/>
      <c r="O17" s="78"/>
    </row>
    <row r="18" customFormat="false" ht="15.75" hidden="false" customHeight="false" outlineLevel="0" collapsed="false">
      <c r="A18" s="59" t="n">
        <v>36756</v>
      </c>
      <c r="B18" s="68" t="n">
        <v>86.938</v>
      </c>
      <c r="C18" s="68" t="n">
        <v>152</v>
      </c>
      <c r="D18" s="68" t="n">
        <v>49.125</v>
      </c>
      <c r="E18" s="68" t="n">
        <v>1.84281842818428</v>
      </c>
      <c r="F18" s="68" t="n">
        <v>0.079</v>
      </c>
      <c r="G18" s="68" t="n">
        <v>5.297874748</v>
      </c>
      <c r="H18" s="68" t="n">
        <v>1.722050953</v>
      </c>
      <c r="I18" s="68" t="n">
        <v>1.722050953</v>
      </c>
      <c r="J18" s="68" t="n">
        <v>5.75</v>
      </c>
      <c r="K18" s="68" t="n">
        <v>7.75</v>
      </c>
      <c r="N18" s="77"/>
      <c r="O18" s="78"/>
    </row>
    <row r="19" customFormat="false" ht="15.75" hidden="false" customHeight="false" outlineLevel="0" collapsed="false">
      <c r="A19" s="59" t="n">
        <v>36759</v>
      </c>
      <c r="B19" s="68" t="n">
        <v>87.875</v>
      </c>
      <c r="C19" s="68" t="n">
        <v>142</v>
      </c>
      <c r="D19" s="68" t="n">
        <v>48.25</v>
      </c>
      <c r="E19" s="68" t="n">
        <v>1.81016949152542</v>
      </c>
      <c r="F19" s="68" t="n">
        <v>0.079</v>
      </c>
      <c r="G19" s="68" t="n">
        <v>6.096966301</v>
      </c>
      <c r="H19" s="68" t="n">
        <v>1.872408948</v>
      </c>
      <c r="I19" s="68" t="n">
        <v>1.872408948</v>
      </c>
      <c r="J19" s="68" t="n">
        <v>5.5625</v>
      </c>
      <c r="K19" s="68" t="n">
        <v>8.1875</v>
      </c>
      <c r="N19" s="77"/>
      <c r="O19" s="78"/>
    </row>
    <row r="20" customFormat="false" ht="15.75" hidden="false" customHeight="false" outlineLevel="0" collapsed="false">
      <c r="A20" s="59" t="n">
        <v>36760</v>
      </c>
      <c r="B20" s="68" t="n">
        <v>87.5</v>
      </c>
      <c r="C20" s="68" t="n">
        <v>131.25</v>
      </c>
      <c r="D20" s="68" t="n">
        <v>45.125</v>
      </c>
      <c r="E20" s="68" t="n">
        <v>1.82864883169658</v>
      </c>
      <c r="F20" s="68" t="n">
        <v>0.063</v>
      </c>
      <c r="G20" s="68" t="n">
        <v>7.935352409</v>
      </c>
      <c r="H20" s="68" t="n">
        <v>1.778100884</v>
      </c>
      <c r="I20" s="68" t="n">
        <v>1.778100884</v>
      </c>
      <c r="J20" s="68" t="n">
        <v>5.5625</v>
      </c>
      <c r="K20" s="68" t="n">
        <v>8.375</v>
      </c>
    </row>
    <row r="21" customFormat="false" ht="15.75" hidden="false" customHeight="false" outlineLevel="0" collapsed="false">
      <c r="A21" s="59" t="n">
        <v>36761</v>
      </c>
      <c r="B21" s="68" t="n">
        <v>90</v>
      </c>
      <c r="C21" s="68" t="n">
        <v>137.875</v>
      </c>
      <c r="D21" s="68" t="n">
        <v>49.609</v>
      </c>
      <c r="E21" s="68" t="n">
        <v>1.85247558100371</v>
      </c>
      <c r="F21" s="68" t="n">
        <v>0.063</v>
      </c>
      <c r="G21" s="68" t="n">
        <v>7.564614422</v>
      </c>
      <c r="H21" s="68" t="n">
        <v>1.884052797</v>
      </c>
      <c r="I21" s="68" t="n">
        <v>1.884052797</v>
      </c>
      <c r="J21" s="68" t="n">
        <v>5.969</v>
      </c>
      <c r="K21" s="68" t="n">
        <v>8.313</v>
      </c>
    </row>
    <row r="22" customFormat="false" ht="15.75" hidden="false" customHeight="false" outlineLevel="0" collapsed="false">
      <c r="A22" s="59" t="n">
        <v>36762</v>
      </c>
      <c r="B22" s="68" t="n">
        <v>86</v>
      </c>
      <c r="C22" s="68" t="n">
        <v>131</v>
      </c>
      <c r="D22" s="68" t="n">
        <v>49.625</v>
      </c>
      <c r="E22" s="68" t="n">
        <v>1.78883658372562</v>
      </c>
      <c r="F22" s="68" t="n">
        <v>0.07</v>
      </c>
      <c r="G22" s="68" t="n">
        <v>7.31670345315086</v>
      </c>
      <c r="H22" s="68" t="n">
        <v>1.96922929687188</v>
      </c>
      <c r="I22" s="68" t="n">
        <v>1.96922929687188</v>
      </c>
      <c r="J22" s="68" t="n">
        <v>5.96875</v>
      </c>
      <c r="K22" s="68" t="n">
        <v>8.3125</v>
      </c>
    </row>
    <row r="23" customFormat="false" ht="15.75" hidden="false" customHeight="false" outlineLevel="0" collapsed="false">
      <c r="A23" s="59" t="n">
        <v>36763</v>
      </c>
      <c r="B23" s="68" t="n">
        <v>84.875</v>
      </c>
      <c r="C23" s="68" t="n">
        <v>133</v>
      </c>
      <c r="D23" s="68" t="n">
        <v>47.75</v>
      </c>
      <c r="E23" s="68" t="n">
        <v>1.78451178451178</v>
      </c>
      <c r="F23" s="68" t="n">
        <v>0.08</v>
      </c>
      <c r="G23" s="68" t="n">
        <v>7.19532579615669</v>
      </c>
      <c r="H23" s="68" t="n">
        <v>2.11069603883862</v>
      </c>
      <c r="I23" s="68" t="n">
        <v>2.11069603883862</v>
      </c>
      <c r="J23" s="68" t="n">
        <v>5.875</v>
      </c>
      <c r="K23" s="68" t="n">
        <v>8.25</v>
      </c>
    </row>
    <row r="24" customFormat="false" ht="15.75" hidden="false" customHeight="false" outlineLevel="0" collapsed="false">
      <c r="A24" s="59" t="n">
        <v>36766</v>
      </c>
      <c r="B24" s="68" t="n">
        <v>86.625</v>
      </c>
      <c r="C24" s="68" t="n">
        <v>133</v>
      </c>
      <c r="D24" s="68" t="n">
        <v>52.75</v>
      </c>
      <c r="E24" s="68" t="n">
        <v>1.69365721997301</v>
      </c>
      <c r="F24" s="68" t="n">
        <v>0.07</v>
      </c>
      <c r="G24" s="68" t="n">
        <v>8.04734238856761</v>
      </c>
      <c r="H24" s="68" t="n">
        <v>2.48589208912185</v>
      </c>
      <c r="I24" s="68" t="n">
        <v>2.48589208912185</v>
      </c>
      <c r="J24" s="68" t="n">
        <v>6.25</v>
      </c>
      <c r="K24" s="68" t="n">
        <v>8.5</v>
      </c>
    </row>
    <row r="25" customFormat="false" ht="15.75" hidden="false" customHeight="false" outlineLevel="0" collapsed="false">
      <c r="A25" s="59" t="n">
        <v>36767</v>
      </c>
      <c r="B25" s="68" t="n">
        <v>86.25</v>
      </c>
      <c r="C25" s="68" t="n">
        <v>131</v>
      </c>
      <c r="D25" s="68" t="n">
        <v>61.875</v>
      </c>
      <c r="E25" s="68" t="n">
        <v>1.77032848680668</v>
      </c>
      <c r="F25" s="68" t="n">
        <v>0.07</v>
      </c>
      <c r="G25" s="68" t="n">
        <v>8.47743438900871</v>
      </c>
      <c r="H25" s="68" t="n">
        <v>2.33343064416889</v>
      </c>
      <c r="I25" s="68" t="n">
        <v>2.33343064416889</v>
      </c>
      <c r="J25" s="68" t="n">
        <v>6.25</v>
      </c>
      <c r="K25" s="68" t="n">
        <v>8.5</v>
      </c>
    </row>
    <row r="26" customFormat="false" ht="15.75" hidden="false" customHeight="false" outlineLevel="0" collapsed="false">
      <c r="A26" s="59" t="n">
        <v>36768</v>
      </c>
      <c r="B26" s="68" t="n">
        <v>84.875</v>
      </c>
      <c r="C26" s="68" t="n">
        <v>134.5</v>
      </c>
      <c r="D26" s="68" t="n">
        <v>59.4375</v>
      </c>
      <c r="E26" s="68" t="n">
        <v>1.69939065673663</v>
      </c>
      <c r="F26" s="68" t="n">
        <v>0.085</v>
      </c>
      <c r="G26" s="68" t="n">
        <v>7.98871774042421</v>
      </c>
      <c r="H26" s="68" t="n">
        <v>2.51143561330825</v>
      </c>
      <c r="I26" s="68" t="n">
        <v>2.51143561330825</v>
      </c>
      <c r="J26" s="68" t="n">
        <v>6.125</v>
      </c>
      <c r="K26" s="68" t="n">
        <v>8.375</v>
      </c>
    </row>
    <row r="27" customFormat="false" ht="15.75" hidden="false" customHeight="false" outlineLevel="0" collapsed="false">
      <c r="A27" s="59" t="n">
        <v>36769</v>
      </c>
      <c r="B27" s="68" t="n">
        <v>84.875</v>
      </c>
      <c r="C27" s="68" t="n">
        <v>149.8125</v>
      </c>
      <c r="D27" s="68" t="n">
        <v>70.25</v>
      </c>
      <c r="E27" s="68" t="n">
        <v>1.66496772001359</v>
      </c>
      <c r="F27" s="68" t="n">
        <v>0.08</v>
      </c>
      <c r="G27" s="68" t="n">
        <v>7.79543959102719</v>
      </c>
      <c r="H27" s="68" t="n">
        <v>2.68330399528542</v>
      </c>
      <c r="I27" s="68" t="n">
        <v>2.68330399528542</v>
      </c>
      <c r="J27" s="68" t="n">
        <v>5.9375</v>
      </c>
      <c r="K27" s="68" t="n">
        <v>8.3125</v>
      </c>
    </row>
    <row r="28" customFormat="false" ht="15.75" hidden="false" customHeight="false" outlineLevel="0" collapsed="false">
      <c r="A28" s="59" t="n">
        <v>36770</v>
      </c>
      <c r="B28" s="68" t="n">
        <v>85.328</v>
      </c>
      <c r="C28" s="68" t="n">
        <v>144</v>
      </c>
      <c r="D28" s="68" t="n">
        <v>64.9375</v>
      </c>
      <c r="E28" s="68" t="n">
        <v>1.73151354654716</v>
      </c>
      <c r="F28" s="68" t="n">
        <v>0.075</v>
      </c>
      <c r="G28" s="68" t="n">
        <v>7.78644103169332</v>
      </c>
      <c r="H28" s="68" t="n">
        <v>2.66912275399257</v>
      </c>
      <c r="I28" s="68" t="n">
        <v>2.66912275399257</v>
      </c>
      <c r="J28" s="68" t="n">
        <v>5.875</v>
      </c>
      <c r="K28" s="68" t="n">
        <v>8.5625</v>
      </c>
    </row>
    <row r="29" customFormat="false" ht="15.75" hidden="false" customHeight="false" outlineLevel="0" collapsed="false">
      <c r="A29" s="59" t="n">
        <v>36774</v>
      </c>
      <c r="B29" s="68" t="n">
        <v>85</v>
      </c>
      <c r="C29" s="68" t="n">
        <v>133</v>
      </c>
      <c r="D29" s="68" t="n">
        <v>66</v>
      </c>
      <c r="E29" s="68" t="n">
        <v>1.74061433447099</v>
      </c>
      <c r="F29" s="68" t="n">
        <v>0.07</v>
      </c>
      <c r="G29" s="68" t="n">
        <v>7.05692633346725</v>
      </c>
      <c r="H29" s="68" t="n">
        <v>2.02487566873098</v>
      </c>
      <c r="I29" s="68" t="n">
        <v>2.02487566873098</v>
      </c>
      <c r="J29" s="68" t="n">
        <v>5.875</v>
      </c>
      <c r="K29" s="68" t="n">
        <v>8.5625</v>
      </c>
    </row>
    <row r="30" customFormat="false" ht="15.75" hidden="false" customHeight="false" outlineLevel="0" collapsed="false">
      <c r="A30" s="59" t="n">
        <v>36775</v>
      </c>
      <c r="B30" s="68" t="n">
        <v>84.375</v>
      </c>
      <c r="C30" s="68" t="n">
        <v>130.375</v>
      </c>
      <c r="D30" s="68" t="n">
        <v>67</v>
      </c>
      <c r="E30" s="68" t="n">
        <v>1.82210824672695</v>
      </c>
      <c r="F30" s="68" t="n">
        <v>0.069</v>
      </c>
      <c r="G30" s="68" t="n">
        <v>7.36099375650126</v>
      </c>
      <c r="H30" s="68" t="n">
        <v>2.2939211643714</v>
      </c>
      <c r="I30" s="68" t="n">
        <v>2.2939211643714</v>
      </c>
      <c r="J30" s="68" t="n">
        <v>6.125</v>
      </c>
      <c r="K30" s="68" t="n">
        <v>8.375</v>
      </c>
    </row>
    <row r="31" customFormat="false" ht="15.75" hidden="false" customHeight="false" outlineLevel="0" collapsed="false">
      <c r="A31" s="59" t="n">
        <v>36776</v>
      </c>
      <c r="B31" s="68" t="n">
        <v>83.875</v>
      </c>
      <c r="C31" s="68" t="n">
        <v>136</v>
      </c>
      <c r="D31" s="68" t="n">
        <v>68</v>
      </c>
      <c r="E31" s="68" t="n">
        <v>1.62381596752368</v>
      </c>
      <c r="F31" s="68" t="n">
        <v>0.069</v>
      </c>
      <c r="G31" s="68" t="n">
        <v>8.76401821287865</v>
      </c>
      <c r="H31" s="68" t="n">
        <v>2.44826736322499</v>
      </c>
      <c r="I31" s="68" t="n">
        <v>2.44826736322499</v>
      </c>
      <c r="J31" s="68" t="n">
        <v>6</v>
      </c>
      <c r="K31" s="68" t="n">
        <v>8.3125</v>
      </c>
    </row>
    <row r="32" customFormat="false" ht="15.75" hidden="false" customHeight="false" outlineLevel="0" collapsed="false">
      <c r="A32" s="59" t="n">
        <v>36777</v>
      </c>
      <c r="B32" s="68" t="n">
        <v>84.219</v>
      </c>
      <c r="C32" s="68" t="n">
        <v>127.390625</v>
      </c>
      <c r="D32" s="68" t="n">
        <v>63.125</v>
      </c>
      <c r="E32" s="68" t="n">
        <v>1.68607800650054</v>
      </c>
      <c r="F32" s="68" t="n">
        <v>0.064</v>
      </c>
      <c r="G32" s="68" t="n">
        <v>8.14995112127725</v>
      </c>
      <c r="H32" s="68" t="n">
        <v>2.28817732274471</v>
      </c>
      <c r="I32" s="68" t="n">
        <v>2.28817732274471</v>
      </c>
      <c r="J32" s="68" t="n">
        <v>6</v>
      </c>
      <c r="K32" s="68" t="n">
        <v>8.1875</v>
      </c>
    </row>
    <row r="33" customFormat="false" ht="15.75" hidden="false" customHeight="false" outlineLevel="0" collapsed="false">
      <c r="A33" s="59" t="n">
        <v>36780</v>
      </c>
      <c r="B33" s="68" t="n">
        <v>86.016</v>
      </c>
      <c r="C33" s="68" t="n">
        <v>116.0625</v>
      </c>
      <c r="D33" s="68" t="n">
        <v>57.375</v>
      </c>
      <c r="E33" s="68" t="n">
        <v>1.68861870989531</v>
      </c>
      <c r="F33" s="68" t="n">
        <v>0.06</v>
      </c>
      <c r="G33" s="68" t="n">
        <v>9.00733150813746</v>
      </c>
      <c r="H33" s="68" t="n">
        <v>2.04104842839145</v>
      </c>
      <c r="I33" s="68" t="n">
        <v>2.04710696049208</v>
      </c>
      <c r="J33" s="68" t="n">
        <v>6.125</v>
      </c>
      <c r="K33" s="68" t="n">
        <v>8.375</v>
      </c>
    </row>
    <row r="34" customFormat="false" ht="15.75" hidden="false" customHeight="false" outlineLevel="0" collapsed="false">
      <c r="A34" s="59" t="n">
        <v>36781</v>
      </c>
      <c r="B34" s="68" t="n">
        <v>86.125</v>
      </c>
      <c r="C34" s="68" t="n">
        <v>102</v>
      </c>
      <c r="D34" s="68" t="n">
        <v>65.734375</v>
      </c>
      <c r="E34" s="68" t="n">
        <v>1.68804861580013</v>
      </c>
      <c r="F34" s="68" t="n">
        <v>0.055</v>
      </c>
      <c r="G34" s="68" t="n">
        <v>8.09036202569263</v>
      </c>
      <c r="H34" s="68" t="n">
        <v>2.18384643595271</v>
      </c>
      <c r="I34" s="68" t="n">
        <v>2.19019654904089</v>
      </c>
      <c r="J34" s="68" t="n">
        <v>6</v>
      </c>
      <c r="K34" s="68" t="n">
        <v>8.375</v>
      </c>
    </row>
    <row r="35" customFormat="false" ht="15.75" hidden="false" customHeight="false" outlineLevel="0" collapsed="false">
      <c r="A35" s="59" t="n">
        <v>36782</v>
      </c>
      <c r="B35" s="68" t="n">
        <v>86.688</v>
      </c>
      <c r="C35" s="68" t="n">
        <v>101.625</v>
      </c>
      <c r="D35" s="68" t="n">
        <v>72.75</v>
      </c>
      <c r="E35" s="68" t="n">
        <v>1.56492411467116</v>
      </c>
      <c r="F35" s="68" t="n">
        <v>0.06</v>
      </c>
      <c r="G35" s="68" t="n">
        <v>8.20608573306799</v>
      </c>
      <c r="H35" s="68" t="n">
        <v>2.42741630263048</v>
      </c>
      <c r="I35" s="68" t="n">
        <v>2.43424202997399</v>
      </c>
      <c r="J35" s="68" t="n">
        <v>6</v>
      </c>
      <c r="K35" s="68" t="n">
        <v>8.25</v>
      </c>
    </row>
    <row r="36" customFormat="false" ht="15.75" hidden="false" customHeight="false" outlineLevel="0" collapsed="false">
      <c r="A36" s="59" t="n">
        <v>36783</v>
      </c>
      <c r="B36" s="68" t="n">
        <v>86.703</v>
      </c>
      <c r="C36" s="68" t="n">
        <v>100.125</v>
      </c>
      <c r="D36" s="68" t="n">
        <v>68.5</v>
      </c>
      <c r="E36" s="68" t="n">
        <v>1.64783427495292</v>
      </c>
      <c r="F36" s="68" t="n">
        <v>0.06</v>
      </c>
      <c r="G36" s="68" t="n">
        <v>8.26821138653683</v>
      </c>
      <c r="H36" s="68" t="n">
        <v>2.17443830383699</v>
      </c>
      <c r="I36" s="68" t="n">
        <v>2.18077267787115</v>
      </c>
      <c r="J36" s="68" t="n">
        <v>5.875</v>
      </c>
      <c r="K36" s="68" t="n">
        <v>8.375</v>
      </c>
    </row>
    <row r="37" customFormat="false" ht="15.75" hidden="false" customHeight="false" outlineLevel="0" collapsed="false">
      <c r="A37" s="59" t="n">
        <v>36784</v>
      </c>
      <c r="B37" s="68" t="n">
        <v>89.438</v>
      </c>
      <c r="C37" s="68" t="n">
        <v>95.5</v>
      </c>
      <c r="D37" s="68" t="n">
        <v>73.5625</v>
      </c>
      <c r="E37" s="68" t="n">
        <v>1.65205664194201</v>
      </c>
      <c r="F37" s="68" t="n">
        <v>0.062</v>
      </c>
      <c r="G37" s="68" t="n">
        <v>9.05992498935469</v>
      </c>
      <c r="H37" s="68" t="n">
        <v>2.12076709551677</v>
      </c>
      <c r="I37" s="68" t="n">
        <v>2.12699461689176</v>
      </c>
      <c r="J37" s="68" t="n">
        <v>6</v>
      </c>
      <c r="K37" s="68" t="n">
        <v>8.625</v>
      </c>
    </row>
    <row r="38" customFormat="false" ht="15.75" hidden="false" customHeight="false" outlineLevel="0" collapsed="false">
      <c r="A38" s="59" t="n">
        <v>36787</v>
      </c>
      <c r="B38" s="68" t="n">
        <v>89.625</v>
      </c>
      <c r="C38" s="68" t="n">
        <v>88.375</v>
      </c>
      <c r="D38" s="68" t="n">
        <v>70.0625</v>
      </c>
      <c r="E38" s="68" t="n">
        <v>1.64650537634409</v>
      </c>
      <c r="F38" s="68" t="n">
        <v>0.06</v>
      </c>
      <c r="G38" s="68" t="n">
        <v>9.91778603070276</v>
      </c>
      <c r="H38" s="68" t="n">
        <v>2.01580783907124</v>
      </c>
      <c r="I38" s="68" t="n">
        <v>2.02182065046327</v>
      </c>
      <c r="J38" s="68" t="n">
        <v>6.03125</v>
      </c>
      <c r="K38" s="68" t="n">
        <v>8.25</v>
      </c>
    </row>
    <row r="39" customFormat="false" ht="15.75" hidden="false" customHeight="false" outlineLevel="0" collapsed="false">
      <c r="A39" s="59" t="n">
        <v>36788</v>
      </c>
      <c r="B39" s="68" t="n">
        <v>84.875</v>
      </c>
      <c r="C39" s="68" t="n">
        <v>104.1875</v>
      </c>
      <c r="D39" s="68" t="n">
        <v>68.875</v>
      </c>
      <c r="E39" s="68" t="n">
        <v>1.61943319838057</v>
      </c>
      <c r="F39" s="68" t="n">
        <v>0.06</v>
      </c>
      <c r="G39" s="68" t="n">
        <v>9.36913216381038</v>
      </c>
      <c r="H39" s="68" t="n">
        <v>2.01844351161863</v>
      </c>
      <c r="I39" s="68" t="n">
        <v>2.02445978440251</v>
      </c>
      <c r="J39" s="68" t="n">
        <v>6</v>
      </c>
      <c r="K39" s="68" t="n">
        <v>8.5</v>
      </c>
    </row>
    <row r="40" customFormat="false" ht="15.75" hidden="false" customHeight="false" outlineLevel="0" collapsed="false">
      <c r="A40" s="59" t="n">
        <v>36789</v>
      </c>
      <c r="B40" s="68" t="n">
        <v>82.172</v>
      </c>
      <c r="C40" s="68" t="n">
        <v>112.0625</v>
      </c>
      <c r="D40" s="68" t="n">
        <v>67.3125</v>
      </c>
      <c r="E40" s="68" t="n">
        <v>1.55070118662352</v>
      </c>
      <c r="F40" s="68" t="n">
        <v>0.065</v>
      </c>
      <c r="G40" s="68" t="n">
        <v>9.00661434501966</v>
      </c>
      <c r="H40" s="68" t="n">
        <v>2.06992384791027</v>
      </c>
      <c r="I40" s="68" t="n">
        <v>2.07604441951154</v>
      </c>
      <c r="J40" s="68" t="n">
        <v>6</v>
      </c>
      <c r="K40" s="68" t="n">
        <v>8.625</v>
      </c>
    </row>
    <row r="41" customFormat="false" ht="15.75" hidden="false" customHeight="false" outlineLevel="0" collapsed="false">
      <c r="A41" s="59" t="n">
        <v>36790</v>
      </c>
      <c r="B41" s="68" t="n">
        <v>80.75</v>
      </c>
      <c r="C41" s="68" t="n">
        <v>110.625</v>
      </c>
      <c r="D41" s="68" t="n">
        <v>70</v>
      </c>
      <c r="E41" s="68" t="n">
        <v>1.5130119023603</v>
      </c>
      <c r="F41" s="68" t="n">
        <v>0.055</v>
      </c>
      <c r="G41" s="68" t="n">
        <v>8.14952848777012</v>
      </c>
      <c r="H41" s="68" t="n">
        <v>2.0194621249881</v>
      </c>
      <c r="I41" s="68" t="n">
        <v>2.02547848167394</v>
      </c>
      <c r="J41" s="68" t="n">
        <v>6.875</v>
      </c>
      <c r="K41" s="68" t="n">
        <v>8.5</v>
      </c>
    </row>
    <row r="42" customFormat="false" ht="15.75" hidden="false" customHeight="false" outlineLevel="0" collapsed="false">
      <c r="A42" s="59" t="n">
        <v>36791</v>
      </c>
      <c r="B42" s="68" t="n">
        <v>83</v>
      </c>
      <c r="C42" s="68" t="n">
        <v>115.5</v>
      </c>
      <c r="D42" s="68" t="n">
        <v>68.625</v>
      </c>
      <c r="E42" s="68" t="n">
        <v>1.51118275236752</v>
      </c>
      <c r="F42" s="68" t="n">
        <v>0.06</v>
      </c>
      <c r="G42" s="68" t="n">
        <v>6.99243665013428</v>
      </c>
      <c r="H42" s="68" t="n">
        <v>2.15752127811018</v>
      </c>
      <c r="I42" s="68" t="n">
        <v>2.16382344275712</v>
      </c>
      <c r="J42" s="68" t="n">
        <v>6.625</v>
      </c>
      <c r="K42" s="68" t="n">
        <v>8.75</v>
      </c>
    </row>
    <row r="43" customFormat="false" ht="15.75" hidden="false" customHeight="false" outlineLevel="0" collapsed="false">
      <c r="A43" s="59" t="n">
        <v>36794</v>
      </c>
      <c r="B43" s="68" t="n">
        <v>84.438</v>
      </c>
      <c r="C43" s="68" t="n">
        <v>115.984375</v>
      </c>
      <c r="D43" s="68" t="n">
        <v>66</v>
      </c>
      <c r="E43" s="68" t="n">
        <v>1.34535180949818</v>
      </c>
      <c r="F43" s="68" t="n">
        <v>0.055</v>
      </c>
      <c r="G43" s="68" t="n">
        <v>6.44867079036328</v>
      </c>
      <c r="H43" s="68" t="n">
        <v>1.69150871065227</v>
      </c>
      <c r="I43" s="68" t="n">
        <v>1.69680866754153</v>
      </c>
      <c r="J43" s="68" t="n">
        <v>6.375</v>
      </c>
      <c r="K43" s="68" t="n">
        <v>8.75</v>
      </c>
    </row>
    <row r="44" customFormat="false" ht="15.75" hidden="false" customHeight="false" outlineLevel="0" collapsed="false">
      <c r="A44" s="59" t="n">
        <v>36795</v>
      </c>
      <c r="B44" s="68" t="n">
        <v>85.5</v>
      </c>
      <c r="C44" s="68" t="n">
        <v>104.8125</v>
      </c>
      <c r="D44" s="68" t="n">
        <v>64.375</v>
      </c>
      <c r="E44" s="68" t="n">
        <v>1.34508036855202</v>
      </c>
      <c r="F44" s="68" t="n">
        <v>0.05</v>
      </c>
      <c r="G44" s="68" t="n">
        <v>6.80397610221069</v>
      </c>
      <c r="H44" s="68" t="n">
        <v>1.55825514547757</v>
      </c>
      <c r="I44" s="68" t="n">
        <v>1.55825514547757</v>
      </c>
      <c r="J44" s="68" t="n">
        <v>6.25</v>
      </c>
      <c r="K44" s="68" t="n">
        <v>8.75</v>
      </c>
    </row>
    <row r="45" customFormat="false" ht="15.75" hidden="false" customHeight="false" outlineLevel="0" collapsed="false">
      <c r="A45" s="59" t="n">
        <v>36796</v>
      </c>
      <c r="B45" s="68" t="n">
        <v>87.453</v>
      </c>
      <c r="C45" s="68" t="n">
        <v>101.5625</v>
      </c>
      <c r="D45" s="68" t="n">
        <v>65.125</v>
      </c>
      <c r="E45" s="68" t="n">
        <v>1.53794717485791</v>
      </c>
      <c r="F45" s="68" t="n">
        <v>0.05</v>
      </c>
      <c r="G45" s="68" t="n">
        <v>6.68261667107225</v>
      </c>
      <c r="H45" s="68" t="n">
        <v>1.68260675957748</v>
      </c>
      <c r="I45" s="68" t="n">
        <v>1.68260675957748</v>
      </c>
      <c r="J45" s="68" t="n">
        <v>6.375</v>
      </c>
      <c r="K45" s="68" t="n">
        <v>8.8125</v>
      </c>
    </row>
    <row r="46" customFormat="false" ht="15.75" hidden="false" customHeight="false" outlineLevel="0" collapsed="false">
      <c r="A46" s="59" t="n">
        <v>36797</v>
      </c>
      <c r="B46" s="68" t="n">
        <v>89.25</v>
      </c>
      <c r="C46" s="68" t="n">
        <v>102.875</v>
      </c>
      <c r="D46" s="68" t="n">
        <v>60</v>
      </c>
      <c r="E46" s="68" t="n">
        <v>1.49950016661113</v>
      </c>
      <c r="F46" s="68" t="n">
        <v>0.045</v>
      </c>
      <c r="G46" s="68" t="n">
        <v>6.77399787639798</v>
      </c>
      <c r="H46" s="68" t="n">
        <v>1.70446183414704</v>
      </c>
      <c r="I46" s="68" t="n">
        <v>1.70446183414704</v>
      </c>
      <c r="J46" s="68" t="n">
        <v>6.4375</v>
      </c>
      <c r="K46" s="68" t="n">
        <v>8.8125</v>
      </c>
    </row>
    <row r="47" customFormat="false" ht="15.75" hidden="false" customHeight="false" outlineLevel="0" collapsed="false">
      <c r="A47" s="59" t="n">
        <v>36798</v>
      </c>
      <c r="B47" s="68" t="n">
        <v>87.641</v>
      </c>
      <c r="C47" s="68" t="n">
        <v>95.125</v>
      </c>
      <c r="D47" s="68" t="n">
        <v>62</v>
      </c>
      <c r="E47" s="68" t="n">
        <v>1.51392813887767</v>
      </c>
      <c r="F47" s="68" t="n">
        <v>0.055</v>
      </c>
      <c r="G47" s="68" t="n">
        <v>10.9559576843785</v>
      </c>
      <c r="H47" s="68" t="n">
        <v>1.80744497033479</v>
      </c>
      <c r="I47" s="68" t="n">
        <v>1.80744497033479</v>
      </c>
      <c r="J47" s="68" t="n">
        <v>6.4375</v>
      </c>
      <c r="K47" s="68" t="n">
        <v>9.75</v>
      </c>
    </row>
    <row r="48" customFormat="false" ht="15.75" hidden="false" customHeight="false" outlineLevel="0" collapsed="false">
      <c r="A48" s="59" t="n">
        <v>36801</v>
      </c>
      <c r="B48" s="68" t="n">
        <v>86.438</v>
      </c>
      <c r="C48" s="68" t="n">
        <v>80.375</v>
      </c>
      <c r="D48" s="68" t="n">
        <v>60.875</v>
      </c>
      <c r="E48" s="68" t="n">
        <v>1.49649053105549</v>
      </c>
      <c r="F48" s="68" t="n">
        <v>0.045</v>
      </c>
      <c r="G48" s="68" t="n">
        <v>9.22115137587907</v>
      </c>
      <c r="H48" s="68" t="n">
        <v>1.76494222925574</v>
      </c>
      <c r="I48" s="68" t="n">
        <v>1.76494222925574</v>
      </c>
      <c r="J48" s="68" t="n">
        <v>6.5</v>
      </c>
      <c r="K48" s="68" t="n">
        <v>9.25</v>
      </c>
    </row>
    <row r="49" customFormat="false" ht="15.75" hidden="false" customHeight="false" outlineLevel="0" collapsed="false">
      <c r="A49" s="59" t="n">
        <v>36802</v>
      </c>
      <c r="B49" s="68" t="n">
        <v>85.563</v>
      </c>
      <c r="C49" s="68" t="n">
        <v>84.0625</v>
      </c>
      <c r="D49" s="68" t="n">
        <v>55.5</v>
      </c>
      <c r="E49" s="68" t="n">
        <v>1.42904619474909</v>
      </c>
      <c r="F49" s="68" t="n">
        <v>0.045</v>
      </c>
      <c r="G49" s="68" t="n">
        <v>8.98496440269683</v>
      </c>
      <c r="H49" s="68" t="n">
        <v>1.82277419863068</v>
      </c>
      <c r="I49" s="68" t="n">
        <v>1.82277419863068</v>
      </c>
      <c r="J49" s="68" t="n">
        <v>7</v>
      </c>
      <c r="K49" s="68" t="n">
        <v>9.125</v>
      </c>
    </row>
    <row r="50" customFormat="false" ht="15.75" hidden="false" customHeight="false" outlineLevel="0" collapsed="false">
      <c r="A50" s="59" t="e">
        <f aca="false">+#REF!</f>
        <v>#REF!</v>
      </c>
      <c r="B50" s="68" t="n">
        <v>83.063</v>
      </c>
      <c r="C50" s="68" t="n">
        <v>80.515625</v>
      </c>
      <c r="D50" s="68" t="n">
        <v>52.125</v>
      </c>
      <c r="E50" s="68" t="n">
        <v>1.40487021675141</v>
      </c>
      <c r="F50" s="68" t="n">
        <v>0.049</v>
      </c>
      <c r="G50" s="68" t="n">
        <v>8.49821736347245</v>
      </c>
      <c r="H50" s="68" t="n">
        <v>1.80098242032159</v>
      </c>
      <c r="I50" s="68" t="n">
        <v>1.80098242032159</v>
      </c>
      <c r="J50" s="68" t="n">
        <v>6.3125</v>
      </c>
      <c r="K50" s="68" t="n">
        <v>9.5</v>
      </c>
    </row>
    <row r="51" customFormat="false" ht="15.75" hidden="false" customHeight="false" outlineLevel="0" collapsed="false">
      <c r="A51" s="59" t="n">
        <v>36804</v>
      </c>
      <c r="B51" s="68" t="n">
        <v>83</v>
      </c>
      <c r="C51" s="68" t="n">
        <v>81.5</v>
      </c>
      <c r="D51" s="68" t="n">
        <v>45.0625</v>
      </c>
      <c r="E51" s="68" t="n">
        <v>1.97126628800535</v>
      </c>
      <c r="F51" s="68" t="n">
        <v>0.04</v>
      </c>
      <c r="G51" s="68" t="n">
        <v>8.00964743794523</v>
      </c>
      <c r="H51" s="68" t="n">
        <v>1.58285666776238</v>
      </c>
      <c r="I51" s="68" t="n">
        <v>1.58285666776238</v>
      </c>
      <c r="J51" s="68" t="n">
        <v>6.125</v>
      </c>
      <c r="K51" s="68" t="n">
        <v>9.375</v>
      </c>
    </row>
    <row r="52" customFormat="false" ht="15.75" hidden="false" customHeight="false" outlineLevel="0" collapsed="false">
      <c r="A52" s="59" t="n">
        <v>36805</v>
      </c>
      <c r="B52" s="68" t="n">
        <v>81.625</v>
      </c>
      <c r="C52" s="68" t="n">
        <v>77.6875</v>
      </c>
      <c r="D52" s="68" t="n">
        <v>40.875</v>
      </c>
      <c r="E52" s="68" t="n">
        <v>1.97267577474175</v>
      </c>
      <c r="F52" s="68" t="n">
        <v>0.04</v>
      </c>
      <c r="G52" s="68" t="n">
        <v>7.5118515285041</v>
      </c>
      <c r="H52" s="68" t="n">
        <v>1.56591200522142</v>
      </c>
      <c r="I52" s="68" t="n">
        <v>1.56591200522142</v>
      </c>
      <c r="J52" s="68" t="n">
        <v>5.875</v>
      </c>
      <c r="K52" s="68" t="n">
        <v>8.875</v>
      </c>
    </row>
    <row r="53" customFormat="false" ht="15.75" hidden="false" customHeight="false" outlineLevel="0" collapsed="false">
      <c r="A53" s="59" t="n">
        <v>36808</v>
      </c>
      <c r="B53" s="68" t="n">
        <v>83</v>
      </c>
      <c r="C53" s="68" t="n">
        <v>77</v>
      </c>
      <c r="D53" s="68" t="n">
        <v>38</v>
      </c>
      <c r="E53" s="68" t="n">
        <v>1.97267577474175</v>
      </c>
      <c r="F53" s="68" t="n">
        <v>0.045</v>
      </c>
      <c r="G53" s="68" t="n">
        <v>8.11795505698355</v>
      </c>
      <c r="H53" s="68" t="n">
        <v>1.43836548324531</v>
      </c>
      <c r="I53" s="68" t="n">
        <v>1.43836548324531</v>
      </c>
      <c r="J53" s="68" t="n">
        <v>6.25</v>
      </c>
      <c r="K53" s="68" t="n">
        <v>8.9375</v>
      </c>
    </row>
    <row r="54" customFormat="false" ht="15.75" hidden="false" customHeight="false" outlineLevel="0" collapsed="false">
      <c r="A54" s="59" t="n">
        <v>36809</v>
      </c>
      <c r="B54" s="68" t="n">
        <v>81.688</v>
      </c>
      <c r="C54" s="68" t="n">
        <v>69</v>
      </c>
      <c r="D54" s="68" t="n">
        <v>31.75</v>
      </c>
      <c r="E54" s="68" t="n">
        <v>1.98679911994133</v>
      </c>
      <c r="F54" s="68" t="n">
        <v>0.046875</v>
      </c>
      <c r="G54" s="68" t="n">
        <v>8.11501490253338</v>
      </c>
      <c r="H54" s="68" t="n">
        <v>1.73424907249247</v>
      </c>
      <c r="I54" s="68" t="n">
        <v>1.73424907249247</v>
      </c>
      <c r="J54" s="68" t="n">
        <v>6.125</v>
      </c>
      <c r="K54" s="68" t="n">
        <v>9</v>
      </c>
    </row>
    <row r="55" customFormat="false" ht="15.75" hidden="false" customHeight="false" outlineLevel="0" collapsed="false">
      <c r="A55" s="59" t="n">
        <v>36810</v>
      </c>
      <c r="B55" s="68" t="n">
        <v>82.813</v>
      </c>
      <c r="C55" s="68" t="n">
        <v>78.8125</v>
      </c>
      <c r="D55" s="68" t="n">
        <v>31.875</v>
      </c>
      <c r="E55" s="68" t="n">
        <v>1.95322880680308</v>
      </c>
      <c r="F55" s="68" t="n">
        <v>0.045</v>
      </c>
      <c r="G55" s="68" t="n">
        <v>8.59854210841411</v>
      </c>
      <c r="H55" s="68" t="n">
        <v>1.76402835782779</v>
      </c>
      <c r="I55" s="68" t="n">
        <v>1.76402835782779</v>
      </c>
      <c r="J55" s="68" t="n">
        <v>5.9375</v>
      </c>
      <c r="K55" s="68" t="n">
        <v>9.125</v>
      </c>
    </row>
    <row r="56" customFormat="false" ht="15.75" hidden="false" customHeight="false" outlineLevel="0" collapsed="false">
      <c r="A56" s="59" t="n">
        <v>36811</v>
      </c>
      <c r="B56" s="68" t="n">
        <v>79.875</v>
      </c>
      <c r="C56" s="68" t="n">
        <v>76.5</v>
      </c>
      <c r="D56" s="68" t="n">
        <v>38.0625</v>
      </c>
      <c r="E56" s="68" t="n">
        <v>1.94740676955687</v>
      </c>
      <c r="F56" s="68" t="n">
        <v>0.05</v>
      </c>
      <c r="G56" s="68" t="n">
        <v>9.3216382824495</v>
      </c>
      <c r="H56" s="68" t="n">
        <v>2.07086255496214</v>
      </c>
      <c r="I56" s="68" t="n">
        <v>2.07086255496214</v>
      </c>
      <c r="J56" s="68" t="n">
        <v>5.5</v>
      </c>
      <c r="K56" s="68" t="n">
        <v>9.75</v>
      </c>
    </row>
    <row r="57" customFormat="false" ht="15.75" hidden="false" customHeight="false" outlineLevel="0" collapsed="false">
      <c r="A57" s="59" t="n">
        <v>36812</v>
      </c>
      <c r="B57" s="68" t="n">
        <v>79.5</v>
      </c>
      <c r="C57" s="68" t="n">
        <v>81</v>
      </c>
      <c r="D57" s="68" t="n">
        <v>45.25</v>
      </c>
      <c r="E57" s="68" t="n">
        <v>1.94986072423398</v>
      </c>
      <c r="F57" s="68" t="n">
        <v>0.04</v>
      </c>
      <c r="G57" s="68" t="n">
        <v>8.58577046682003</v>
      </c>
      <c r="H57" s="68" t="n">
        <v>1.70450297192277</v>
      </c>
      <c r="I57" s="68" t="n">
        <v>1.70450297192277</v>
      </c>
      <c r="J57" s="68" t="n">
        <v>5.5</v>
      </c>
      <c r="K57" s="68" t="n">
        <v>9.5</v>
      </c>
    </row>
    <row r="58" customFormat="false" ht="15.75" hidden="false" customHeight="false" outlineLevel="0" collapsed="false">
      <c r="A58" s="27" t="n">
        <v>36815</v>
      </c>
      <c r="B58" s="68" t="n">
        <v>80</v>
      </c>
      <c r="C58" s="68" t="n">
        <v>85.6875</v>
      </c>
      <c r="D58" s="68" t="n">
        <v>46.5</v>
      </c>
      <c r="E58" s="68" t="n">
        <v>1.94142810134913</v>
      </c>
      <c r="F58" s="68" t="n">
        <v>0.049</v>
      </c>
      <c r="G58" s="68" t="n">
        <v>8.40691726976271</v>
      </c>
      <c r="H58" s="68" t="n">
        <v>1.57720320387439</v>
      </c>
      <c r="I58" s="68" t="n">
        <v>1.57720320387439</v>
      </c>
      <c r="J58" s="68" t="n">
        <v>5.5625</v>
      </c>
      <c r="K58" s="68" t="n">
        <v>9.5</v>
      </c>
    </row>
    <row r="59" customFormat="false" ht="15.75" hidden="false" customHeight="false" outlineLevel="0" collapsed="false">
      <c r="A59" s="27" t="n">
        <v>36816</v>
      </c>
      <c r="B59" s="68" t="n">
        <v>79.188</v>
      </c>
      <c r="C59" s="68" t="n">
        <v>80.25</v>
      </c>
      <c r="D59" s="68" t="n">
        <v>39.875</v>
      </c>
      <c r="E59" s="68" t="n">
        <v>1.96117143797302</v>
      </c>
      <c r="F59" s="68" t="n">
        <v>0.05</v>
      </c>
      <c r="G59" s="68" t="n">
        <v>8.27442133518271</v>
      </c>
      <c r="H59" s="68" t="n">
        <v>1.48579639674671</v>
      </c>
      <c r="I59" s="68" t="n">
        <v>1.48579639674671</v>
      </c>
      <c r="J59" s="68" t="n">
        <v>5.75</v>
      </c>
      <c r="K59" s="68" t="n">
        <v>9.4375</v>
      </c>
    </row>
    <row r="60" customFormat="false" ht="15.75" hidden="false" customHeight="false" outlineLevel="0" collapsed="false">
      <c r="A60" s="27" t="n">
        <v>36817</v>
      </c>
      <c r="B60" s="68" t="n">
        <v>78.75</v>
      </c>
      <c r="C60" s="68" t="n">
        <v>72</v>
      </c>
      <c r="D60" s="68" t="n">
        <v>37.125</v>
      </c>
      <c r="E60" s="68" t="n">
        <v>1.95250659630607</v>
      </c>
      <c r="F60" s="68" t="n">
        <v>0.055</v>
      </c>
      <c r="G60" s="68" t="n">
        <v>7.72719845641886</v>
      </c>
      <c r="H60" s="68" t="n">
        <v>1.91427274546924</v>
      </c>
      <c r="I60" s="68" t="n">
        <v>1.91427274546924</v>
      </c>
      <c r="J60" s="68" t="n">
        <v>5.625</v>
      </c>
      <c r="K60" s="68" t="n">
        <v>8.875</v>
      </c>
    </row>
    <row r="61" customFormat="false" ht="15.75" hidden="false" customHeight="false" outlineLevel="0" collapsed="false">
      <c r="A61" s="27" t="n">
        <v>36818</v>
      </c>
      <c r="B61" s="68" t="n">
        <v>79</v>
      </c>
      <c r="C61" s="68" t="n">
        <v>65.25</v>
      </c>
      <c r="D61" s="68" t="n">
        <v>39.3125</v>
      </c>
      <c r="E61" s="68" t="n">
        <v>1.9785600847009</v>
      </c>
      <c r="F61" s="68" t="n">
        <v>0.056</v>
      </c>
      <c r="G61" s="68" t="n">
        <v>7.0021410904302</v>
      </c>
      <c r="H61" s="68" t="n">
        <v>1.91436579081252</v>
      </c>
      <c r="I61" s="68" t="n">
        <v>1.91436579081252</v>
      </c>
      <c r="J61" s="68" t="n">
        <v>5.625</v>
      </c>
      <c r="K61" s="68" t="n">
        <v>9.5</v>
      </c>
    </row>
    <row r="62" customFormat="false" ht="15.75" hidden="false" customHeight="false" outlineLevel="0" collapsed="false">
      <c r="A62" s="27" t="n">
        <v>36819</v>
      </c>
      <c r="B62" s="68" t="n">
        <v>80.5</v>
      </c>
      <c r="C62" s="68" t="n">
        <v>67.25</v>
      </c>
      <c r="D62" s="68" t="n">
        <v>40.5</v>
      </c>
      <c r="E62" s="68" t="n">
        <v>1.97725168628488</v>
      </c>
      <c r="F62" s="68" t="n">
        <v>0.05</v>
      </c>
      <c r="G62" s="68" t="n">
        <v>7.00120136870129</v>
      </c>
      <c r="H62" s="68" t="n">
        <v>1.86603653061583</v>
      </c>
      <c r="I62" s="68" t="n">
        <v>1.86603653061583</v>
      </c>
      <c r="J62" s="68" t="n">
        <v>5.5</v>
      </c>
      <c r="K62" s="68" t="n">
        <v>9.4375</v>
      </c>
    </row>
    <row r="63" customFormat="false" ht="15.75" hidden="false" customHeight="false" outlineLevel="0" collapsed="false">
      <c r="A63" s="27" t="n">
        <v>36822</v>
      </c>
      <c r="B63" s="68" t="n">
        <v>82</v>
      </c>
      <c r="C63" s="68" t="n">
        <v>68</v>
      </c>
      <c r="D63" s="68" t="n">
        <v>39.625</v>
      </c>
      <c r="E63" s="68" t="n">
        <v>1.96221411998674</v>
      </c>
      <c r="F63" s="68" t="n">
        <v>0.048</v>
      </c>
      <c r="G63" s="68" t="n">
        <v>6.51277798787854</v>
      </c>
      <c r="H63" s="68" t="n">
        <v>1.87750908557981</v>
      </c>
      <c r="I63" s="68" t="n">
        <v>1.87750908557981</v>
      </c>
      <c r="J63" s="68" t="n">
        <v>5.5</v>
      </c>
      <c r="K63" s="68" t="n">
        <v>9.4375</v>
      </c>
    </row>
    <row r="64" customFormat="false" ht="15.75" hidden="false" customHeight="false" outlineLevel="0" collapsed="false">
      <c r="A64" s="27" t="n">
        <v>36823</v>
      </c>
      <c r="B64" s="68" t="n">
        <v>80.1875</v>
      </c>
      <c r="C64" s="68" t="n">
        <f aca="false">62.875</f>
        <v>62.875</v>
      </c>
      <c r="D64" s="68" t="n">
        <v>47.125</v>
      </c>
      <c r="E64" s="68" t="n">
        <v>1.98281559814937</v>
      </c>
      <c r="F64" s="68" t="n">
        <v>0.045</v>
      </c>
      <c r="G64" s="68" t="n">
        <v>6.15552527919896</v>
      </c>
      <c r="H64" s="68" t="n">
        <v>1.74566462710183</v>
      </c>
      <c r="I64" s="68" t="n">
        <v>1.74566462710183</v>
      </c>
      <c r="J64" s="68" t="n">
        <v>5.78125</v>
      </c>
      <c r="K64" s="68" t="n">
        <v>9.125</v>
      </c>
    </row>
    <row r="65" customFormat="false" ht="15.75" hidden="false" customHeight="false" outlineLevel="0" collapsed="false">
      <c r="A65" s="27" t="n">
        <v>36824</v>
      </c>
      <c r="B65" s="68" t="n">
        <v>76.125</v>
      </c>
      <c r="C65" s="68" t="n">
        <v>51.75</v>
      </c>
      <c r="D65" s="68" t="n">
        <v>41.875</v>
      </c>
      <c r="E65" s="68" t="n">
        <v>1.97563384919328</v>
      </c>
      <c r="F65" s="68" t="n">
        <v>0.045</v>
      </c>
      <c r="G65" s="68" t="n">
        <v>5.74381668549387</v>
      </c>
      <c r="H65" s="68" t="n">
        <v>1.92856208581061</v>
      </c>
      <c r="I65" s="68" t="n">
        <v>1.92856208581061</v>
      </c>
      <c r="J65" s="68" t="n">
        <v>5.5</v>
      </c>
      <c r="K65" s="68" t="n">
        <v>8.8125</v>
      </c>
    </row>
    <row r="66" customFormat="false" ht="15.75" hidden="false" customHeight="false" outlineLevel="0" collapsed="false">
      <c r="A66" s="27" t="n">
        <v>36825</v>
      </c>
      <c r="B66" s="68" t="n">
        <v>77.5</v>
      </c>
      <c r="C66" s="68" t="n">
        <v>44.125</v>
      </c>
      <c r="D66" s="68" t="n">
        <v>41.9375</v>
      </c>
      <c r="E66" s="68" t="n">
        <v>1.94945848375451</v>
      </c>
      <c r="F66" s="68" t="n">
        <v>7.015625</v>
      </c>
      <c r="G66" s="68" t="n">
        <v>6.16120679589233</v>
      </c>
      <c r="H66" s="68" t="n">
        <v>1.4756079801316</v>
      </c>
      <c r="I66" s="68" t="n">
        <v>1.4756079801316</v>
      </c>
      <c r="J66" s="68" t="n">
        <v>5.75</v>
      </c>
      <c r="K66" s="68" t="n">
        <v>8.375</v>
      </c>
    </row>
    <row r="67" customFormat="false" ht="15.75" hidden="false" customHeight="false" outlineLevel="0" collapsed="false">
      <c r="A67" s="27" t="n">
        <v>36826</v>
      </c>
      <c r="B67" s="68" t="n">
        <v>78.875</v>
      </c>
      <c r="C67" s="68" t="n">
        <v>45.375</v>
      </c>
      <c r="D67" s="68" t="n">
        <v>40.5</v>
      </c>
      <c r="E67" s="68" t="n">
        <v>1.96206671026815</v>
      </c>
      <c r="F67" s="68" t="n">
        <v>7.125</v>
      </c>
      <c r="G67" s="68" t="n">
        <v>6.64474884532821</v>
      </c>
      <c r="H67" s="68" t="n">
        <v>1.35974524742169</v>
      </c>
      <c r="I67" s="68" t="n">
        <v>1.35974524742169</v>
      </c>
      <c r="J67" s="68" t="n">
        <v>5.25</v>
      </c>
      <c r="K67" s="68" t="n">
        <v>7.875</v>
      </c>
    </row>
    <row r="68" customFormat="false" ht="15.75" hidden="false" customHeight="false" outlineLevel="0" collapsed="false">
      <c r="A68" s="27" t="n">
        <v>36829</v>
      </c>
      <c r="B68" s="68" t="n">
        <v>80.688</v>
      </c>
      <c r="C68" s="68" t="n">
        <v>40</v>
      </c>
      <c r="D68" s="68" t="n">
        <v>36</v>
      </c>
      <c r="E68" s="68" t="n">
        <v>1.96078431372549</v>
      </c>
      <c r="F68" s="68" t="n">
        <v>7.25</v>
      </c>
      <c r="G68" s="68" t="n">
        <v>6.52293533761587</v>
      </c>
      <c r="H68" s="68" t="n">
        <v>1.55335302791254</v>
      </c>
      <c r="I68" s="68" t="n">
        <v>1.55335302791254</v>
      </c>
      <c r="J68" s="68" t="n">
        <v>5.25</v>
      </c>
      <c r="K68" s="68" t="n">
        <v>7.75</v>
      </c>
    </row>
    <row r="69" customFormat="false" ht="15.75" hidden="false" customHeight="false" outlineLevel="0" collapsed="false">
      <c r="A69" s="27" t="n">
        <v>36830</v>
      </c>
      <c r="B69" s="68" t="n">
        <v>82.063</v>
      </c>
      <c r="C69" s="68" t="n">
        <v>43.375</v>
      </c>
      <c r="D69" s="68" t="n">
        <v>38.125</v>
      </c>
      <c r="E69" s="68" t="n">
        <v>1.98373963259882</v>
      </c>
      <c r="F69" s="68" t="n">
        <v>7</v>
      </c>
      <c r="G69" s="68" t="n">
        <v>6.52245675357263</v>
      </c>
      <c r="H69" s="68" t="n">
        <v>1.80710154498455</v>
      </c>
      <c r="I69" s="68" t="n">
        <v>1.80710154498455</v>
      </c>
      <c r="J69" s="68" t="n">
        <v>5.375</v>
      </c>
      <c r="K69" s="68" t="n">
        <v>7.75</v>
      </c>
    </row>
    <row r="70" customFormat="false" ht="15.75" hidden="false" customHeight="false" outlineLevel="0" collapsed="false">
      <c r="A70" s="27" t="n">
        <v>36831</v>
      </c>
      <c r="B70" s="68" t="n">
        <v>83.25</v>
      </c>
      <c r="C70" s="68" t="n">
        <v>39.9375</v>
      </c>
      <c r="D70" s="68" t="n">
        <v>36.875</v>
      </c>
      <c r="E70" s="68" t="n">
        <v>1.95669188625098</v>
      </c>
      <c r="F70" s="68" t="n">
        <v>7.125</v>
      </c>
      <c r="G70" s="68" t="n">
        <v>6.99940772976985</v>
      </c>
      <c r="H70" s="68" t="n">
        <v>1.75554171941046</v>
      </c>
      <c r="I70" s="68" t="n">
        <v>1.75554171941046</v>
      </c>
      <c r="J70" s="68" t="n">
        <v>5.875</v>
      </c>
      <c r="K70" s="68" t="n">
        <v>8.3125</v>
      </c>
    </row>
    <row r="71" customFormat="false" ht="15.75" hidden="false" customHeight="false" outlineLevel="0" collapsed="false">
      <c r="A71" s="27" t="n">
        <v>36832</v>
      </c>
      <c r="B71" s="68" t="n">
        <v>81.75</v>
      </c>
      <c r="C71" s="68" t="n">
        <v>45.875</v>
      </c>
      <c r="D71" s="68" t="n">
        <v>33.875</v>
      </c>
      <c r="E71" s="68" t="n">
        <v>1.95950359242325</v>
      </c>
      <c r="F71" s="68" t="n">
        <v>7</v>
      </c>
      <c r="G71" s="68" t="n">
        <v>6.99766074755838</v>
      </c>
      <c r="H71" s="68" t="n">
        <v>1.60278096238992</v>
      </c>
      <c r="I71" s="68" t="n">
        <v>1.60278096238992</v>
      </c>
      <c r="J71" s="68" t="n">
        <v>5.625</v>
      </c>
      <c r="K71" s="68" t="n">
        <v>8.5625</v>
      </c>
    </row>
    <row r="72" customFormat="false" ht="15.75" hidden="false" customHeight="false" outlineLevel="0" collapsed="false">
      <c r="A72" s="27" t="n">
        <v>36833</v>
      </c>
      <c r="B72" s="68" t="n">
        <v>77.375</v>
      </c>
      <c r="C72" s="68" t="n">
        <v>50.5</v>
      </c>
      <c r="D72" s="68" t="n">
        <v>31</v>
      </c>
      <c r="E72" s="68" t="n">
        <v>1.95822454308094</v>
      </c>
      <c r="F72" s="68" t="n">
        <v>7.0625</v>
      </c>
      <c r="G72" s="68" t="n">
        <v>6.70485645667854</v>
      </c>
      <c r="H72" s="68" t="n">
        <v>1.89252391136891</v>
      </c>
      <c r="I72" s="68" t="n">
        <v>1.89252391136891</v>
      </c>
      <c r="J72" s="68" t="n">
        <v>5.875</v>
      </c>
      <c r="K72" s="68" t="n">
        <v>9.5</v>
      </c>
    </row>
    <row r="73" customFormat="false" ht="15.75" hidden="false" customHeight="false" outlineLevel="0" collapsed="false">
      <c r="A73" s="27" t="n">
        <v>36836</v>
      </c>
      <c r="B73" s="68" t="n">
        <v>81.563</v>
      </c>
      <c r="C73" s="68" t="n">
        <v>45.125</v>
      </c>
      <c r="D73" s="68" t="n">
        <v>28.5</v>
      </c>
      <c r="E73" s="68" t="n">
        <v>1.96078431372549</v>
      </c>
      <c r="F73" s="68" t="n">
        <v>7</v>
      </c>
      <c r="G73" s="68" t="n">
        <v>7.49281867143489</v>
      </c>
      <c r="H73" s="68" t="n">
        <v>1.44378127696956</v>
      </c>
      <c r="I73" s="68" t="n">
        <v>1.44378127696957</v>
      </c>
      <c r="J73" s="68" t="n">
        <v>5.875</v>
      </c>
      <c r="K73" s="68" t="n">
        <v>9</v>
      </c>
    </row>
    <row r="74" customFormat="false" ht="15.75" hidden="false" customHeight="false" outlineLevel="0" collapsed="false">
      <c r="A74" s="27" t="n">
        <v>36837</v>
      </c>
      <c r="B74" s="68" t="n">
        <v>81.813</v>
      </c>
      <c r="C74" s="68" t="n">
        <v>47.6875</v>
      </c>
      <c r="D74" s="68" t="n">
        <v>27.4375</v>
      </c>
      <c r="E74" s="68" t="n">
        <v>1.95669188625098</v>
      </c>
      <c r="F74" s="68" t="n">
        <v>7.03125</v>
      </c>
      <c r="G74" s="68" t="n">
        <v>7.12870767322689</v>
      </c>
      <c r="H74" s="68" t="n">
        <v>1.58381834585802</v>
      </c>
      <c r="I74" s="68" t="n">
        <v>1.58381834585802</v>
      </c>
      <c r="J74" s="68" t="n">
        <v>5.875</v>
      </c>
      <c r="K74" s="68" t="n">
        <v>9.125</v>
      </c>
    </row>
    <row r="75" customFormat="false" ht="15.75" hidden="false" customHeight="false" outlineLevel="0" collapsed="false">
      <c r="A75" s="27" t="n">
        <v>36838</v>
      </c>
      <c r="B75" s="68" t="n">
        <v>82.125</v>
      </c>
      <c r="C75" s="68" t="n">
        <v>44.015625</v>
      </c>
      <c r="D75" s="68" t="n">
        <v>26</v>
      </c>
      <c r="E75" s="68" t="n">
        <v>1.94805194805195</v>
      </c>
      <c r="F75" s="68" t="n">
        <v>7</v>
      </c>
      <c r="G75" s="68" t="n">
        <v>7.00717786042533</v>
      </c>
      <c r="H75" s="68" t="n">
        <v>1.75227778866355</v>
      </c>
      <c r="I75" s="68" t="n">
        <v>1.75227778866355</v>
      </c>
      <c r="J75" s="68" t="n">
        <v>5.65625</v>
      </c>
      <c r="K75" s="68" t="n">
        <v>9.25</v>
      </c>
    </row>
    <row r="76" customFormat="false" ht="15.75" hidden="false" customHeight="false" outlineLevel="0" collapsed="false">
      <c r="A76" s="27" t="n">
        <v>36839</v>
      </c>
      <c r="B76" s="68" t="n">
        <v>82.938</v>
      </c>
      <c r="C76" s="68" t="n">
        <v>44.875</v>
      </c>
      <c r="D76" s="68" t="n">
        <v>23.375</v>
      </c>
      <c r="E76" s="68" t="n">
        <v>1.93798449612403</v>
      </c>
      <c r="F76" s="68" t="n">
        <v>7.0625</v>
      </c>
      <c r="G76" s="68" t="n">
        <v>7.00653928828444</v>
      </c>
      <c r="H76" s="68" t="n">
        <v>1.7720101180633</v>
      </c>
      <c r="I76" s="68" t="n">
        <v>1.7720101180633</v>
      </c>
      <c r="J76" s="68" t="n">
        <v>5.75</v>
      </c>
      <c r="K76" s="68" t="n">
        <v>8.8125</v>
      </c>
    </row>
    <row r="77" customFormat="false" ht="15.75" hidden="false" customHeight="false" outlineLevel="0" collapsed="false">
      <c r="A77" s="27" t="n">
        <v>36840</v>
      </c>
      <c r="B77" s="68" t="n">
        <f aca="false">82+0.9375</f>
        <v>82.9375</v>
      </c>
      <c r="C77" s="68" t="n">
        <v>41.25</v>
      </c>
      <c r="D77" s="68" t="n">
        <v>20.5625</v>
      </c>
      <c r="E77" s="68" t="n">
        <f aca="false">+E76</f>
        <v>1.93798449612403</v>
      </c>
      <c r="F77" s="68" t="n">
        <v>7</v>
      </c>
      <c r="G77" s="68" t="n">
        <v>6.75685877340168</v>
      </c>
      <c r="H77" s="68" t="n">
        <v>1.78410974514493</v>
      </c>
      <c r="I77" s="68" t="n">
        <v>1.78410974514493</v>
      </c>
      <c r="J77" s="68" t="n">
        <v>5.75</v>
      </c>
      <c r="K77" s="68" t="n">
        <v>9.125</v>
      </c>
    </row>
    <row r="78" customFormat="false" ht="15.75" hidden="false" customHeight="false" outlineLevel="0" collapsed="false">
      <c r="A78" s="27" t="n">
        <v>36843</v>
      </c>
      <c r="B78" s="68" t="n">
        <v>79.438</v>
      </c>
      <c r="C78" s="68" t="n">
        <v>39.6875</v>
      </c>
      <c r="D78" s="68" t="n">
        <v>20</v>
      </c>
      <c r="E78" s="68" t="n">
        <f aca="false">+E77</f>
        <v>1.93798449612403</v>
      </c>
      <c r="F78" s="68" t="n">
        <v>7.0625</v>
      </c>
      <c r="G78" s="68" t="n">
        <v>6.87176597245666</v>
      </c>
      <c r="H78" s="68" t="n">
        <v>1.64512207102282</v>
      </c>
      <c r="I78" s="68" t="n">
        <v>1.64512207102282</v>
      </c>
      <c r="J78" s="68" t="n">
        <v>5.75</v>
      </c>
      <c r="K78" s="68" t="n">
        <v>8.8125</v>
      </c>
    </row>
    <row r="79" customFormat="false" ht="15.75" hidden="false" customHeight="false" outlineLevel="0" collapsed="false">
      <c r="A79" s="27" t="n">
        <v>36844</v>
      </c>
      <c r="B79" s="68" t="n">
        <v>79.563</v>
      </c>
      <c r="C79" s="68" t="n">
        <v>43</v>
      </c>
      <c r="D79" s="68" t="n">
        <v>22.875</v>
      </c>
      <c r="E79" s="68" t="n">
        <v>1.92295241178375</v>
      </c>
      <c r="F79" s="68" t="n">
        <v>7.0625</v>
      </c>
      <c r="G79" s="68" t="n">
        <v>6.9321352961034</v>
      </c>
      <c r="H79" s="68" t="n">
        <v>1.6868108532553</v>
      </c>
      <c r="I79" s="68" t="n">
        <v>1.6868108532553</v>
      </c>
      <c r="J79" s="68" t="n">
        <v>5.3125</v>
      </c>
      <c r="K79" s="68" t="n">
        <v>8.875</v>
      </c>
    </row>
    <row r="80" customFormat="false" ht="15.75" hidden="false" customHeight="false" outlineLevel="0" collapsed="false">
      <c r="A80" s="27" t="n">
        <v>36845</v>
      </c>
      <c r="B80" s="68" t="n">
        <v>80.375</v>
      </c>
      <c r="C80" s="68" t="n">
        <v>40.4375</v>
      </c>
      <c r="D80" s="68" t="n">
        <v>20.375</v>
      </c>
      <c r="E80" s="68" t="n">
        <v>1.91242755956214</v>
      </c>
      <c r="F80" s="68" t="n">
        <v>7.0625</v>
      </c>
      <c r="G80" s="68" t="n">
        <v>7.22915448097465</v>
      </c>
      <c r="H80" s="68" t="n">
        <v>1.66003635311601</v>
      </c>
      <c r="I80" s="68" t="n">
        <v>1.66003635311601</v>
      </c>
      <c r="J80" s="68" t="n">
        <v>5.5</v>
      </c>
      <c r="K80" s="68" t="n">
        <v>8.875</v>
      </c>
    </row>
    <row r="81" customFormat="false" ht="15.75" hidden="false" customHeight="false" outlineLevel="0" collapsed="false">
      <c r="A81" s="27" t="n">
        <v>36846</v>
      </c>
      <c r="B81" s="68" t="n">
        <v>81.25</v>
      </c>
      <c r="C81" s="68" t="n">
        <v>35.25</v>
      </c>
      <c r="D81" s="68" t="n">
        <v>20.25</v>
      </c>
      <c r="E81" s="68" t="n">
        <v>1.91119691119691</v>
      </c>
      <c r="F81" s="68" t="n">
        <v>7.03125</v>
      </c>
      <c r="G81" s="68" t="n">
        <v>6.98218279450574</v>
      </c>
      <c r="H81" s="68" t="n">
        <v>1.67586066062454</v>
      </c>
      <c r="I81" s="68" t="n">
        <v>1.67586066062454</v>
      </c>
      <c r="J81" s="68" t="n">
        <v>5.40625</v>
      </c>
      <c r="K81" s="68" t="n">
        <v>9</v>
      </c>
    </row>
    <row r="82" customFormat="false" ht="15.75" hidden="false" customHeight="false" outlineLevel="0" collapsed="false">
      <c r="A82" s="27" t="n">
        <v>36847</v>
      </c>
      <c r="B82" s="68" t="n">
        <v>81.5</v>
      </c>
      <c r="C82" s="68" t="n">
        <v>28.875</v>
      </c>
      <c r="D82" s="68" t="n">
        <v>18.6875</v>
      </c>
      <c r="E82" s="68" t="n">
        <v>1.90567853705486</v>
      </c>
      <c r="F82" s="68" t="n">
        <v>7.0625</v>
      </c>
      <c r="G82" s="68" t="n">
        <v>6.38203674169892</v>
      </c>
      <c r="H82" s="68" t="n">
        <v>1.67495907959865</v>
      </c>
      <c r="I82" s="68" t="n">
        <v>1.67495907959865</v>
      </c>
      <c r="J82" s="68" t="n">
        <v>5.6875</v>
      </c>
      <c r="K82" s="68" t="n">
        <v>9</v>
      </c>
    </row>
    <row r="83" customFormat="false" ht="15.75" hidden="false" customHeight="false" outlineLevel="0" collapsed="false">
      <c r="A83" s="27" t="n">
        <v>36850</v>
      </c>
      <c r="B83" s="68" t="n">
        <v>80.25</v>
      </c>
      <c r="C83" s="68" t="n">
        <v>24.25</v>
      </c>
      <c r="D83" s="68" t="n">
        <v>18</v>
      </c>
      <c r="E83" s="68" t="n">
        <v>1.90690208667737</v>
      </c>
      <c r="F83" s="68" t="n">
        <v>7.0625</v>
      </c>
      <c r="G83" s="68" t="n">
        <v>5.42513033319289</v>
      </c>
      <c r="H83" s="68" t="n">
        <v>1.58409369811109</v>
      </c>
      <c r="I83" s="68" t="n">
        <v>1.58409369811109</v>
      </c>
      <c r="J83" s="68" t="n">
        <v>5.6875</v>
      </c>
      <c r="K83" s="68" t="n">
        <v>8.625</v>
      </c>
    </row>
    <row r="84" customFormat="false" ht="15.75" hidden="false" customHeight="false" outlineLevel="0" collapsed="false">
      <c r="A84" s="27" t="n">
        <v>36851</v>
      </c>
      <c r="B84" s="68" t="n">
        <v>80.375</v>
      </c>
      <c r="C84" s="68" t="n">
        <v>26.5</v>
      </c>
      <c r="D84" s="68" t="n">
        <v>18.625</v>
      </c>
      <c r="E84" s="68" t="n">
        <v>1.91551112544341</v>
      </c>
      <c r="F84" s="68" t="n">
        <v>7.0625</v>
      </c>
      <c r="G84" s="68" t="n">
        <v>5.78376210086535</v>
      </c>
      <c r="H84" s="68" t="n">
        <v>1.62737553301254</v>
      </c>
      <c r="I84" s="68" t="n">
        <v>1.62737553301254</v>
      </c>
      <c r="J84" s="68" t="n">
        <v>5.6875</v>
      </c>
      <c r="K84" s="68" t="n">
        <v>8.75</v>
      </c>
    </row>
    <row r="85" customFormat="false" ht="15.75" hidden="false" customHeight="false" outlineLevel="0" collapsed="false">
      <c r="A85" s="27" t="n">
        <v>36852</v>
      </c>
      <c r="B85" s="68" t="n">
        <v>75.563</v>
      </c>
      <c r="C85" s="68" t="n">
        <v>21.75</v>
      </c>
      <c r="D85" s="68" t="n">
        <v>16.6875</v>
      </c>
      <c r="E85" s="68" t="n">
        <v>1.9411193788418</v>
      </c>
      <c r="F85" s="68" t="n">
        <v>7.25</v>
      </c>
      <c r="G85" s="68" t="n">
        <v>5.30913935255554</v>
      </c>
      <c r="H85" s="68" t="n">
        <v>1.66751641091997</v>
      </c>
      <c r="I85" s="68" t="n">
        <v>1.66751641091997</v>
      </c>
      <c r="J85" s="68" t="n">
        <v>5.25</v>
      </c>
      <c r="K85" s="68" t="n">
        <v>9</v>
      </c>
    </row>
    <row r="86" customFormat="false" ht="15.75" hidden="false" customHeight="false" outlineLevel="0" collapsed="false">
      <c r="A86" s="27" t="n">
        <v>36854</v>
      </c>
      <c r="B86" s="68" t="n">
        <v>77.75</v>
      </c>
      <c r="C86" s="68" t="n">
        <v>23.125</v>
      </c>
      <c r="D86" s="68" t="n">
        <v>18.375</v>
      </c>
      <c r="E86" s="68" t="n">
        <v>1.94868463786944</v>
      </c>
      <c r="F86" s="68" t="n">
        <v>7.25</v>
      </c>
      <c r="G86" s="68" t="n">
        <v>6.01590789243294</v>
      </c>
      <c r="H86" s="68" t="n">
        <v>1.65998115074932</v>
      </c>
      <c r="I86" s="68" t="n">
        <v>1.65998115074932</v>
      </c>
      <c r="J86" s="68" t="n">
        <v>5.1875</v>
      </c>
      <c r="K86" s="68" t="n">
        <v>9</v>
      </c>
    </row>
    <row r="87" customFormat="false" ht="15.75" hidden="false" customHeight="false" outlineLevel="0" collapsed="false">
      <c r="A87" s="27" t="n">
        <v>36857</v>
      </c>
      <c r="B87" s="68" t="n">
        <v>78.875</v>
      </c>
      <c r="C87" s="68" t="n">
        <v>19.8125</v>
      </c>
      <c r="D87" s="68" t="n">
        <v>17.5</v>
      </c>
      <c r="E87" s="68" t="n">
        <v>1.95439739413681</v>
      </c>
      <c r="F87" s="68" t="n">
        <v>7.25</v>
      </c>
      <c r="G87" s="68" t="n">
        <v>6.07340089730164</v>
      </c>
      <c r="H87" s="68" t="n">
        <v>1.65297083940159</v>
      </c>
      <c r="I87" s="68" t="n">
        <v>1.65297083940159</v>
      </c>
      <c r="J87" s="68" t="n">
        <v>5</v>
      </c>
      <c r="K87" s="68" t="n">
        <v>8.5625</v>
      </c>
    </row>
    <row r="88" customFormat="false" ht="15.75" hidden="false" customHeight="false" outlineLevel="0" collapsed="false">
      <c r="A88" s="27" t="n">
        <v>36858</v>
      </c>
      <c r="B88" s="68" t="n">
        <v>78.438</v>
      </c>
      <c r="C88" s="68" t="n">
        <v>17.0625</v>
      </c>
      <c r="D88" s="68" t="n">
        <v>15.1875</v>
      </c>
      <c r="E88" s="68" t="n">
        <v>1.953125</v>
      </c>
      <c r="F88" s="68" t="n">
        <v>7.0625</v>
      </c>
      <c r="G88" s="68" t="n">
        <v>5.53107990467275</v>
      </c>
      <c r="H88" s="68" t="n">
        <v>1.64465248199356</v>
      </c>
      <c r="I88" s="68" t="n">
        <v>1.64465248199357</v>
      </c>
      <c r="J88" s="68" t="n">
        <v>4.75</v>
      </c>
      <c r="K88" s="68" t="n">
        <v>8.375</v>
      </c>
    </row>
    <row r="89" customFormat="false" ht="15.75" hidden="false" customHeight="false" outlineLevel="0" collapsed="false">
      <c r="A89" s="27" t="n">
        <v>36859</v>
      </c>
      <c r="B89" s="68" t="n">
        <v>70.25</v>
      </c>
      <c r="C89" s="68" t="n">
        <v>19.75</v>
      </c>
      <c r="D89" s="68" t="n">
        <v>14.375</v>
      </c>
      <c r="E89" s="68" t="n">
        <v>1.94615634122608</v>
      </c>
      <c r="F89" s="68" t="n">
        <v>7.0625</v>
      </c>
      <c r="G89" s="68" t="n">
        <v>5.88086945114303</v>
      </c>
      <c r="H89" s="68" t="n">
        <v>1.61520223772368</v>
      </c>
      <c r="I89" s="68" t="n">
        <v>1.61520223772368</v>
      </c>
      <c r="J89" s="68" t="n">
        <v>4.75</v>
      </c>
      <c r="K89" s="68" t="n">
        <v>8.3125</v>
      </c>
    </row>
    <row r="90" customFormat="false" ht="15.75" hidden="false" customHeight="false" outlineLevel="0" collapsed="false">
      <c r="A90" s="27" t="n">
        <v>36860</v>
      </c>
      <c r="B90" s="68" t="n">
        <v>64.75</v>
      </c>
      <c r="C90" s="68" t="n">
        <v>21.125</v>
      </c>
      <c r="D90" s="68" t="n">
        <v>13.6875</v>
      </c>
      <c r="E90" s="68" t="n">
        <v>1.91285177019842</v>
      </c>
      <c r="F90" s="68" t="n">
        <v>6.8125</v>
      </c>
      <c r="G90" s="68" t="n">
        <v>5.0406456673465</v>
      </c>
      <c r="H90" s="68" t="n">
        <v>1.62236386141363</v>
      </c>
      <c r="I90" s="68" t="n">
        <v>1.62236386141363</v>
      </c>
      <c r="J90" s="68" t="n">
        <v>4.5625</v>
      </c>
      <c r="K90" s="68" t="n">
        <v>8.1875</v>
      </c>
    </row>
    <row r="91" customFormat="false" ht="15.75" hidden="false" customHeight="false" outlineLevel="0" collapsed="false">
      <c r="A91" s="27" t="n">
        <v>36861</v>
      </c>
      <c r="B91" s="68" t="n">
        <v>65.5</v>
      </c>
      <c r="C91" s="68" t="n">
        <v>21.75</v>
      </c>
      <c r="D91" s="68" t="n">
        <v>16.8125</v>
      </c>
      <c r="E91" s="68" t="n">
        <v>1.90876738919444</v>
      </c>
      <c r="F91" s="68" t="n">
        <v>6.875</v>
      </c>
      <c r="G91" s="68" t="n">
        <v>4.92930804014004</v>
      </c>
      <c r="H91" s="68" t="n">
        <v>1.60532144670841</v>
      </c>
      <c r="I91" s="68" t="n">
        <v>1.60532144670842</v>
      </c>
      <c r="J91" s="68" t="n">
        <v>4.75</v>
      </c>
      <c r="K91" s="68" t="n">
        <v>8</v>
      </c>
    </row>
    <row r="92" customFormat="false" ht="15.75" hidden="false" customHeight="false" outlineLevel="0" collapsed="false">
      <c r="A92" s="27" t="n">
        <v>36864</v>
      </c>
      <c r="B92" s="68" t="n">
        <v>65.938</v>
      </c>
      <c r="C92" s="68" t="n">
        <v>18</v>
      </c>
      <c r="D92" s="68" t="n">
        <v>17</v>
      </c>
      <c r="E92" s="68" t="n">
        <v>1.91186001296176</v>
      </c>
      <c r="F92" s="68" t="n">
        <v>7</v>
      </c>
      <c r="G92" s="68" t="n">
        <v>5.27698949845046</v>
      </c>
      <c r="H92" s="68" t="n">
        <v>1.61653519002923</v>
      </c>
      <c r="I92" s="68" t="n">
        <v>1.61653519002923</v>
      </c>
      <c r="J92" s="68" t="n">
        <v>4.875</v>
      </c>
      <c r="K92" s="68" t="n">
        <v>8.5</v>
      </c>
    </row>
    <row r="93" customFormat="false" ht="15.75" hidden="false" customHeight="false" outlineLevel="0" collapsed="false">
      <c r="A93" s="27" t="n">
        <v>36865</v>
      </c>
      <c r="B93" s="68" t="n">
        <v>68.25</v>
      </c>
      <c r="C93" s="68" t="n">
        <v>31.75</v>
      </c>
      <c r="D93" s="68" t="n">
        <v>20</v>
      </c>
      <c r="E93" s="68" t="n">
        <v>1.78224238496436</v>
      </c>
      <c r="F93" s="68" t="n">
        <v>7.125</v>
      </c>
      <c r="G93" s="68" t="n">
        <v>5.85987453058916</v>
      </c>
      <c r="H93" s="68" t="n">
        <v>1.56455155526132</v>
      </c>
      <c r="I93" s="68" t="n">
        <v>1.56455155526132</v>
      </c>
      <c r="J93" s="68" t="n">
        <v>4.875</v>
      </c>
      <c r="K93" s="68" t="n">
        <v>8.25</v>
      </c>
    </row>
    <row r="94" customFormat="false" ht="15.75" hidden="false" customHeight="false" outlineLevel="0" collapsed="false">
      <c r="A94" s="27" t="n">
        <v>36866</v>
      </c>
      <c r="B94" s="68" t="n">
        <v>71.938</v>
      </c>
      <c r="C94" s="68" t="n">
        <v>32.375</v>
      </c>
      <c r="D94" s="68" t="n">
        <v>22.625</v>
      </c>
      <c r="E94" s="68" t="n">
        <v>1.80032733224223</v>
      </c>
      <c r="F94" s="68" t="n">
        <v>7.0625</v>
      </c>
      <c r="G94" s="68" t="n">
        <v>5.37544122502547</v>
      </c>
      <c r="H94" s="68" t="n">
        <v>1.72088860026587</v>
      </c>
      <c r="I94" s="68" t="n">
        <v>1.72088860026587</v>
      </c>
      <c r="J94" s="68" t="n">
        <v>4.875</v>
      </c>
      <c r="K94" s="68" t="n">
        <v>7.875</v>
      </c>
    </row>
    <row r="95" customFormat="false" ht="15.75" hidden="false" customHeight="false" outlineLevel="0" collapsed="false">
      <c r="A95" s="27" t="n">
        <v>36867</v>
      </c>
      <c r="B95" s="68" t="n">
        <v>72.875</v>
      </c>
      <c r="C95" s="68" t="n">
        <v>34.5625</v>
      </c>
      <c r="D95" s="68" t="n">
        <v>19.0625</v>
      </c>
      <c r="E95" s="68" t="n">
        <v>1.79832592205075</v>
      </c>
      <c r="F95" s="68" t="n">
        <v>7.09375</v>
      </c>
      <c r="G95" s="68" t="n">
        <v>5.61229678987528</v>
      </c>
      <c r="H95" s="68" t="n">
        <v>1.74223112866764</v>
      </c>
      <c r="I95" s="68" t="n">
        <v>1.74223112866764</v>
      </c>
      <c r="J95" s="68" t="n">
        <v>4.8125</v>
      </c>
      <c r="K95" s="68" t="n">
        <v>7.875</v>
      </c>
    </row>
    <row r="96" customFormat="false" ht="15.75" hidden="false" customHeight="false" outlineLevel="0" collapsed="false">
      <c r="A96" s="27" t="n">
        <v>36868</v>
      </c>
      <c r="B96" s="68" t="n">
        <v>73.063</v>
      </c>
      <c r="C96" s="68" t="n">
        <v>38.9375</v>
      </c>
      <c r="D96" s="68" t="n">
        <v>23.4375</v>
      </c>
      <c r="E96" s="68" t="n">
        <v>1.81016324381253</v>
      </c>
      <c r="F96" s="68" t="n">
        <v>7.0625</v>
      </c>
      <c r="G96" s="68" t="n">
        <v>5.73520829191936</v>
      </c>
      <c r="H96" s="68" t="n">
        <v>1.74475231163089</v>
      </c>
      <c r="I96" s="68" t="n">
        <v>1.74475231163089</v>
      </c>
      <c r="J96" s="68" t="n">
        <v>4.8125</v>
      </c>
      <c r="K96" s="68" t="n">
        <v>8</v>
      </c>
    </row>
    <row r="97" customFormat="false" ht="15.75" hidden="false" customHeight="false" outlineLevel="0" collapsed="false">
      <c r="A97" s="27" t="n">
        <v>36871</v>
      </c>
      <c r="B97" s="68" t="n">
        <v>76.5</v>
      </c>
      <c r="C97" s="68" t="n">
        <v>42.375</v>
      </c>
      <c r="D97" s="68" t="n">
        <v>25.875</v>
      </c>
      <c r="E97" s="68" t="n">
        <v>1.80209698558322</v>
      </c>
      <c r="F97" s="68" t="n">
        <v>7.1875</v>
      </c>
      <c r="G97" s="68" t="n">
        <v>7.17540968399729</v>
      </c>
      <c r="H97" s="68" t="n">
        <v>1.67756105459986</v>
      </c>
      <c r="I97" s="68" t="n">
        <v>1.67756105459986</v>
      </c>
      <c r="J97" s="68" t="n">
        <v>4.75</v>
      </c>
      <c r="K97" s="68" t="n">
        <v>8.5</v>
      </c>
    </row>
    <row r="98" customFormat="false" ht="15.75" hidden="false" customHeight="false" outlineLevel="0" collapsed="false">
      <c r="A98" s="27" t="n">
        <v>36872</v>
      </c>
      <c r="B98" s="68" t="n">
        <v>77.188</v>
      </c>
      <c r="C98" s="68" t="n">
        <v>40.25</v>
      </c>
      <c r="D98" s="68" t="n">
        <v>23.125</v>
      </c>
      <c r="E98" s="68" t="n">
        <v>1.80032733224223</v>
      </c>
      <c r="F98" s="68" t="n">
        <v>7.1875</v>
      </c>
      <c r="G98" s="68" t="n">
        <v>5.97279156570645</v>
      </c>
      <c r="H98" s="68" t="n">
        <v>1.65395093336837</v>
      </c>
      <c r="I98" s="68" t="n">
        <v>1.65395093336837</v>
      </c>
      <c r="J98" s="68" t="n">
        <v>4.9375</v>
      </c>
      <c r="K98" s="68" t="n">
        <v>8.25</v>
      </c>
    </row>
    <row r="99" customFormat="false" ht="15.75" hidden="false" customHeight="false" outlineLevel="0" collapsed="false">
      <c r="A99" s="27" t="n">
        <v>36873</v>
      </c>
      <c r="B99" s="68" t="n">
        <v>74.5</v>
      </c>
      <c r="C99" s="68" t="n">
        <v>37.6875</v>
      </c>
      <c r="D99" s="68" t="n">
        <v>22.625</v>
      </c>
      <c r="E99" s="68" t="n">
        <v>1.80683311432326</v>
      </c>
      <c r="F99" s="68" t="n">
        <v>7.125</v>
      </c>
      <c r="G99" s="68" t="n">
        <v>6.68323537409834</v>
      </c>
      <c r="H99" s="68" t="n">
        <v>1.58245148727971</v>
      </c>
      <c r="I99" s="68" t="n">
        <v>1.58245148727971</v>
      </c>
      <c r="J99" s="68" t="n">
        <v>4.875</v>
      </c>
      <c r="K99" s="68" t="n">
        <v>8.125</v>
      </c>
    </row>
    <row r="100" customFormat="false" ht="15.75" hidden="false" customHeight="false" outlineLevel="0" collapsed="false">
      <c r="A100" s="27" t="n">
        <v>36874</v>
      </c>
      <c r="B100" s="68" t="n">
        <v>76.5</v>
      </c>
      <c r="C100" s="68" t="n">
        <v>33.3125</v>
      </c>
      <c r="D100" s="68" t="n">
        <v>22.0625</v>
      </c>
      <c r="E100" s="68" t="n">
        <v>1.81219110378913</v>
      </c>
      <c r="F100" s="68" t="n">
        <v>7.125</v>
      </c>
      <c r="G100" s="68" t="n">
        <v>6.31602250876487</v>
      </c>
      <c r="H100" s="68" t="n">
        <v>1.65820401117404</v>
      </c>
      <c r="I100" s="68" t="n">
        <v>1.65820401117404</v>
      </c>
      <c r="J100" s="68" t="n">
        <v>4.625</v>
      </c>
      <c r="K100" s="68" t="n">
        <v>8.1875</v>
      </c>
      <c r="L100" s="68" t="n">
        <v>13.125</v>
      </c>
    </row>
    <row r="101" customFormat="false" ht="15.75" hidden="false" customHeight="false" outlineLevel="0" collapsed="false">
      <c r="A101" s="27" t="n">
        <v>36875</v>
      </c>
      <c r="B101" s="68" t="n">
        <v>77.563</v>
      </c>
      <c r="C101" s="68" t="n">
        <v>31.25</v>
      </c>
      <c r="D101" s="68" t="n">
        <v>19.875</v>
      </c>
      <c r="E101" s="68" t="n">
        <v>1.81040157998683</v>
      </c>
      <c r="F101" s="68" t="n">
        <v>7.0625</v>
      </c>
      <c r="G101" s="68" t="n">
        <v>5.59650898241801</v>
      </c>
      <c r="H101" s="68" t="n">
        <v>1.6519507510517</v>
      </c>
      <c r="I101" s="68" t="n">
        <v>1.6519507510517</v>
      </c>
      <c r="J101" s="68" t="n">
        <v>4.5</v>
      </c>
      <c r="K101" s="68" t="n">
        <v>8.25</v>
      </c>
      <c r="L101" s="68" t="n">
        <v>12.875</v>
      </c>
    </row>
    <row r="102" customFormat="false" ht="15.75" hidden="false" customHeight="false" outlineLevel="0" collapsed="false">
      <c r="A102" s="27" t="n">
        <v>36878</v>
      </c>
      <c r="B102" s="68" t="n">
        <v>79.563</v>
      </c>
      <c r="C102" s="68" t="n">
        <v>27.9375</v>
      </c>
      <c r="D102" s="68" t="n">
        <v>18.5</v>
      </c>
      <c r="E102" s="68" t="n">
        <v>1.79973821989529</v>
      </c>
      <c r="F102" s="68" t="n">
        <v>7.25</v>
      </c>
      <c r="G102" s="68" t="n">
        <v>6.36444205219484</v>
      </c>
      <c r="H102" s="68" t="n">
        <v>1.4982622859237</v>
      </c>
      <c r="I102" s="68" t="n">
        <v>1.4982622859237</v>
      </c>
      <c r="J102" s="68" t="n">
        <v>4.5</v>
      </c>
      <c r="K102" s="68" t="n">
        <v>8.3125</v>
      </c>
      <c r="L102" s="68" t="n">
        <v>13.75</v>
      </c>
    </row>
    <row r="103" customFormat="false" ht="15.75" hidden="false" customHeight="false" outlineLevel="0" collapsed="false">
      <c r="A103" s="27" t="n">
        <v>36879</v>
      </c>
      <c r="B103" s="68" t="n">
        <v>79.75</v>
      </c>
      <c r="C103" s="68" t="n">
        <v>22.8125</v>
      </c>
      <c r="D103" s="68" t="n">
        <v>17.625</v>
      </c>
      <c r="E103" s="68" t="n">
        <v>1.64149704530532</v>
      </c>
      <c r="F103" s="68" t="n">
        <v>7.25</v>
      </c>
      <c r="G103" s="68" t="n">
        <v>5.94827078194142</v>
      </c>
      <c r="H103" s="68" t="n">
        <v>1.62063590498705</v>
      </c>
      <c r="I103" s="68" t="n">
        <v>1.62063590498705</v>
      </c>
      <c r="J103" s="68" t="n">
        <v>4.625</v>
      </c>
      <c r="K103" s="68" t="n">
        <v>8</v>
      </c>
      <c r="L103" s="68" t="n">
        <v>13.688</v>
      </c>
    </row>
    <row r="104" customFormat="false" ht="15.75" hidden="false" customHeight="false" outlineLevel="0" collapsed="false">
      <c r="A104" s="27" t="n">
        <v>36880</v>
      </c>
      <c r="B104" s="68" t="n">
        <v>79.75</v>
      </c>
      <c r="C104" s="68" t="n">
        <v>18.875</v>
      </c>
      <c r="D104" s="68" t="n">
        <v>15.25</v>
      </c>
      <c r="E104" s="68" t="n">
        <v>1.64149704530532</v>
      </c>
      <c r="F104" s="68" t="n">
        <v>7.5</v>
      </c>
      <c r="G104" s="68" t="n">
        <v>5.57949136097187</v>
      </c>
      <c r="H104" s="68" t="n">
        <v>1.66914413201882</v>
      </c>
      <c r="I104" s="68" t="n">
        <v>1.66914413201882</v>
      </c>
      <c r="J104" s="68" t="n">
        <v>4.4375</v>
      </c>
      <c r="K104" s="68" t="n">
        <v>8</v>
      </c>
      <c r="L104" s="68" t="n">
        <v>14.938</v>
      </c>
    </row>
    <row r="105" customFormat="false" ht="15.75" hidden="false" customHeight="false" outlineLevel="0" collapsed="false">
      <c r="A105" s="27" t="n">
        <v>36881</v>
      </c>
      <c r="B105" s="68" t="n">
        <v>79.313</v>
      </c>
      <c r="C105" s="68" t="n">
        <v>19.8125</v>
      </c>
      <c r="D105" s="68" t="n">
        <v>16.9375</v>
      </c>
      <c r="E105" s="68" t="n">
        <v>1.64473684210526</v>
      </c>
      <c r="F105" s="68" t="n">
        <v>7.5</v>
      </c>
      <c r="G105" s="68" t="n">
        <v>4.98338655448854</v>
      </c>
      <c r="H105" s="68" t="n">
        <v>1.47621097653787</v>
      </c>
      <c r="I105" s="68" t="n">
        <v>1.47621097653787</v>
      </c>
      <c r="J105" s="68" t="n">
        <v>4.34375</v>
      </c>
      <c r="K105" s="68" t="n">
        <v>7.875</v>
      </c>
      <c r="L105" s="68" t="n">
        <v>16.5</v>
      </c>
    </row>
    <row r="106" customFormat="false" ht="15.75" hidden="false" customHeight="false" outlineLevel="0" collapsed="false">
      <c r="A106" s="27" t="n">
        <v>36882</v>
      </c>
      <c r="B106" s="68" t="n">
        <v>81.188</v>
      </c>
      <c r="C106" s="68" t="n">
        <v>24.9375</v>
      </c>
      <c r="D106" s="68" t="n">
        <v>17.4375</v>
      </c>
      <c r="E106" s="68" t="n">
        <v>1.6463615409944</v>
      </c>
      <c r="F106" s="68" t="n">
        <v>7.4375</v>
      </c>
      <c r="G106" s="68" t="n">
        <v>5.21719887179508</v>
      </c>
      <c r="H106" s="68" t="n">
        <v>1.6151803860862</v>
      </c>
      <c r="I106" s="68" t="n">
        <v>1.6151803860862</v>
      </c>
      <c r="J106" s="68" t="n">
        <v>4.75</v>
      </c>
      <c r="K106" s="68" t="n">
        <v>8.25</v>
      </c>
      <c r="L106" s="68" t="n">
        <v>16.4375</v>
      </c>
    </row>
    <row r="107" customFormat="false" ht="15.75" hidden="false" customHeight="false" outlineLevel="0" collapsed="false">
      <c r="A107" s="27" t="n">
        <v>36886</v>
      </c>
      <c r="B107" s="68" t="n">
        <v>83.5</v>
      </c>
      <c r="C107" s="68" t="n">
        <v>26.25</v>
      </c>
      <c r="D107" s="68" t="n">
        <v>20.375</v>
      </c>
      <c r="E107" s="68" t="n">
        <v>1.6463615409944</v>
      </c>
      <c r="F107" s="68" t="n">
        <v>7.75</v>
      </c>
      <c r="G107" s="68" t="n">
        <v>6.15819726841122</v>
      </c>
      <c r="H107" s="68" t="n">
        <v>1.58170036971591</v>
      </c>
      <c r="I107" s="68" t="n">
        <v>1.58170036971591</v>
      </c>
      <c r="J107" s="68" t="n">
        <v>4.75</v>
      </c>
      <c r="K107" s="68" t="n">
        <v>8.375</v>
      </c>
      <c r="L107" s="68" t="n">
        <v>16.25</v>
      </c>
    </row>
    <row r="108" customFormat="false" ht="15.75" hidden="false" customHeight="false" outlineLevel="0" collapsed="false">
      <c r="A108" s="27" t="n">
        <v>36887</v>
      </c>
      <c r="B108" s="68" t="n">
        <v>82.813</v>
      </c>
      <c r="C108" s="68" t="n">
        <v>25.25</v>
      </c>
      <c r="D108" s="68" t="n">
        <v>20.875</v>
      </c>
      <c r="E108" s="68" t="n">
        <v>1.65289256198347</v>
      </c>
      <c r="F108" s="68" t="n">
        <v>7.75</v>
      </c>
      <c r="G108" s="68" t="n">
        <v>5.68908130993848</v>
      </c>
      <c r="H108" s="68" t="n">
        <v>1.75330469703613</v>
      </c>
      <c r="I108" s="68" t="n">
        <v>1.75330469703613</v>
      </c>
      <c r="J108" s="68" t="n">
        <v>4.25</v>
      </c>
      <c r="K108" s="68" t="n">
        <v>8.4375</v>
      </c>
      <c r="L108" s="68" t="n">
        <v>17.25</v>
      </c>
    </row>
    <row r="109" customFormat="false" ht="15.75" hidden="false" customHeight="false" outlineLevel="0" collapsed="false">
      <c r="A109" s="27" t="n">
        <v>36888</v>
      </c>
      <c r="B109" s="68" t="n">
        <v>84.625</v>
      </c>
      <c r="C109" s="68" t="n">
        <v>27.5</v>
      </c>
      <c r="D109" s="68" t="n">
        <v>24.5</v>
      </c>
      <c r="E109" s="68" t="n">
        <v>1.66500166500167</v>
      </c>
      <c r="F109" s="68" t="n">
        <v>7.9375</v>
      </c>
      <c r="G109" s="68" t="n">
        <v>5.69303564623114</v>
      </c>
      <c r="H109" s="68" t="n">
        <v>2.85728942183967</v>
      </c>
      <c r="I109" s="68" t="n">
        <v>2.85728942183967</v>
      </c>
      <c r="J109" s="68" t="n">
        <v>4.5</v>
      </c>
      <c r="K109" s="68" t="n">
        <v>9.75</v>
      </c>
      <c r="L109" s="68" t="n">
        <v>18</v>
      </c>
    </row>
    <row r="110" customFormat="false" ht="15.75" hidden="false" customHeight="false" outlineLevel="0" collapsed="false">
      <c r="A110" s="27" t="n">
        <v>36889</v>
      </c>
      <c r="B110" s="68" t="n">
        <v>83.125</v>
      </c>
      <c r="C110" s="68" t="n">
        <v>24.625</v>
      </c>
      <c r="D110" s="68" t="n">
        <v>21.9375</v>
      </c>
      <c r="E110" s="68" t="n">
        <v>1.64214398318445</v>
      </c>
      <c r="F110" s="68" t="n">
        <v>7.875</v>
      </c>
      <c r="G110" s="68" t="n">
        <v>6.04601220724392</v>
      </c>
      <c r="H110" s="68" t="n">
        <v>2.71493414202131</v>
      </c>
      <c r="I110" s="68" t="n">
        <v>2.71493414202131</v>
      </c>
      <c r="J110" s="68" t="n">
        <v>4.5</v>
      </c>
      <c r="K110" s="68" t="n">
        <v>9.625</v>
      </c>
      <c r="L110" s="68" t="n">
        <v>17.25</v>
      </c>
    </row>
    <row r="111" customFormat="false" ht="15.75" hidden="false" customHeight="false" outlineLevel="0" collapsed="false">
      <c r="A111" s="27" t="n">
        <v>36893</v>
      </c>
      <c r="B111" s="68" t="n">
        <v>79.875</v>
      </c>
      <c r="C111" s="68" t="n">
        <v>23.25</v>
      </c>
      <c r="D111" s="68" t="n">
        <v>20</v>
      </c>
      <c r="E111" s="68" t="n">
        <v>1.67358414781095</v>
      </c>
      <c r="F111" s="68" t="n">
        <v>7.5625</v>
      </c>
      <c r="G111" s="68" t="n">
        <v>6.04358386691883</v>
      </c>
      <c r="H111" s="68" t="n">
        <v>2.26962395502388</v>
      </c>
      <c r="I111" s="68" t="n">
        <v>2.26962395502388</v>
      </c>
      <c r="J111" s="68" t="n">
        <v>4.25</v>
      </c>
      <c r="K111" s="68" t="n">
        <v>10.375</v>
      </c>
      <c r="L111" s="68" t="n">
        <v>17.25</v>
      </c>
    </row>
    <row r="112" customFormat="false" ht="15.75" hidden="false" customHeight="false" outlineLevel="0" collapsed="false">
      <c r="A112" s="27" t="n">
        <v>36894</v>
      </c>
      <c r="B112" s="68" t="n">
        <v>75.063</v>
      </c>
      <c r="C112" s="68" t="n">
        <v>26</v>
      </c>
      <c r="D112" s="68" t="n">
        <v>20.5625</v>
      </c>
      <c r="E112" s="68" t="n">
        <v>1.66833500166834</v>
      </c>
      <c r="F112" s="68" t="n">
        <v>7.375</v>
      </c>
      <c r="G112" s="68" t="n">
        <v>5.45011993011772</v>
      </c>
      <c r="H112" s="68" t="n">
        <v>2.09723227092025</v>
      </c>
      <c r="I112" s="68" t="n">
        <v>2.09723227092025</v>
      </c>
      <c r="J112" s="68" t="n">
        <v>4.625</v>
      </c>
      <c r="K112" s="68" t="n">
        <v>9.625</v>
      </c>
      <c r="L112" s="68" t="n">
        <v>16.9375</v>
      </c>
    </row>
    <row r="113" customFormat="false" ht="15.75" hidden="false" customHeight="false" outlineLevel="0" collapsed="false">
      <c r="A113" s="27" t="n">
        <v>36895</v>
      </c>
      <c r="B113" s="68" t="n">
        <v>72</v>
      </c>
      <c r="C113" s="68" t="n">
        <v>24.9375</v>
      </c>
      <c r="D113" s="68" t="n">
        <v>19.9375</v>
      </c>
      <c r="E113" s="68" t="n">
        <v>1.66833500166834</v>
      </c>
      <c r="F113" s="68" t="n">
        <v>7.375</v>
      </c>
      <c r="G113" s="68" t="n">
        <v>5.90856261173477</v>
      </c>
      <c r="H113" s="68" t="n">
        <v>2.05352314830026</v>
      </c>
      <c r="I113" s="68" t="n">
        <v>2.05352314830026</v>
      </c>
      <c r="J113" s="68" t="n">
        <v>4.625</v>
      </c>
      <c r="K113" s="68" t="n">
        <v>9.625</v>
      </c>
      <c r="L113" s="68" t="n">
        <v>16.9375</v>
      </c>
    </row>
    <row r="114" customFormat="false" ht="15.75" hidden="false" customHeight="false" outlineLevel="0" collapsed="false">
      <c r="A114" s="27" t="n">
        <v>36896</v>
      </c>
      <c r="B114" s="68" t="n">
        <v>71.375</v>
      </c>
      <c r="C114" s="68" t="n">
        <v>21.3125</v>
      </c>
      <c r="D114" s="68" t="n">
        <v>19.8125</v>
      </c>
      <c r="E114" s="68" t="n">
        <v>1.66666666666667</v>
      </c>
      <c r="F114" s="68" t="n">
        <v>7.375</v>
      </c>
      <c r="G114" s="68" t="n">
        <v>5.83383823472754</v>
      </c>
      <c r="H114" s="68" t="n">
        <v>2.03149543598042</v>
      </c>
      <c r="I114" s="68" t="n">
        <v>2.03149543598042</v>
      </c>
      <c r="J114" s="68" t="n">
        <v>4.75</v>
      </c>
      <c r="K114" s="68" t="n">
        <v>9.875</v>
      </c>
      <c r="L114" s="68" t="n">
        <v>16.0625</v>
      </c>
    </row>
    <row r="115" customFormat="false" ht="15.75" hidden="false" customHeight="false" outlineLevel="0" collapsed="false">
      <c r="A115" s="27" t="n">
        <v>36899</v>
      </c>
      <c r="B115" s="68" t="n">
        <v>71.25</v>
      </c>
      <c r="C115" s="68" t="n">
        <v>19.75</v>
      </c>
      <c r="D115" s="68" t="n">
        <v>20.25</v>
      </c>
      <c r="E115" s="68" t="n">
        <v>1.67280026764804</v>
      </c>
      <c r="F115" s="68" t="n">
        <v>7.1875</v>
      </c>
      <c r="G115" s="68" t="n">
        <v>5.88568633072496</v>
      </c>
      <c r="H115" s="68" t="n">
        <v>2.06359782489636</v>
      </c>
      <c r="I115" s="68" t="n">
        <v>2.06359782489636</v>
      </c>
      <c r="J115" s="68" t="n">
        <v>4.75</v>
      </c>
      <c r="K115" s="68" t="n">
        <v>10</v>
      </c>
      <c r="L115" s="68" t="n">
        <v>15.375</v>
      </c>
    </row>
    <row r="116" customFormat="false" ht="15.75" hidden="false" customHeight="false" outlineLevel="0" collapsed="false">
      <c r="A116" s="27" t="n">
        <v>36900</v>
      </c>
      <c r="B116" s="68" t="n">
        <v>68.625</v>
      </c>
      <c r="C116" s="68" t="n">
        <v>26.1875</v>
      </c>
      <c r="D116" s="68" t="n">
        <v>20.5</v>
      </c>
      <c r="F116" s="68" t="n">
        <v>7.1875</v>
      </c>
      <c r="G116" s="68" t="n">
        <v>6.25514726015408</v>
      </c>
      <c r="H116" s="68" t="n">
        <v>2.3424289733841</v>
      </c>
      <c r="I116" s="68" t="n">
        <v>2.3424289733841</v>
      </c>
      <c r="J116" s="68" t="n">
        <v>4.375</v>
      </c>
      <c r="L116" s="68" t="n">
        <v>15</v>
      </c>
    </row>
    <row r="117" customFormat="false" ht="15.75" hidden="false" customHeight="false" outlineLevel="0" collapsed="false">
      <c r="A117" s="27" t="n">
        <v>36901</v>
      </c>
      <c r="B117" s="68" t="n">
        <v>68.938</v>
      </c>
      <c r="C117" s="68" t="n">
        <v>30.125</v>
      </c>
      <c r="D117" s="68" t="n">
        <v>20.125</v>
      </c>
      <c r="F117" s="68" t="n">
        <v>7.25</v>
      </c>
      <c r="G117" s="68" t="n">
        <v>6.02634006723585</v>
      </c>
      <c r="H117" s="68" t="n">
        <v>2.37631606686358</v>
      </c>
      <c r="I117" s="68" t="n">
        <v>2.37631606686358</v>
      </c>
      <c r="J117" s="68" t="n">
        <v>4.375</v>
      </c>
      <c r="L117" s="68" t="n">
        <v>14.75</v>
      </c>
    </row>
    <row r="118" customFormat="false" ht="15.75" hidden="false" customHeight="false" outlineLevel="0" collapsed="false">
      <c r="A118" s="27" t="n">
        <v>36902</v>
      </c>
      <c r="B118" s="68" t="n">
        <v>69.438</v>
      </c>
      <c r="C118" s="68" t="n">
        <v>35.5625</v>
      </c>
      <c r="D118" s="68" t="n">
        <v>22.75</v>
      </c>
      <c r="F118" s="68" t="n">
        <v>7.5</v>
      </c>
      <c r="G118" s="68" t="n">
        <v>6.59550195449267</v>
      </c>
      <c r="H118" s="68" t="n">
        <v>2.76262750827664</v>
      </c>
      <c r="I118" s="68" t="n">
        <v>2.76262750827664</v>
      </c>
      <c r="J118" s="68" t="n">
        <v>4.375</v>
      </c>
      <c r="L118" s="68" t="n">
        <v>14.25</v>
      </c>
    </row>
    <row r="119" customFormat="false" ht="15.75" hidden="false" customHeight="false" outlineLevel="0" collapsed="false">
      <c r="A119" s="27" t="n">
        <v>36903</v>
      </c>
      <c r="B119" s="68" t="n">
        <v>70.438</v>
      </c>
      <c r="C119" s="68" t="n">
        <v>37.125</v>
      </c>
      <c r="D119" s="68" t="n">
        <v>23.625</v>
      </c>
      <c r="F119" s="68" t="n">
        <v>7.4375</v>
      </c>
      <c r="G119" s="68" t="n">
        <v>6.87885911867309</v>
      </c>
      <c r="H119" s="68" t="n">
        <v>2.80634674048819</v>
      </c>
      <c r="I119" s="68" t="n">
        <v>2.8063467404882</v>
      </c>
      <c r="J119" s="68" t="n">
        <v>4.625</v>
      </c>
      <c r="L119" s="68" t="n">
        <v>14.125</v>
      </c>
    </row>
    <row r="120" customFormat="false" ht="15.75" hidden="false" customHeight="false" outlineLevel="0" collapsed="false">
      <c r="A120" s="27" t="n">
        <v>36907</v>
      </c>
      <c r="B120" s="68" t="n">
        <v>68.438</v>
      </c>
      <c r="C120" s="68" t="n">
        <v>33.9375</v>
      </c>
      <c r="D120" s="68" t="n">
        <v>27.625</v>
      </c>
      <c r="F120" s="68" t="n">
        <v>7.375</v>
      </c>
      <c r="G120" s="68" t="n">
        <v>6.63565928261737</v>
      </c>
      <c r="H120" s="68" t="n">
        <v>2.93118730967633</v>
      </c>
      <c r="I120" s="68" t="n">
        <v>2.93118730967633</v>
      </c>
      <c r="J120" s="68" t="n">
        <v>4.75</v>
      </c>
      <c r="L120" s="68" t="n">
        <v>13.9375</v>
      </c>
    </row>
    <row r="121" customFormat="false" ht="15.75" hidden="false" customHeight="false" outlineLevel="0" collapsed="false">
      <c r="A121" s="27" t="n">
        <v>36908</v>
      </c>
      <c r="B121" s="68" t="n">
        <v>71.125</v>
      </c>
      <c r="C121" s="68" t="n">
        <v>34.9375</v>
      </c>
      <c r="D121" s="68" t="n">
        <v>24</v>
      </c>
      <c r="F121" s="68" t="n">
        <v>7.5</v>
      </c>
      <c r="G121" s="68" t="n">
        <v>6.98685817481912</v>
      </c>
      <c r="H121" s="68" t="n">
        <v>2.16991706715457</v>
      </c>
      <c r="I121" s="68" t="n">
        <v>2.16991706715457</v>
      </c>
      <c r="J121" s="68" t="n">
        <v>4.75</v>
      </c>
      <c r="L121" s="68" t="n">
        <v>14.375</v>
      </c>
    </row>
    <row r="122" customFormat="false" ht="15.75" hidden="false" customHeight="false" outlineLevel="0" collapsed="false">
      <c r="A122" s="27" t="n">
        <v>36909</v>
      </c>
      <c r="B122" s="68" t="n">
        <v>72.063</v>
      </c>
      <c r="C122" s="68" t="n">
        <v>34.0625</v>
      </c>
      <c r="D122" s="68" t="n">
        <v>26.75</v>
      </c>
      <c r="F122" s="68" t="n">
        <v>7.625</v>
      </c>
      <c r="G122" s="68" t="n">
        <v>6.25305379391598</v>
      </c>
      <c r="H122" s="68" t="n">
        <v>2.22451207705069</v>
      </c>
      <c r="I122" s="68" t="n">
        <v>2.22451207705069</v>
      </c>
      <c r="J122" s="68" t="n">
        <v>4.5</v>
      </c>
      <c r="L122" s="68" t="n">
        <v>14.375</v>
      </c>
    </row>
    <row r="123" customFormat="false" ht="15.75" hidden="false" customHeight="false" outlineLevel="0" collapsed="false">
      <c r="A123" s="27" t="n">
        <v>36910</v>
      </c>
      <c r="B123" s="68" t="n">
        <v>70.875</v>
      </c>
      <c r="C123" s="68" t="n">
        <v>31.1875</v>
      </c>
      <c r="D123" s="68" t="n">
        <v>29.0625</v>
      </c>
      <c r="F123" s="68" t="n">
        <v>7.4375</v>
      </c>
      <c r="G123" s="68" t="n">
        <v>5.54595171961968</v>
      </c>
      <c r="H123" s="68" t="n">
        <v>2.08579893868369</v>
      </c>
      <c r="I123" s="68" t="n">
        <v>2.08579893868369</v>
      </c>
      <c r="J123" s="68" t="n">
        <v>4.375</v>
      </c>
      <c r="L123" s="68" t="n">
        <v>14.5</v>
      </c>
    </row>
    <row r="124" customFormat="false" ht="15.75" hidden="false" customHeight="false" outlineLevel="0" collapsed="false">
      <c r="A124" s="27" t="n">
        <v>36913</v>
      </c>
      <c r="B124" s="68" t="n">
        <v>75.0625</v>
      </c>
      <c r="C124" s="68" t="n">
        <v>28.875</v>
      </c>
      <c r="D124" s="68" t="n">
        <v>27.3125</v>
      </c>
      <c r="F124" s="68" t="n">
        <v>7.3125</v>
      </c>
      <c r="G124" s="68" t="n">
        <v>5.90241193590941</v>
      </c>
      <c r="H124" s="68" t="n">
        <v>2.0570799938372</v>
      </c>
      <c r="I124" s="68" t="n">
        <v>2.0570799938372</v>
      </c>
      <c r="J124" s="68" t="n">
        <v>4.8125</v>
      </c>
      <c r="L124" s="68" t="n">
        <v>14.25</v>
      </c>
    </row>
    <row r="125" customFormat="false" ht="15.75" hidden="false" customHeight="false" outlineLevel="0" collapsed="false">
      <c r="A125" s="27" t="n">
        <v>36914</v>
      </c>
      <c r="B125" s="68" t="n">
        <v>78.563</v>
      </c>
      <c r="C125" s="68" t="n">
        <v>37</v>
      </c>
      <c r="D125" s="68" t="n">
        <v>25.5</v>
      </c>
      <c r="F125" s="68" t="n">
        <v>7.1875</v>
      </c>
      <c r="G125" s="68" t="n">
        <v>6.26794488519327</v>
      </c>
      <c r="H125" s="68" t="n">
        <v>2.04023481473328</v>
      </c>
      <c r="I125" s="68" t="n">
        <v>2.04023481473328</v>
      </c>
      <c r="J125" s="68" t="n">
        <v>5</v>
      </c>
      <c r="L125" s="68" t="n">
        <v>14.125</v>
      </c>
    </row>
    <row r="126" customFormat="false" ht="15.75" hidden="false" customHeight="false" outlineLevel="0" collapsed="false">
      <c r="A126" s="27" t="n">
        <v>36915</v>
      </c>
      <c r="B126" s="68" t="n">
        <v>79.75</v>
      </c>
      <c r="C126" s="68" t="n">
        <v>33.4375</v>
      </c>
      <c r="D126" s="68" t="n">
        <v>24</v>
      </c>
      <c r="F126" s="68" t="n">
        <v>7.3125</v>
      </c>
      <c r="G126" s="68" t="n">
        <v>6.5077461294767</v>
      </c>
      <c r="H126" s="68" t="n">
        <v>1.97332572310912</v>
      </c>
      <c r="I126" s="68" t="n">
        <v>1.97332572310912</v>
      </c>
      <c r="J126" s="68" t="n">
        <v>5</v>
      </c>
      <c r="L126" s="68" t="n">
        <v>14.3125</v>
      </c>
    </row>
    <row r="127" customFormat="false" ht="15.75" hidden="false" customHeight="false" outlineLevel="0" collapsed="false">
      <c r="A127" s="27" t="n">
        <v>36916</v>
      </c>
      <c r="B127" s="68" t="n">
        <v>82</v>
      </c>
      <c r="C127" s="68" t="n">
        <v>31.625</v>
      </c>
      <c r="D127" s="68" t="n">
        <v>20</v>
      </c>
      <c r="F127" s="68" t="n">
        <v>7.25</v>
      </c>
      <c r="G127" s="68" t="n">
        <v>6.63098688935516</v>
      </c>
      <c r="H127" s="68" t="n">
        <v>1.99523225391544</v>
      </c>
      <c r="I127" s="68" t="n">
        <v>1.99523225391544</v>
      </c>
      <c r="J127" s="68" t="n">
        <v>5.0625</v>
      </c>
      <c r="L127" s="68" t="n">
        <v>14.125</v>
      </c>
    </row>
    <row r="128" customFormat="false" ht="15.75" hidden="false" customHeight="false" outlineLevel="0" collapsed="false">
      <c r="A128" s="27" t="n">
        <v>36917</v>
      </c>
      <c r="B128" s="68" t="n">
        <v>82</v>
      </c>
      <c r="C128" s="68" t="n">
        <v>31.25</v>
      </c>
      <c r="D128" s="68" t="n">
        <v>23</v>
      </c>
      <c r="F128" s="68" t="n">
        <v>7.25</v>
      </c>
      <c r="G128" s="68" t="n">
        <v>6.86937117381268</v>
      </c>
      <c r="H128" s="68" t="n">
        <v>2.0372206953942</v>
      </c>
      <c r="I128" s="68" t="n">
        <v>2.0372206953942</v>
      </c>
      <c r="J128" s="68" t="n">
        <v>5</v>
      </c>
      <c r="L128" s="68" t="n">
        <v>14.3125</v>
      </c>
    </row>
    <row r="129" customFormat="false" ht="15.75" hidden="false" customHeight="false" outlineLevel="0" collapsed="false">
      <c r="A129" s="27" t="n">
        <v>36920</v>
      </c>
      <c r="B129" s="68" t="n">
        <v>80.77</v>
      </c>
      <c r="C129" s="68" t="n">
        <v>32</v>
      </c>
      <c r="D129" s="68" t="n">
        <v>22.875</v>
      </c>
      <c r="F129" s="68" t="n">
        <v>7.1875</v>
      </c>
      <c r="G129" s="68" t="n">
        <v>6.98981681689042</v>
      </c>
      <c r="H129" s="68" t="n">
        <v>2.09998087913356</v>
      </c>
      <c r="I129" s="68" t="n">
        <v>2.09998087913356</v>
      </c>
      <c r="J129" s="68" t="n">
        <v>5</v>
      </c>
      <c r="L129" s="68" t="n">
        <v>14.75</v>
      </c>
    </row>
    <row r="130" customFormat="false" ht="15.75" hidden="false" customHeight="false" outlineLevel="0" collapsed="false">
      <c r="A130" s="27" t="n">
        <v>36921</v>
      </c>
      <c r="B130" s="68" t="n">
        <v>78.5</v>
      </c>
      <c r="C130" s="68" t="n">
        <v>32.25</v>
      </c>
      <c r="D130" s="68" t="n">
        <v>25</v>
      </c>
      <c r="F130" s="68" t="n">
        <v>7.21875</v>
      </c>
      <c r="G130" s="68" t="n">
        <v>6.25563476634463</v>
      </c>
      <c r="H130" s="68" t="n">
        <v>1.88122255485945</v>
      </c>
      <c r="I130" s="68" t="n">
        <v>1.88122255485945</v>
      </c>
      <c r="J130" s="68" t="n">
        <v>5</v>
      </c>
      <c r="L130" s="68" t="n">
        <v>16</v>
      </c>
    </row>
    <row r="131" customFormat="false" ht="15.75" hidden="false" customHeight="false" outlineLevel="0" collapsed="false">
      <c r="A131" s="27" t="n">
        <v>36922</v>
      </c>
      <c r="B131" s="68" t="n">
        <v>80</v>
      </c>
      <c r="C131" s="68" t="n">
        <v>35.5</v>
      </c>
      <c r="D131" s="68" t="n">
        <v>23.75</v>
      </c>
      <c r="F131" s="68" t="n">
        <v>7.8125</v>
      </c>
      <c r="G131" s="68" t="n">
        <v>6.18550247917769</v>
      </c>
      <c r="H131" s="68" t="n">
        <v>2.2133836526168</v>
      </c>
      <c r="I131" s="68" t="n">
        <v>2.2133836526168</v>
      </c>
      <c r="J131" s="68" t="n">
        <v>5</v>
      </c>
      <c r="L131" s="68" t="n">
        <v>16.625</v>
      </c>
    </row>
    <row r="132" customFormat="false" ht="15.75" hidden="false" customHeight="false" outlineLevel="0" collapsed="false">
      <c r="A132" s="27" t="n">
        <v>36923</v>
      </c>
      <c r="B132" s="68" t="n">
        <v>78.79</v>
      </c>
      <c r="C132" s="68" t="n">
        <v>35.8125</v>
      </c>
      <c r="D132" s="68" t="n">
        <v>22</v>
      </c>
      <c r="F132" s="68" t="n">
        <v>7.4375</v>
      </c>
      <c r="G132" s="68" t="n">
        <v>6.59909246173168</v>
      </c>
      <c r="H132" s="68" t="n">
        <v>2.52618043547721</v>
      </c>
      <c r="I132" s="68" t="n">
        <v>2.52618043547721</v>
      </c>
      <c r="J132" s="68" t="n">
        <v>5.125</v>
      </c>
      <c r="L132" s="68" t="n">
        <v>16.25</v>
      </c>
    </row>
    <row r="133" customFormat="false" ht="15.75" hidden="false" customHeight="false" outlineLevel="0" collapsed="false">
      <c r="A133" s="27" t="n">
        <v>36924</v>
      </c>
      <c r="B133" s="68" t="n">
        <v>79.98</v>
      </c>
      <c r="C133" s="68" t="n">
        <v>34.5</v>
      </c>
      <c r="D133" s="68" t="n">
        <v>20.5625</v>
      </c>
      <c r="F133" s="68" t="n">
        <v>7.75</v>
      </c>
      <c r="G133" s="68" t="n">
        <v>6.12947227408568</v>
      </c>
      <c r="H133" s="68" t="n">
        <v>2.36022900881721</v>
      </c>
      <c r="I133" s="68" t="n">
        <v>2.36022900881721</v>
      </c>
      <c r="J133" s="68" t="n">
        <v>5.125</v>
      </c>
      <c r="L133" s="68" t="n">
        <v>16.625</v>
      </c>
    </row>
    <row r="134" customFormat="false" ht="15.75" hidden="false" customHeight="false" outlineLevel="0" collapsed="false">
      <c r="A134" s="27" t="n">
        <v>36927</v>
      </c>
      <c r="B134" s="68" t="n">
        <v>81.81</v>
      </c>
      <c r="C134" s="68" t="n">
        <v>31.625</v>
      </c>
      <c r="D134" s="68" t="n">
        <v>20.5</v>
      </c>
      <c r="F134" s="68" t="n">
        <v>7.875</v>
      </c>
      <c r="G134" s="68" t="n">
        <v>6.72899346759678</v>
      </c>
      <c r="H134" s="68" t="n">
        <v>2.45546192241598</v>
      </c>
      <c r="I134" s="68" t="n">
        <v>2.45546192241598</v>
      </c>
      <c r="J134" s="68" t="n">
        <v>5.375</v>
      </c>
      <c r="L134" s="68" t="n">
        <v>16.5</v>
      </c>
    </row>
    <row r="135" customFormat="false" ht="15.75" hidden="false" customHeight="false" outlineLevel="0" collapsed="false">
      <c r="A135" s="27" t="n">
        <v>36928</v>
      </c>
      <c r="B135" s="68" t="n">
        <v>80.15</v>
      </c>
      <c r="C135" s="68" t="n">
        <v>31.125</v>
      </c>
      <c r="D135" s="68" t="n">
        <v>23.75</v>
      </c>
      <c r="F135" s="68" t="n">
        <v>8</v>
      </c>
      <c r="G135" s="68" t="n">
        <v>6.25331724398526</v>
      </c>
      <c r="H135" s="68" t="n">
        <v>2.53515688797107</v>
      </c>
      <c r="I135" s="68" t="n">
        <v>2.53515688797107</v>
      </c>
      <c r="J135" s="68" t="n">
        <v>5.75</v>
      </c>
      <c r="L135" s="68" t="n">
        <v>16</v>
      </c>
    </row>
    <row r="136" customFormat="false" ht="15.75" hidden="false" customHeight="false" outlineLevel="0" collapsed="false">
      <c r="A136" s="27" t="n">
        <v>36929</v>
      </c>
      <c r="B136" s="68" t="n">
        <v>80.35</v>
      </c>
      <c r="C136" s="68" t="n">
        <v>27.5625</v>
      </c>
      <c r="D136" s="68" t="n">
        <v>22.6875</v>
      </c>
      <c r="F136" s="68" t="n">
        <v>8</v>
      </c>
      <c r="G136" s="68" t="n">
        <v>6.04213270268797</v>
      </c>
      <c r="H136" s="68" t="n">
        <v>2.60756363912809</v>
      </c>
      <c r="I136" s="68" t="n">
        <v>2.60756363912809</v>
      </c>
      <c r="J136" s="68" t="n">
        <v>5.5625</v>
      </c>
      <c r="L136" s="68" t="n">
        <v>15.875</v>
      </c>
    </row>
    <row r="137" customFormat="false" ht="15.75" hidden="false" customHeight="false" outlineLevel="0" collapsed="false">
      <c r="A137" s="27" t="n">
        <v>36930</v>
      </c>
      <c r="B137" s="68" t="n">
        <v>80</v>
      </c>
      <c r="C137" s="68" t="n">
        <v>25.5</v>
      </c>
      <c r="D137" s="68" t="n">
        <v>21.3125</v>
      </c>
      <c r="F137" s="68" t="n">
        <v>8.1875</v>
      </c>
      <c r="G137" s="68" t="n">
        <v>5.89438302580871</v>
      </c>
      <c r="H137" s="68" t="n">
        <v>2.58211022383837</v>
      </c>
      <c r="I137" s="68" t="n">
        <v>2.58211022383837</v>
      </c>
      <c r="J137" s="68" t="n">
        <v>5.4375</v>
      </c>
      <c r="L137" s="68" t="n">
        <v>16.25</v>
      </c>
    </row>
    <row r="138" customFormat="false" ht="15.75" hidden="false" customHeight="false" outlineLevel="0" collapsed="false">
      <c r="A138" s="27" t="n">
        <v>36931</v>
      </c>
      <c r="B138" s="68" t="n">
        <v>80.2</v>
      </c>
      <c r="C138" s="68" t="n">
        <v>25.0625</v>
      </c>
      <c r="D138" s="68" t="n">
        <v>20</v>
      </c>
      <c r="F138" s="68" t="n">
        <v>8.25</v>
      </c>
      <c r="G138" s="68" t="n">
        <v>5.70711780576669</v>
      </c>
      <c r="H138" s="68" t="n">
        <v>2.65255223406644</v>
      </c>
      <c r="I138" s="68" t="n">
        <v>2.65255223406644</v>
      </c>
      <c r="J138" s="68" t="n">
        <v>5.4375</v>
      </c>
      <c r="L138" s="68" t="n">
        <v>15.6875</v>
      </c>
    </row>
    <row r="139" customFormat="false" ht="15.75" hidden="false" customHeight="false" outlineLevel="0" collapsed="false">
      <c r="A139" s="27" t="n">
        <v>36934</v>
      </c>
      <c r="B139" s="68" t="n">
        <v>79.8</v>
      </c>
      <c r="C139" s="68" t="n">
        <v>23.875</v>
      </c>
      <c r="D139" s="68" t="n">
        <v>19.4375</v>
      </c>
      <c r="F139" s="68" t="n">
        <v>8.375</v>
      </c>
      <c r="G139" s="68" t="n">
        <v>5.54396737188</v>
      </c>
      <c r="H139" s="68" t="n">
        <v>2.64582908383801</v>
      </c>
      <c r="I139" s="68" t="n">
        <v>2.64582908383801</v>
      </c>
      <c r="J139" s="68" t="n">
        <v>5.625</v>
      </c>
      <c r="L139" s="68" t="n">
        <v>14.875</v>
      </c>
    </row>
    <row r="140" customFormat="false" ht="15.75" hidden="false" customHeight="false" outlineLevel="0" collapsed="false">
      <c r="A140" s="27" t="n">
        <v>36935</v>
      </c>
      <c r="B140" s="68" t="n">
        <v>81.15</v>
      </c>
      <c r="C140" s="68" t="n">
        <v>20.75</v>
      </c>
      <c r="D140" s="68" t="n">
        <v>21.0625</v>
      </c>
      <c r="F140" s="68" t="n">
        <v>8.1875</v>
      </c>
      <c r="G140" s="68" t="n">
        <v>5.47351850204663</v>
      </c>
      <c r="H140" s="68" t="n">
        <v>2.93780897842548</v>
      </c>
      <c r="I140" s="68" t="n">
        <v>2.93780897842548</v>
      </c>
      <c r="J140" s="68" t="n">
        <v>5.8125</v>
      </c>
      <c r="L140" s="68" t="n">
        <v>15</v>
      </c>
    </row>
    <row r="141" customFormat="false" ht="15.75" hidden="false" customHeight="false" outlineLevel="0" collapsed="false">
      <c r="A141" s="27" t="n">
        <v>36936</v>
      </c>
      <c r="B141" s="68" t="n">
        <v>80</v>
      </c>
      <c r="C141" s="68" t="n">
        <v>19.875</v>
      </c>
      <c r="D141" s="68" t="n">
        <v>20.8125</v>
      </c>
      <c r="F141" s="68" t="n">
        <v>8.5</v>
      </c>
      <c r="G141" s="68" t="n">
        <v>5.30185386703987</v>
      </c>
      <c r="H141" s="68" t="n">
        <v>2.87090003797343</v>
      </c>
      <c r="I141" s="68" t="n">
        <v>2.87090003797343</v>
      </c>
      <c r="J141" s="68" t="n">
        <v>5.8125</v>
      </c>
      <c r="L141" s="68" t="n">
        <v>16.125</v>
      </c>
    </row>
    <row r="142" customFormat="false" ht="15.75" hidden="false" customHeight="false" outlineLevel="0" collapsed="false">
      <c r="A142" s="27" t="n">
        <v>36937</v>
      </c>
      <c r="B142" s="68" t="n">
        <v>77.9</v>
      </c>
      <c r="C142" s="68" t="n">
        <v>22.5625</v>
      </c>
      <c r="D142" s="68" t="n">
        <v>20.5</v>
      </c>
      <c r="F142" s="68" t="n">
        <v>8.375</v>
      </c>
      <c r="G142" s="68" t="n">
        <v>5.27765921376617</v>
      </c>
      <c r="H142" s="68" t="n">
        <v>2.73370314228067</v>
      </c>
      <c r="I142" s="68" t="n">
        <v>2.73370314228067</v>
      </c>
      <c r="J142" s="68" t="n">
        <v>6</v>
      </c>
      <c r="L142" s="68" t="n">
        <v>17</v>
      </c>
    </row>
    <row r="143" customFormat="false" ht="15.75" hidden="false" customHeight="false" outlineLevel="0" collapsed="false">
      <c r="A143" s="27" t="n">
        <v>36938</v>
      </c>
      <c r="B143" s="68" t="n">
        <v>76.19</v>
      </c>
      <c r="C143" s="68" t="n">
        <v>20.625</v>
      </c>
      <c r="D143" s="68" t="n">
        <v>20.375</v>
      </c>
      <c r="F143" s="68" t="n">
        <v>8.4375</v>
      </c>
      <c r="G143" s="68" t="n">
        <v>5.17567461305716</v>
      </c>
      <c r="H143" s="68" t="n">
        <v>2.63264367676332</v>
      </c>
      <c r="I143" s="68" t="n">
        <v>2.63264367676332</v>
      </c>
      <c r="J143" s="68" t="n">
        <v>6</v>
      </c>
      <c r="L143" s="68" t="n">
        <v>16.9375</v>
      </c>
    </row>
    <row r="144" customFormat="false" ht="15.75" hidden="false" customHeight="false" outlineLevel="0" collapsed="false">
      <c r="A144" s="27" t="n">
        <v>36942</v>
      </c>
      <c r="B144" s="68" t="n">
        <v>75.09</v>
      </c>
      <c r="C144" s="68" t="n">
        <v>17.640625</v>
      </c>
      <c r="D144" s="68" t="n">
        <v>20.625</v>
      </c>
      <c r="F144" s="68" t="n">
        <v>8.25</v>
      </c>
      <c r="G144" s="68" t="n">
        <v>5.3497548177857</v>
      </c>
      <c r="H144" s="68" t="n">
        <v>2.41643186290642</v>
      </c>
      <c r="I144" s="68" t="n">
        <v>2.41643186290642</v>
      </c>
      <c r="J144" s="68" t="n">
        <v>5.84375</v>
      </c>
      <c r="L144" s="68" t="n">
        <v>16.9375</v>
      </c>
    </row>
    <row r="145" customFormat="false" ht="15.75" hidden="false" customHeight="false" outlineLevel="0" collapsed="false">
      <c r="A145" s="27" t="n">
        <v>36943</v>
      </c>
      <c r="B145" s="68" t="n">
        <v>73.09</v>
      </c>
      <c r="C145" s="68" t="n">
        <v>15.125</v>
      </c>
      <c r="D145" s="68" t="n">
        <v>20.375</v>
      </c>
      <c r="F145" s="68" t="n">
        <v>8.375</v>
      </c>
      <c r="G145" s="68" t="n">
        <v>5.2920242898519</v>
      </c>
      <c r="H145" s="68" t="n">
        <v>2.67196066030649</v>
      </c>
      <c r="I145" s="68" t="n">
        <v>2.67196066030649</v>
      </c>
      <c r="J145" s="68" t="n">
        <v>5.875</v>
      </c>
      <c r="L145" s="68" t="n">
        <v>16.9375</v>
      </c>
    </row>
    <row r="146" customFormat="false" ht="15.75" hidden="false" customHeight="false" outlineLevel="0" collapsed="false">
      <c r="A146" s="27" t="n">
        <v>36944</v>
      </c>
      <c r="B146" s="68" t="n">
        <v>72.15</v>
      </c>
      <c r="C146" s="68" t="n">
        <v>13.0625</v>
      </c>
      <c r="D146" s="68" t="n">
        <v>19.5</v>
      </c>
      <c r="F146" s="68" t="n">
        <v>8.0625</v>
      </c>
      <c r="G146" s="68" t="n">
        <v>4.87586831060209</v>
      </c>
      <c r="H146" s="68" t="n">
        <v>2.6596689453851</v>
      </c>
      <c r="I146" s="68" t="n">
        <v>2.6596689453851</v>
      </c>
      <c r="J146" s="68" t="n">
        <v>5.875</v>
      </c>
      <c r="L146" s="68" t="n">
        <v>16.9375</v>
      </c>
    </row>
    <row r="147" customFormat="false" ht="15.75" hidden="false" customHeight="false" outlineLevel="0" collapsed="false">
      <c r="A147" s="27" t="n">
        <v>36945</v>
      </c>
      <c r="B147" s="68" t="n">
        <v>71</v>
      </c>
      <c r="C147" s="68" t="n">
        <v>16.109375</v>
      </c>
      <c r="D147" s="68" t="n">
        <v>20.625</v>
      </c>
      <c r="F147" s="68" t="n">
        <v>7.875</v>
      </c>
      <c r="G147" s="68" t="n">
        <v>4.4037629028499</v>
      </c>
      <c r="H147" s="68" t="n">
        <v>2.64409631551075</v>
      </c>
      <c r="I147" s="68" t="n">
        <v>2.64409631551075</v>
      </c>
      <c r="J147" s="68" t="n">
        <v>5.53125</v>
      </c>
      <c r="L147" s="68" t="n">
        <v>16.9375</v>
      </c>
    </row>
    <row r="148" customFormat="false" ht="15.75" hidden="false" customHeight="false" outlineLevel="0" collapsed="false">
      <c r="A148" s="27" t="n">
        <v>36948</v>
      </c>
      <c r="B148" s="68" t="n">
        <v>70.56</v>
      </c>
      <c r="C148" s="68" t="n">
        <v>16.5625</v>
      </c>
      <c r="D148" s="68" t="n">
        <v>21.375</v>
      </c>
      <c r="F148" s="68" t="n">
        <v>7.46875</v>
      </c>
      <c r="G148" s="68" t="n">
        <v>4.45472496134301</v>
      </c>
      <c r="H148" s="68" t="n">
        <v>2.06259132973025</v>
      </c>
      <c r="I148" s="68" t="n">
        <v>2.06259132973025</v>
      </c>
      <c r="J148" s="68" t="n">
        <v>5.6875</v>
      </c>
      <c r="L148" s="68" t="n">
        <v>16.625</v>
      </c>
    </row>
    <row r="149" customFormat="false" ht="15.75" hidden="false" customHeight="false" outlineLevel="0" collapsed="false">
      <c r="A149" s="27" t="n">
        <v>36949</v>
      </c>
      <c r="B149" s="68" t="n">
        <v>70.04</v>
      </c>
      <c r="C149" s="68" t="n">
        <v>15.75</v>
      </c>
      <c r="D149" s="68" t="n">
        <v>21.5625</v>
      </c>
      <c r="F149" s="68" t="n">
        <v>7.125</v>
      </c>
      <c r="G149" s="68" t="n">
        <v>4.56794087186471</v>
      </c>
      <c r="H149" s="68" t="n">
        <v>2.10543514452462</v>
      </c>
      <c r="I149" s="68" t="n">
        <v>2.10543514452462</v>
      </c>
      <c r="J149" s="68" t="n">
        <v>5.6875</v>
      </c>
      <c r="L149" s="68" t="n">
        <v>16.9375</v>
      </c>
    </row>
    <row r="150" customFormat="false" ht="15.75" hidden="false" customHeight="false" outlineLevel="0" collapsed="false">
      <c r="A150" s="27" t="n">
        <v>36950</v>
      </c>
      <c r="B150" s="68" t="n">
        <v>68.5</v>
      </c>
      <c r="C150" s="68" t="n">
        <v>15.0625</v>
      </c>
      <c r="D150" s="68" t="n">
        <v>19.875</v>
      </c>
      <c r="F150" s="68" t="n">
        <v>7.125</v>
      </c>
      <c r="G150" s="68" t="n">
        <v>4.33021108590191</v>
      </c>
      <c r="H150" s="68" t="n">
        <v>2.18932620959619</v>
      </c>
      <c r="I150" s="68" t="n">
        <v>2.18932620959619</v>
      </c>
      <c r="J150" s="68" t="n">
        <v>5.5</v>
      </c>
      <c r="L150" s="68" t="n">
        <v>16.25</v>
      </c>
    </row>
    <row r="151" customFormat="false" ht="15.75" hidden="false" customHeight="false" outlineLevel="0" collapsed="false">
      <c r="A151" s="27" t="n">
        <v>36951</v>
      </c>
      <c r="B151" s="68" t="n">
        <v>68.68</v>
      </c>
      <c r="C151" s="68" t="n">
        <v>16.25</v>
      </c>
      <c r="D151" s="68" t="n">
        <v>18.75</v>
      </c>
      <c r="F151" s="68" t="n">
        <v>7.125</v>
      </c>
      <c r="G151" s="68" t="n">
        <v>4.04148452888378</v>
      </c>
      <c r="H151" s="68" t="n">
        <v>2.25658278148969</v>
      </c>
      <c r="I151" s="68" t="n">
        <v>2.25658278148969</v>
      </c>
      <c r="J151" s="68" t="n">
        <v>5.375</v>
      </c>
      <c r="L151" s="68" t="n">
        <v>17</v>
      </c>
    </row>
    <row r="152" customFormat="false" ht="15.75" hidden="false" customHeight="false" outlineLevel="0" collapsed="false">
      <c r="A152" s="27" t="n">
        <v>36952</v>
      </c>
      <c r="B152" s="68" t="n">
        <v>70.19</v>
      </c>
      <c r="C152" s="68" t="n">
        <v>14.6875</v>
      </c>
      <c r="D152" s="68" t="n">
        <v>18</v>
      </c>
      <c r="F152" s="68" t="n">
        <v>7.375</v>
      </c>
      <c r="G152" s="68" t="n">
        <v>4.334033264079</v>
      </c>
      <c r="H152" s="68" t="n">
        <v>2.31188643553899</v>
      </c>
      <c r="I152" s="68" t="n">
        <v>2.31188643553899</v>
      </c>
      <c r="J152" s="68" t="n">
        <v>5.875</v>
      </c>
      <c r="L152" s="68" t="n">
        <v>16.8125</v>
      </c>
    </row>
    <row r="153" customFormat="false" ht="15.75" hidden="false" customHeight="false" outlineLevel="0" collapsed="false">
      <c r="A153" s="27" t="n">
        <v>36955</v>
      </c>
      <c r="B153" s="68" t="n">
        <v>70.11</v>
      </c>
      <c r="C153" s="68" t="n">
        <v>14.375</v>
      </c>
      <c r="D153" s="68" t="n">
        <v>17.375</v>
      </c>
      <c r="F153" s="68" t="n">
        <v>7.5</v>
      </c>
      <c r="G153" s="68" t="n">
        <v>4.27709055794239</v>
      </c>
      <c r="H153" s="68" t="n">
        <v>2.55741856202205</v>
      </c>
      <c r="I153" s="68" t="n">
        <v>2.55741856202205</v>
      </c>
      <c r="J153" s="68" t="n">
        <v>5.9375</v>
      </c>
      <c r="L153" s="68" t="n">
        <v>17</v>
      </c>
    </row>
    <row r="154" customFormat="false" ht="15.75" hidden="false" customHeight="false" outlineLevel="0" collapsed="false">
      <c r="A154" s="27" t="n">
        <v>36956</v>
      </c>
      <c r="B154" s="68" t="n">
        <v>68.87</v>
      </c>
      <c r="C154" s="68" t="n">
        <v>14.0625</v>
      </c>
      <c r="D154" s="68" t="n">
        <v>18.25</v>
      </c>
      <c r="F154" s="68" t="n">
        <v>8.25</v>
      </c>
      <c r="G154" s="68" t="n">
        <v>4.44931555250145</v>
      </c>
      <c r="H154" s="68" t="n">
        <v>2.50286118489073</v>
      </c>
      <c r="I154" s="68" t="n">
        <v>2.50286118489073</v>
      </c>
      <c r="J154" s="68" t="n">
        <v>6</v>
      </c>
      <c r="L154" s="68" t="n">
        <v>17</v>
      </c>
    </row>
    <row r="155" customFormat="false" ht="15.75" hidden="false" customHeight="false" outlineLevel="0" collapsed="false">
      <c r="A155" s="27" t="n">
        <v>36957</v>
      </c>
      <c r="B155" s="68" t="n">
        <v>70</v>
      </c>
      <c r="C155" s="68" t="n">
        <v>14.375</v>
      </c>
      <c r="D155" s="68" t="n">
        <v>20.5</v>
      </c>
      <c r="F155" s="68" t="n">
        <v>8.375</v>
      </c>
      <c r="G155" s="68" t="n">
        <v>5.49539566866229</v>
      </c>
      <c r="H155" s="68" t="n">
        <v>2.75256836324937</v>
      </c>
      <c r="I155" s="68" t="n">
        <v>2.75256836324937</v>
      </c>
      <c r="J155" s="68" t="n">
        <v>6</v>
      </c>
      <c r="L155" s="68" t="n">
        <v>16.75</v>
      </c>
    </row>
    <row r="156" customFormat="false" ht="15.75" hidden="false" customHeight="false" outlineLevel="0" collapsed="false">
      <c r="A156" s="27" t="n">
        <v>36958</v>
      </c>
      <c r="B156" s="68" t="n">
        <v>70.59</v>
      </c>
      <c r="C156" s="68" t="n">
        <v>13.8125</v>
      </c>
      <c r="D156" s="68" t="n">
        <v>19.5</v>
      </c>
      <c r="F156" s="68" t="n">
        <v>8.1875</v>
      </c>
      <c r="G156" s="68" t="n">
        <v>5.60983200700501</v>
      </c>
      <c r="H156" s="68" t="n">
        <v>2.82601636547243</v>
      </c>
      <c r="I156" s="68" t="n">
        <v>2.82601636547243</v>
      </c>
      <c r="J156" s="68" t="n">
        <v>6</v>
      </c>
      <c r="L156" s="68" t="n">
        <v>17.5</v>
      </c>
    </row>
    <row r="157" customFormat="false" ht="15.75" hidden="false" customHeight="false" outlineLevel="0" collapsed="false">
      <c r="A157" s="27" t="n">
        <v>36959</v>
      </c>
      <c r="B157" s="68" t="n">
        <v>68.84</v>
      </c>
      <c r="C157" s="68" t="n">
        <v>13.9375</v>
      </c>
      <c r="D157" s="68" t="n">
        <v>18.75</v>
      </c>
      <c r="F157" s="68" t="n">
        <v>8.1875</v>
      </c>
      <c r="G157" s="68" t="n">
        <v>5.14289189834461</v>
      </c>
      <c r="H157" s="68" t="n">
        <v>2.85861555797261</v>
      </c>
      <c r="I157" s="68" t="n">
        <v>2.85861555797261</v>
      </c>
      <c r="J157" s="68" t="n">
        <v>6</v>
      </c>
      <c r="L157" s="68" t="n">
        <v>17.875</v>
      </c>
    </row>
    <row r="158" customFormat="false" ht="15.75" hidden="false" customHeight="false" outlineLevel="0" collapsed="false">
      <c r="A158" s="27" t="n">
        <v>36962</v>
      </c>
      <c r="B158" s="68" t="n">
        <v>61.27</v>
      </c>
      <c r="C158" s="68" t="n">
        <v>10.3125</v>
      </c>
      <c r="D158" s="68" t="n">
        <v>17.5625</v>
      </c>
      <c r="F158" s="68" t="n">
        <v>8.3125</v>
      </c>
      <c r="G158" s="68" t="n">
        <v>4.67022178822679</v>
      </c>
      <c r="H158" s="68" t="n">
        <v>2.55045605898546</v>
      </c>
      <c r="I158" s="68" t="n">
        <v>2.55045605898546</v>
      </c>
      <c r="J158" s="68" t="n">
        <v>5.84375</v>
      </c>
      <c r="L158" s="68" t="n">
        <v>17.6875</v>
      </c>
    </row>
    <row r="159" customFormat="false" ht="15.75" hidden="false" customHeight="false" outlineLevel="0" collapsed="false">
      <c r="A159" s="27"/>
    </row>
    <row r="160" customFormat="false" ht="15.75" hidden="false" customHeight="false" outlineLevel="0" collapsed="false">
      <c r="A160" s="27"/>
    </row>
    <row r="258" customFormat="false" ht="14.25" hidden="false" customHeight="true" outlineLevel="0" collapsed="false"/>
    <row r="375" customFormat="false" ht="15.75" hidden="false" customHeight="false" outlineLevel="0" collapsed="false">
      <c r="A375" s="59" t="s">
        <v>119</v>
      </c>
    </row>
    <row r="377" customFormat="false" ht="15.75" hidden="false" customHeight="false" outlineLevel="0" collapsed="false">
      <c r="A377" s="27" t="n">
        <f aca="false">+'MPR Raptor'!U3</f>
        <v>36962</v>
      </c>
      <c r="C377" s="68" t="n">
        <f aca="false">INDEX(MPRR,MATCH("Avici EBS Raptor I",'MPR Raptor'!$E$3:$E$140,),MATCH("Per Share",'MPR Raptor'!$E$3:$CM$3,))</f>
        <v>10.3125</v>
      </c>
      <c r="D377" s="68" t="n">
        <f aca="false">INDEX(MPRR,MATCH("Active Power Raptor I",'MPR Raptor'!$E$3:$E$140,),MATCH("Per Share",'MPR Raptor'!$E$3:$CM$3,))</f>
        <v>17.5625</v>
      </c>
      <c r="F377" s="68" t="n">
        <f aca="false">INDEX(MPRR,MATCH("DevX Energy Common Raptor I",'MPR Raptor'!$E$3:$E$140,),MATCH("Per Share",'MPR Raptor'!$E$3:$CM$3,))</f>
        <v>8.3125</v>
      </c>
      <c r="G377" s="68" t="n">
        <f aca="false">INDEX(MPRR,MATCH("Carrizo Warrants Raptor I",'MPR Raptor'!$E$3:$E$140,),MATCH("Per Share",'MPR Raptor'!$E$3:$CM$3,))</f>
        <v>4.67022178822679</v>
      </c>
      <c r="H377" s="68" t="n">
        <f aca="false">INDEX(MPRR,MATCH("3TEC Warrants Raptor I",'MPR Raptor'!$E$3:$E$140,),MATCH("Per Share",'MPR Raptor'!$E$3:$CM$3,))</f>
        <v>2.55045605898546</v>
      </c>
      <c r="I377" s="68" t="n">
        <f aca="false">INDEX(MPRR,MATCH("3TEC Warrants EGF Raptor I",'MPR Raptor'!$E$3:$E$140,),MATCH("Per Share",'MPR Raptor'!$E$3:$CM$3,))</f>
        <v>2.55045605898546</v>
      </c>
      <c r="J377" s="68" t="n">
        <f aca="false">INDEX(MPRR,MATCH("Paradigm Common Raptor I",'MPR Raptor'!$E$3:$E$140,),MATCH("Per Share",'MPR Raptor'!$E$3:$CM$3,))</f>
        <v>5.84375</v>
      </c>
      <c r="L377" s="68" t="n">
        <f aca="false">INDEX(MPRR,MATCH("Catalytica Common Raptor I",'MPR Raptor'!$E$3:$E$140,),MATCH("Per Share",'MPR Raptor'!$E$3:$CM$3,))</f>
        <v>17.6875</v>
      </c>
    </row>
    <row r="378" customFormat="false" ht="15.75" hidden="false" customHeight="false" outlineLevel="0" collapsed="false"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</row>
    <row r="379" customFormat="false" ht="15.75" hidden="false" customHeight="false" outlineLevel="0" collapsed="false"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</row>
    <row r="380" customFormat="false" ht="15.75" hidden="false" customHeight="false" outlineLevel="0" collapsed="false"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</row>
    <row r="381" customFormat="false" ht="15.75" hidden="false" customHeight="false" outlineLevel="0" collapsed="false"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</row>
    <row r="382" customFormat="false" ht="15.75" hidden="false" customHeight="false" outlineLevel="0" collapsed="false"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</row>
    <row r="383" customFormat="false" ht="15.75" hidden="false" customHeight="false" outlineLevel="0" collapsed="false"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</row>
    <row r="384" customFormat="false" ht="15.75" hidden="false" customHeight="false" outlineLevel="0" collapsed="false"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</row>
    <row r="385" customFormat="false" ht="15.75" hidden="false" customHeight="false" outlineLevel="0" collapsed="false"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</row>
    <row r="386" customFormat="false" ht="15.75" hidden="false" customHeight="false" outlineLevel="0" collapsed="false"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</row>
    <row r="387" customFormat="false" ht="15.75" hidden="false" customHeight="false" outlineLevel="0" collapsed="false"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</row>
    <row r="388" customFormat="false" ht="15.75" hidden="false" customHeight="false" outlineLevel="0" collapsed="false"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</row>
    <row r="389" customFormat="false" ht="15.75" hidden="false" customHeight="false" outlineLevel="0" collapsed="false"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</row>
    <row r="390" customFormat="false" ht="15.75" hidden="false" customHeight="false" outlineLevel="0" collapsed="false"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</row>
    <row r="391" customFormat="false" ht="15.75" hidden="false" customHeight="false" outlineLevel="0" collapsed="false"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</row>
    <row r="392" customFormat="false" ht="15.75" hidden="false" customHeight="false" outlineLevel="0" collapsed="false"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</row>
    <row r="393" customFormat="false" ht="15.75" hidden="false" customHeight="false" outlineLevel="0" collapsed="false"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</row>
    <row r="394" customFormat="false" ht="15.75" hidden="false" customHeight="false" outlineLevel="0" collapsed="false"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</row>
    <row r="395" customFormat="false" ht="15.75" hidden="false" customHeight="false" outlineLevel="0" collapsed="false"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</row>
    <row r="396" customFormat="false" ht="15.75" hidden="false" customHeight="false" outlineLevel="0" collapsed="false"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</row>
    <row r="397" customFormat="false" ht="15.75" hidden="false" customHeight="false" outlineLevel="0" collapsed="false"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</row>
    <row r="398" customFormat="false" ht="15.75" hidden="false" customHeight="false" outlineLevel="0" collapsed="false"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</row>
    <row r="399" customFormat="false" ht="15.75" hidden="false" customHeight="false" outlineLevel="0" collapsed="false"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</row>
    <row r="400" customFormat="false" ht="15.75" hidden="false" customHeight="false" outlineLevel="0" collapsed="false"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</row>
    <row r="401" customFormat="false" ht="15.75" hidden="false" customHeight="false" outlineLevel="0" collapsed="false"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</row>
    <row r="402" customFormat="false" ht="15.75" hidden="false" customHeight="false" outlineLevel="0" collapsed="false"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</row>
    <row r="403" customFormat="false" ht="15.75" hidden="false" customHeight="false" outlineLevel="0" collapsed="false"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</row>
    <row r="404" customFormat="false" ht="15.75" hidden="false" customHeight="false" outlineLevel="0" collapsed="false"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</row>
    <row r="405" customFormat="false" ht="15.75" hidden="false" customHeight="false" outlineLevel="0" collapsed="false"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</row>
    <row r="406" customFormat="false" ht="15.75" hidden="false" customHeight="false" outlineLevel="0" collapsed="false"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</row>
    <row r="407" customFormat="false" ht="15.75" hidden="false" customHeight="false" outlineLevel="0" collapsed="false"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</row>
    <row r="408" customFormat="false" ht="15.75" hidden="false" customHeight="false" outlineLevel="0" collapsed="false"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</row>
    <row r="409" customFormat="false" ht="15.75" hidden="false" customHeight="false" outlineLevel="0" collapsed="false"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</row>
    <row r="410" customFormat="false" ht="15.75" hidden="false" customHeight="false" outlineLevel="0" collapsed="false"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</row>
    <row r="411" customFormat="false" ht="15.75" hidden="false" customHeight="false" outlineLevel="0" collapsed="false"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</row>
    <row r="412" customFormat="false" ht="15.75" hidden="false" customHeight="false" outlineLevel="0" collapsed="false"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</row>
    <row r="413" customFormat="false" ht="15.75" hidden="false" customHeight="false" outlineLevel="0" collapsed="false"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</row>
    <row r="414" customFormat="false" ht="15.75" hidden="false" customHeight="false" outlineLevel="0" collapsed="false"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</row>
    <row r="415" customFormat="false" ht="15.75" hidden="false" customHeight="false" outlineLevel="0" collapsed="false"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</row>
    <row r="416" customFormat="false" ht="15.75" hidden="false" customHeight="false" outlineLevel="0" collapsed="false"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</row>
    <row r="417" customFormat="false" ht="15.75" hidden="false" customHeight="false" outlineLevel="0" collapsed="false"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</row>
    <row r="418" customFormat="false" ht="15.75" hidden="false" customHeight="false" outlineLevel="0" collapsed="false"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2" topLeftCell="B142" activePane="bottomRight" state="frozen"/>
      <selection pane="topLeft" activeCell="A2" activeCellId="0" sqref="A2"/>
      <selection pane="topRight" activeCell="B2" activeCellId="0" sqref="B2"/>
      <selection pane="bottomLeft" activeCell="A142" activeCellId="0" sqref="A142"/>
      <selection pane="bottomRight" activeCell="A160" activeCellId="0" sqref="A16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9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80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1" t="s">
        <v>103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  <c r="AH2" s="83" t="n">
        <v>34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108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  <c r="AH3" s="86" t="s">
        <v>95</v>
      </c>
    </row>
    <row r="4" customFormat="false" ht="15.75" hidden="false" customHeight="false" outlineLevel="0" collapsed="false">
      <c r="A4" s="27" t="n">
        <v>36739</v>
      </c>
      <c r="B4" s="16" t="n">
        <v>1250000</v>
      </c>
      <c r="C4" s="16" t="n">
        <v>4563600</v>
      </c>
      <c r="D4" s="16" t="n">
        <v>2136334</v>
      </c>
      <c r="E4" s="16" t="n">
        <v>429975</v>
      </c>
      <c r="F4" s="16" t="n">
        <v>12500000</v>
      </c>
      <c r="G4" s="16" t="n">
        <v>116115000</v>
      </c>
      <c r="H4" s="16" t="n">
        <v>1663000</v>
      </c>
      <c r="I4" s="16" t="n">
        <v>12878050</v>
      </c>
      <c r="J4" s="16" t="n">
        <v>1012500</v>
      </c>
      <c r="K4" s="16" t="n">
        <v>23507915</v>
      </c>
      <c r="L4" s="16" t="n">
        <v>10372212</v>
      </c>
      <c r="M4" s="16" t="n">
        <v>1302980</v>
      </c>
      <c r="N4" s="16" t="n">
        <v>3486752</v>
      </c>
      <c r="O4" s="16" t="n">
        <v>429210</v>
      </c>
      <c r="P4" s="16" t="n">
        <v>470790</v>
      </c>
      <c r="Q4" s="16" t="n">
        <v>27082500</v>
      </c>
      <c r="R4" s="16" t="n">
        <v>7121810</v>
      </c>
      <c r="S4" s="16" t="n">
        <v>5644007</v>
      </c>
      <c r="T4" s="16" t="n">
        <v>20916875</v>
      </c>
      <c r="U4" s="16" t="n">
        <v>2560525</v>
      </c>
      <c r="V4" s="16" t="n">
        <v>4774950</v>
      </c>
      <c r="W4" s="16" t="n">
        <v>1822363</v>
      </c>
      <c r="X4" s="16" t="n">
        <v>1374750</v>
      </c>
      <c r="Y4" s="16" t="n">
        <v>1803840</v>
      </c>
      <c r="Z4" s="16" t="n">
        <v>2300803</v>
      </c>
      <c r="AA4" s="16" t="n">
        <v>7483750</v>
      </c>
      <c r="AB4" s="16" t="n">
        <v>2343750</v>
      </c>
      <c r="AC4" s="16" t="n">
        <v>16316247</v>
      </c>
      <c r="AD4" s="16" t="n">
        <v>1050000</v>
      </c>
      <c r="AE4" s="16" t="n">
        <v>81480000</v>
      </c>
      <c r="AF4" s="16" t="n">
        <v>1360000</v>
      </c>
      <c r="AG4" s="16" t="n">
        <v>93746588.676478</v>
      </c>
      <c r="AH4" s="16" t="n">
        <f aca="false">(+P4+C4+'Stock Prices'!H5*'Daily Position'!$H$4+'Stock Prices'!E5*'Daily Position'!$H$10+'Stock Prices'!F5*'Daily Position'!$H$11+'Stock Prices'!K5*'Daily Position'!$H$13)/0.6*0.3612</f>
        <v>7305134.83572329</v>
      </c>
      <c r="AI4" s="78"/>
    </row>
    <row r="5" customFormat="false" ht="15.75" hidden="false" customHeight="false" outlineLevel="0" collapsed="false">
      <c r="A5" s="27" t="n">
        <v>36740</v>
      </c>
      <c r="B5" s="16" t="n">
        <v>1250000</v>
      </c>
      <c r="C5" s="16" t="n">
        <v>4563600</v>
      </c>
      <c r="D5" s="16" t="n">
        <v>2136334</v>
      </c>
      <c r="E5" s="16" t="n">
        <v>429975</v>
      </c>
      <c r="F5" s="16" t="n">
        <v>12500000</v>
      </c>
      <c r="G5" s="16" t="n">
        <v>116115000</v>
      </c>
      <c r="H5" s="16" t="n">
        <v>1663000</v>
      </c>
      <c r="I5" s="16" t="n">
        <v>12878050</v>
      </c>
      <c r="J5" s="16" t="n">
        <v>1012500</v>
      </c>
      <c r="K5" s="16" t="n">
        <v>23507915</v>
      </c>
      <c r="L5" s="16" t="n">
        <v>10372212</v>
      </c>
      <c r="M5" s="16" t="n">
        <v>1302980</v>
      </c>
      <c r="N5" s="16" t="n">
        <v>3486752</v>
      </c>
      <c r="O5" s="16" t="n">
        <v>429210</v>
      </c>
      <c r="P5" s="16" t="n">
        <v>470790</v>
      </c>
      <c r="Q5" s="16" t="n">
        <v>27082500</v>
      </c>
      <c r="R5" s="16" t="n">
        <v>7121810</v>
      </c>
      <c r="S5" s="16" t="n">
        <v>5644007</v>
      </c>
      <c r="T5" s="16" t="n">
        <v>20916875</v>
      </c>
      <c r="U5" s="16" t="n">
        <v>2560525</v>
      </c>
      <c r="V5" s="16" t="n">
        <v>4774950</v>
      </c>
      <c r="W5" s="16" t="n">
        <v>1822363</v>
      </c>
      <c r="X5" s="16" t="n">
        <v>1374750</v>
      </c>
      <c r="Y5" s="16" t="n">
        <v>1803840</v>
      </c>
      <c r="Z5" s="16" t="n">
        <v>2300803</v>
      </c>
      <c r="AA5" s="16" t="n">
        <v>7483750</v>
      </c>
      <c r="AB5" s="16" t="n">
        <v>2343750</v>
      </c>
      <c r="AC5" s="16" t="n">
        <v>16316247</v>
      </c>
      <c r="AD5" s="16" t="n">
        <v>1050000</v>
      </c>
      <c r="AE5" s="16" t="n">
        <v>81480000</v>
      </c>
      <c r="AF5" s="16" t="n">
        <v>1360000</v>
      </c>
      <c r="AG5" s="16" t="n">
        <v>93746588.676478</v>
      </c>
      <c r="AH5" s="16" t="n">
        <f aca="false">(+P5+C5+'Stock Prices'!H6*'Daily Position'!$H$4+'Stock Prices'!E6*'Daily Position'!$H$10+'Stock Prices'!F6*'Daily Position'!$H$11+'Stock Prices'!K6*'Daily Position'!$H$13)/0.6*0.3612</f>
        <v>7404719.30110175</v>
      </c>
      <c r="AI5" s="78"/>
    </row>
    <row r="6" customFormat="false" ht="15.75" hidden="false" customHeight="false" outlineLevel="0" collapsed="false">
      <c r="A6" s="27" t="n">
        <v>36741</v>
      </c>
      <c r="B6" s="16" t="n">
        <v>1250000</v>
      </c>
      <c r="C6" s="16" t="n">
        <v>4563600</v>
      </c>
      <c r="D6" s="16" t="n">
        <v>2136334</v>
      </c>
      <c r="E6" s="16" t="n">
        <v>429975</v>
      </c>
      <c r="F6" s="16" t="n">
        <v>12500000</v>
      </c>
      <c r="G6" s="16" t="n">
        <v>116115000</v>
      </c>
      <c r="H6" s="16" t="n">
        <v>1663000</v>
      </c>
      <c r="I6" s="16" t="n">
        <v>12878050</v>
      </c>
      <c r="J6" s="16" t="n">
        <v>1012500</v>
      </c>
      <c r="K6" s="16" t="n">
        <v>23507915</v>
      </c>
      <c r="L6" s="16" t="n">
        <v>10372212</v>
      </c>
      <c r="M6" s="16" t="n">
        <v>1302980</v>
      </c>
      <c r="N6" s="16" t="n">
        <v>3486752</v>
      </c>
      <c r="O6" s="16" t="n">
        <v>429210</v>
      </c>
      <c r="P6" s="16" t="n">
        <v>470790</v>
      </c>
      <c r="Q6" s="16" t="n">
        <v>27082500</v>
      </c>
      <c r="R6" s="16" t="n">
        <v>7121810</v>
      </c>
      <c r="S6" s="16" t="n">
        <v>5644007</v>
      </c>
      <c r="T6" s="16" t="n">
        <v>20916875</v>
      </c>
      <c r="U6" s="16" t="n">
        <v>2560525</v>
      </c>
      <c r="V6" s="16" t="n">
        <v>4774950</v>
      </c>
      <c r="W6" s="16" t="n">
        <v>1822363</v>
      </c>
      <c r="X6" s="16" t="n">
        <v>1374750</v>
      </c>
      <c r="Y6" s="16" t="n">
        <v>1803840</v>
      </c>
      <c r="Z6" s="16" t="n">
        <v>2300803</v>
      </c>
      <c r="AA6" s="16" t="n">
        <v>7483750</v>
      </c>
      <c r="AB6" s="16" t="n">
        <v>2343750</v>
      </c>
      <c r="AC6" s="16" t="n">
        <v>16316247</v>
      </c>
      <c r="AD6" s="16" t="n">
        <v>1050000</v>
      </c>
      <c r="AE6" s="16" t="n">
        <v>81480000</v>
      </c>
      <c r="AF6" s="16" t="n">
        <v>1360000</v>
      </c>
      <c r="AG6" s="16" t="n">
        <v>93746588.676478</v>
      </c>
      <c r="AH6" s="16" t="n">
        <f aca="false">(+P6+C6+'Stock Prices'!H7*'Daily Position'!$H$4+'Stock Prices'!E7*'Daily Position'!$H$10+'Stock Prices'!F7*'Daily Position'!$H$11+'Stock Prices'!K7*'Daily Position'!$H$13)/0.6*0.3612</f>
        <v>7523398.67847978</v>
      </c>
      <c r="AI6" s="78"/>
    </row>
    <row r="7" customFormat="false" ht="15.75" hidden="false" customHeight="false" outlineLevel="0" collapsed="false">
      <c r="A7" s="27" t="n">
        <v>36742</v>
      </c>
      <c r="B7" s="16" t="n">
        <v>1250000</v>
      </c>
      <c r="C7" s="16" t="n">
        <v>4563600</v>
      </c>
      <c r="D7" s="16" t="n">
        <v>2136334</v>
      </c>
      <c r="E7" s="16" t="n">
        <v>429975</v>
      </c>
      <c r="F7" s="16" t="n">
        <v>12500000</v>
      </c>
      <c r="G7" s="16" t="n">
        <v>116115000</v>
      </c>
      <c r="H7" s="16" t="n">
        <v>1663000</v>
      </c>
      <c r="I7" s="16" t="n">
        <v>12878050</v>
      </c>
      <c r="J7" s="16" t="n">
        <v>1012500</v>
      </c>
      <c r="K7" s="16" t="n">
        <v>23507915</v>
      </c>
      <c r="L7" s="16" t="n">
        <v>10372212</v>
      </c>
      <c r="M7" s="16" t="n">
        <v>1302980</v>
      </c>
      <c r="N7" s="16" t="n">
        <v>3486752</v>
      </c>
      <c r="O7" s="16" t="n">
        <v>429210</v>
      </c>
      <c r="P7" s="16" t="n">
        <v>470790</v>
      </c>
      <c r="Q7" s="16" t="n">
        <v>27082500</v>
      </c>
      <c r="R7" s="16" t="n">
        <v>7121810</v>
      </c>
      <c r="S7" s="16" t="n">
        <v>5644007</v>
      </c>
      <c r="T7" s="16" t="n">
        <v>20916875</v>
      </c>
      <c r="U7" s="16" t="n">
        <v>2560525</v>
      </c>
      <c r="V7" s="16" t="n">
        <v>4774950</v>
      </c>
      <c r="W7" s="16" t="n">
        <v>1822363</v>
      </c>
      <c r="X7" s="16" t="n">
        <v>1374750</v>
      </c>
      <c r="Y7" s="16" t="n">
        <v>1803840</v>
      </c>
      <c r="Z7" s="16" t="n">
        <v>2300803</v>
      </c>
      <c r="AA7" s="16" t="n">
        <v>7483750</v>
      </c>
      <c r="AB7" s="16" t="n">
        <v>2343750</v>
      </c>
      <c r="AC7" s="16" t="n">
        <v>16316247</v>
      </c>
      <c r="AD7" s="16" t="n">
        <v>1050000</v>
      </c>
      <c r="AE7" s="16" t="n">
        <v>81480000</v>
      </c>
      <c r="AF7" s="16" t="n">
        <v>1360000</v>
      </c>
      <c r="AG7" s="16" t="n">
        <v>93746588.676478</v>
      </c>
      <c r="AH7" s="16" t="n">
        <f aca="false">(+P7+C7+'Stock Prices'!H8*'Daily Position'!$H$4+'Stock Prices'!E8*'Daily Position'!$H$10+'Stock Prices'!F8*'Daily Position'!$H$11+'Stock Prices'!K8*'Daily Position'!$H$13)/0.6*0.3612</f>
        <v>7458213.08249813</v>
      </c>
      <c r="AI7" s="78"/>
    </row>
    <row r="8" customFormat="false" ht="15.75" hidden="false" customHeight="false" outlineLevel="0" collapsed="false">
      <c r="A8" s="27" t="n">
        <v>36745</v>
      </c>
      <c r="B8" s="16" t="n">
        <v>1250000</v>
      </c>
      <c r="C8" s="16" t="n">
        <v>4563600</v>
      </c>
      <c r="D8" s="16" t="n">
        <v>2136334</v>
      </c>
      <c r="E8" s="16" t="n">
        <v>429975</v>
      </c>
      <c r="F8" s="16" t="n">
        <v>12500000</v>
      </c>
      <c r="G8" s="16" t="n">
        <v>116115000</v>
      </c>
      <c r="H8" s="16" t="n">
        <v>1663000</v>
      </c>
      <c r="I8" s="16" t="n">
        <v>12878050</v>
      </c>
      <c r="J8" s="16" t="n">
        <v>1012500</v>
      </c>
      <c r="K8" s="16" t="n">
        <v>23507915</v>
      </c>
      <c r="L8" s="16" t="n">
        <v>10372212</v>
      </c>
      <c r="M8" s="16" t="n">
        <v>1302980</v>
      </c>
      <c r="N8" s="16" t="n">
        <v>3486752</v>
      </c>
      <c r="O8" s="16" t="n">
        <v>429210</v>
      </c>
      <c r="P8" s="16" t="n">
        <v>470790</v>
      </c>
      <c r="Q8" s="16" t="n">
        <v>27082500</v>
      </c>
      <c r="R8" s="16" t="n">
        <v>7121810</v>
      </c>
      <c r="S8" s="16" t="n">
        <v>5644007</v>
      </c>
      <c r="T8" s="16" t="n">
        <v>20916875</v>
      </c>
      <c r="U8" s="16" t="n">
        <v>2560525</v>
      </c>
      <c r="V8" s="16" t="n">
        <v>4774950</v>
      </c>
      <c r="W8" s="16" t="n">
        <v>1822363</v>
      </c>
      <c r="X8" s="16" t="n">
        <v>1374750</v>
      </c>
      <c r="Y8" s="16" t="n">
        <v>1803840</v>
      </c>
      <c r="Z8" s="16" t="n">
        <v>2300803</v>
      </c>
      <c r="AA8" s="16" t="n">
        <v>7483750</v>
      </c>
      <c r="AB8" s="16" t="n">
        <v>2343750</v>
      </c>
      <c r="AC8" s="16" t="n">
        <v>16316247</v>
      </c>
      <c r="AD8" s="16" t="n">
        <v>1050000</v>
      </c>
      <c r="AE8" s="16" t="n">
        <v>81480000</v>
      </c>
      <c r="AF8" s="16" t="n">
        <v>1360000</v>
      </c>
      <c r="AG8" s="16" t="n">
        <v>93746588.676478</v>
      </c>
      <c r="AH8" s="16" t="n">
        <f aca="false">(+P8+C8+'Stock Prices'!H9*'Daily Position'!$H$4+'Stock Prices'!E9*'Daily Position'!$H$10+'Stock Prices'!F9*'Daily Position'!$H$11+'Stock Prices'!K9*'Daily Position'!$H$13)/0.6*0.3612</f>
        <v>7578794.95102164</v>
      </c>
      <c r="AI8" s="78"/>
    </row>
    <row r="9" customFormat="false" ht="15.75" hidden="false" customHeight="false" outlineLevel="0" collapsed="false">
      <c r="A9" s="27" t="n">
        <v>36746</v>
      </c>
      <c r="B9" s="16" t="n">
        <v>1250000</v>
      </c>
      <c r="C9" s="16" t="n">
        <v>4563600</v>
      </c>
      <c r="D9" s="16" t="n">
        <v>2136334</v>
      </c>
      <c r="E9" s="16" t="n">
        <v>429975</v>
      </c>
      <c r="F9" s="16" t="n">
        <v>12500000</v>
      </c>
      <c r="G9" s="16" t="n">
        <v>116115000</v>
      </c>
      <c r="H9" s="16" t="n">
        <v>1663000</v>
      </c>
      <c r="I9" s="16" t="n">
        <v>12878050</v>
      </c>
      <c r="J9" s="16" t="n">
        <v>1012500</v>
      </c>
      <c r="K9" s="16" t="n">
        <v>23507915</v>
      </c>
      <c r="L9" s="16" t="n">
        <v>10372212</v>
      </c>
      <c r="M9" s="16" t="n">
        <v>1302980</v>
      </c>
      <c r="N9" s="16" t="n">
        <v>3486752</v>
      </c>
      <c r="O9" s="16" t="n">
        <v>429210</v>
      </c>
      <c r="P9" s="16" t="n">
        <v>470790</v>
      </c>
      <c r="Q9" s="16" t="n">
        <v>27082500</v>
      </c>
      <c r="R9" s="16" t="n">
        <v>7121810</v>
      </c>
      <c r="S9" s="16" t="n">
        <v>5644007</v>
      </c>
      <c r="T9" s="16" t="n">
        <v>20916875</v>
      </c>
      <c r="U9" s="16" t="n">
        <v>2560525</v>
      </c>
      <c r="V9" s="16" t="n">
        <v>4774950</v>
      </c>
      <c r="W9" s="16" t="n">
        <v>1822363</v>
      </c>
      <c r="X9" s="16" t="n">
        <v>1374750</v>
      </c>
      <c r="Y9" s="16" t="n">
        <v>1803840</v>
      </c>
      <c r="Z9" s="16" t="n">
        <v>2300803</v>
      </c>
      <c r="AA9" s="16" t="n">
        <v>7483750</v>
      </c>
      <c r="AB9" s="16" t="n">
        <v>2343750</v>
      </c>
      <c r="AC9" s="16" t="n">
        <v>16316247</v>
      </c>
      <c r="AD9" s="16" t="n">
        <v>1050000</v>
      </c>
      <c r="AE9" s="16" t="n">
        <v>81480000</v>
      </c>
      <c r="AF9" s="16" t="n">
        <v>1360000</v>
      </c>
      <c r="AG9" s="16" t="n">
        <v>93746588.676478</v>
      </c>
      <c r="AH9" s="16" t="n">
        <f aca="false">(+P9+C9+'Stock Prices'!H10*'Daily Position'!$H$4+'Stock Prices'!E10*'Daily Position'!$H$10+'Stock Prices'!F10*'Daily Position'!$H$11+'Stock Prices'!K10*'Daily Position'!$H$13)/0.6*0.3612</f>
        <v>7549277.37091035</v>
      </c>
      <c r="AI9" s="78"/>
    </row>
    <row r="10" customFormat="false" ht="15.75" hidden="false" customHeight="false" outlineLevel="0" collapsed="false">
      <c r="A10" s="27" t="n">
        <v>36747</v>
      </c>
      <c r="B10" s="16" t="n">
        <v>1250000</v>
      </c>
      <c r="C10" s="16" t="n">
        <v>4563600</v>
      </c>
      <c r="D10" s="16" t="n">
        <v>2136334</v>
      </c>
      <c r="E10" s="16" t="n">
        <v>429975</v>
      </c>
      <c r="F10" s="16" t="n">
        <v>12500000</v>
      </c>
      <c r="G10" s="16" t="n">
        <v>116115000</v>
      </c>
      <c r="H10" s="16" t="n">
        <v>1663000</v>
      </c>
      <c r="I10" s="16" t="n">
        <v>12878050</v>
      </c>
      <c r="J10" s="16" t="n">
        <v>1012500</v>
      </c>
      <c r="K10" s="16" t="n">
        <v>23507915</v>
      </c>
      <c r="L10" s="16" t="n">
        <v>10372212</v>
      </c>
      <c r="M10" s="16" t="n">
        <v>1302980</v>
      </c>
      <c r="N10" s="16" t="n">
        <v>3486752</v>
      </c>
      <c r="O10" s="16" t="n">
        <v>429210</v>
      </c>
      <c r="P10" s="16" t="n">
        <v>470790</v>
      </c>
      <c r="Q10" s="16" t="n">
        <v>27082500</v>
      </c>
      <c r="R10" s="16" t="n">
        <v>7121810</v>
      </c>
      <c r="S10" s="16" t="n">
        <v>5644007</v>
      </c>
      <c r="T10" s="16" t="n">
        <v>20916875</v>
      </c>
      <c r="U10" s="16" t="n">
        <v>2560525</v>
      </c>
      <c r="V10" s="16" t="n">
        <v>4774950</v>
      </c>
      <c r="W10" s="16" t="n">
        <v>1822363</v>
      </c>
      <c r="X10" s="16" t="n">
        <v>1374750</v>
      </c>
      <c r="Y10" s="16" t="n">
        <v>1803840</v>
      </c>
      <c r="Z10" s="16" t="n">
        <v>2300803</v>
      </c>
      <c r="AA10" s="16" t="n">
        <v>7483750</v>
      </c>
      <c r="AB10" s="16" t="n">
        <v>2343750</v>
      </c>
      <c r="AC10" s="16" t="n">
        <v>16316247</v>
      </c>
      <c r="AD10" s="16" t="n">
        <v>1050000</v>
      </c>
      <c r="AE10" s="16" t="n">
        <v>81480000</v>
      </c>
      <c r="AF10" s="16" t="n">
        <v>1360000</v>
      </c>
      <c r="AG10" s="16" t="n">
        <v>93746588.676478</v>
      </c>
      <c r="AH10" s="16" t="n">
        <f aca="false">(+P10+C10+'Stock Prices'!H11*'Daily Position'!$H$4+'Stock Prices'!E11*'Daily Position'!$H$10+'Stock Prices'!F11*'Daily Position'!$H$11+'Stock Prices'!K11*'Daily Position'!$H$13)/0.6*0.3612</f>
        <v>7558431.58670285</v>
      </c>
      <c r="AI10" s="78"/>
    </row>
    <row r="11" customFormat="false" ht="15.75" hidden="false" customHeight="false" outlineLevel="0" collapsed="false">
      <c r="A11" s="27" t="n">
        <v>36748</v>
      </c>
      <c r="B11" s="16" t="n">
        <v>1250000</v>
      </c>
      <c r="C11" s="16" t="n">
        <v>4563600</v>
      </c>
      <c r="D11" s="16" t="n">
        <v>2136334</v>
      </c>
      <c r="E11" s="16" t="n">
        <v>429975</v>
      </c>
      <c r="F11" s="16" t="n">
        <v>12500000</v>
      </c>
      <c r="G11" s="16" t="n">
        <v>116115000</v>
      </c>
      <c r="H11" s="16" t="n">
        <v>1663000</v>
      </c>
      <c r="I11" s="16" t="n">
        <v>12878050</v>
      </c>
      <c r="J11" s="16" t="n">
        <v>1012500</v>
      </c>
      <c r="K11" s="16" t="n">
        <v>23507915</v>
      </c>
      <c r="L11" s="16" t="n">
        <v>10372212</v>
      </c>
      <c r="M11" s="16" t="n">
        <v>1302980</v>
      </c>
      <c r="N11" s="16" t="n">
        <v>3486752</v>
      </c>
      <c r="O11" s="16" t="n">
        <v>429210</v>
      </c>
      <c r="P11" s="16" t="n">
        <v>470790</v>
      </c>
      <c r="Q11" s="16" t="n">
        <v>27082500</v>
      </c>
      <c r="R11" s="16" t="n">
        <v>7121810</v>
      </c>
      <c r="S11" s="16" t="n">
        <v>5644007</v>
      </c>
      <c r="T11" s="16" t="n">
        <v>20916875</v>
      </c>
      <c r="U11" s="16" t="n">
        <v>2560525</v>
      </c>
      <c r="V11" s="16" t="n">
        <v>4774950</v>
      </c>
      <c r="W11" s="16" t="n">
        <v>1822363</v>
      </c>
      <c r="X11" s="16" t="n">
        <v>1374750</v>
      </c>
      <c r="Y11" s="16" t="n">
        <v>1803840</v>
      </c>
      <c r="Z11" s="16" t="n">
        <v>2300803</v>
      </c>
      <c r="AA11" s="16" t="n">
        <v>7483750</v>
      </c>
      <c r="AB11" s="16" t="n">
        <v>2343750</v>
      </c>
      <c r="AC11" s="16" t="n">
        <v>16316247</v>
      </c>
      <c r="AD11" s="16" t="n">
        <v>1050000</v>
      </c>
      <c r="AE11" s="16" t="n">
        <v>81480000</v>
      </c>
      <c r="AF11" s="16" t="n">
        <v>1360000</v>
      </c>
      <c r="AG11" s="16" t="n">
        <v>93746588.676478</v>
      </c>
      <c r="AH11" s="16" t="n">
        <f aca="false">(+P11+C11+'Stock Prices'!H12*'Daily Position'!$H$4+'Stock Prices'!E12*'Daily Position'!$H$10+'Stock Prices'!F12*'Daily Position'!$H$11+'Stock Prices'!K12*'Daily Position'!$H$13)/0.6*0.3612</f>
        <v>7589274.50562731</v>
      </c>
      <c r="AI11" s="78"/>
    </row>
    <row r="12" customFormat="false" ht="15.75" hidden="false" customHeight="false" outlineLevel="0" collapsed="false">
      <c r="A12" s="27" t="n">
        <v>36749</v>
      </c>
      <c r="B12" s="16" t="n">
        <v>1250000</v>
      </c>
      <c r="C12" s="16" t="n">
        <v>4563600</v>
      </c>
      <c r="D12" s="16" t="n">
        <v>2136334</v>
      </c>
      <c r="E12" s="16" t="n">
        <v>429975</v>
      </c>
      <c r="F12" s="16" t="n">
        <v>12500000</v>
      </c>
      <c r="G12" s="16" t="n">
        <v>116115000</v>
      </c>
      <c r="H12" s="16" t="n">
        <v>1663000</v>
      </c>
      <c r="I12" s="16" t="n">
        <v>12878050</v>
      </c>
      <c r="J12" s="16" t="n">
        <v>1012500</v>
      </c>
      <c r="K12" s="16" t="n">
        <v>23507915</v>
      </c>
      <c r="L12" s="16" t="n">
        <v>10372212</v>
      </c>
      <c r="M12" s="16" t="n">
        <v>1302980</v>
      </c>
      <c r="N12" s="16" t="n">
        <v>3486752</v>
      </c>
      <c r="O12" s="16" t="n">
        <v>429210</v>
      </c>
      <c r="P12" s="16" t="n">
        <v>470790</v>
      </c>
      <c r="Q12" s="16" t="n">
        <v>27082500</v>
      </c>
      <c r="R12" s="16" t="n">
        <v>7121810</v>
      </c>
      <c r="S12" s="16" t="n">
        <v>5644007</v>
      </c>
      <c r="T12" s="16" t="n">
        <v>20916875</v>
      </c>
      <c r="U12" s="16" t="n">
        <v>2560525</v>
      </c>
      <c r="V12" s="16" t="n">
        <v>4774950</v>
      </c>
      <c r="W12" s="16" t="n">
        <v>1822363</v>
      </c>
      <c r="X12" s="16" t="n">
        <v>1374750</v>
      </c>
      <c r="Y12" s="16" t="n">
        <v>1803840</v>
      </c>
      <c r="Z12" s="16" t="n">
        <v>2300803</v>
      </c>
      <c r="AA12" s="16" t="n">
        <v>7483750</v>
      </c>
      <c r="AB12" s="16" t="n">
        <v>2343750</v>
      </c>
      <c r="AC12" s="16" t="n">
        <v>16316247</v>
      </c>
      <c r="AD12" s="16" t="n">
        <v>1050000</v>
      </c>
      <c r="AE12" s="16" t="n">
        <v>81480000</v>
      </c>
      <c r="AF12" s="16" t="n">
        <v>1360000</v>
      </c>
      <c r="AG12" s="16" t="n">
        <v>93746588.676478</v>
      </c>
      <c r="AH12" s="16" t="n">
        <f aca="false">(+P12+C12+'Stock Prices'!H13*'Daily Position'!$H$4+'Stock Prices'!E13*'Daily Position'!$H$10+'Stock Prices'!F13*'Daily Position'!$H$11+'Stock Prices'!K13*'Daily Position'!$H$13)/0.6*0.3612</f>
        <v>7624613.17454647</v>
      </c>
      <c r="AI12" s="78"/>
    </row>
    <row r="13" customFormat="false" ht="15.75" hidden="false" customHeight="false" outlineLevel="0" collapsed="false">
      <c r="A13" s="27" t="n">
        <v>36752</v>
      </c>
      <c r="B13" s="16" t="n">
        <v>1250000</v>
      </c>
      <c r="C13" s="16" t="n">
        <v>4563600</v>
      </c>
      <c r="D13" s="16" t="n">
        <v>2136334</v>
      </c>
      <c r="E13" s="16" t="n">
        <v>429975</v>
      </c>
      <c r="F13" s="16" t="n">
        <v>12500000</v>
      </c>
      <c r="G13" s="16" t="n">
        <v>116115000</v>
      </c>
      <c r="H13" s="16" t="n">
        <v>1663000</v>
      </c>
      <c r="I13" s="16" t="n">
        <v>12878050</v>
      </c>
      <c r="J13" s="16" t="n">
        <v>1012500</v>
      </c>
      <c r="K13" s="16" t="n">
        <v>23507915</v>
      </c>
      <c r="L13" s="16" t="n">
        <v>10372212</v>
      </c>
      <c r="M13" s="16" t="n">
        <v>1302980</v>
      </c>
      <c r="N13" s="16" t="n">
        <v>3486752</v>
      </c>
      <c r="O13" s="16" t="n">
        <v>429210</v>
      </c>
      <c r="P13" s="16" t="n">
        <v>470790</v>
      </c>
      <c r="Q13" s="16" t="n">
        <v>27082500</v>
      </c>
      <c r="R13" s="16" t="n">
        <v>7121810</v>
      </c>
      <c r="S13" s="16" t="n">
        <v>5644007</v>
      </c>
      <c r="T13" s="16" t="n">
        <v>20916875</v>
      </c>
      <c r="U13" s="16" t="n">
        <v>2560525</v>
      </c>
      <c r="V13" s="16" t="n">
        <v>4774950</v>
      </c>
      <c r="W13" s="16" t="n">
        <v>1822363</v>
      </c>
      <c r="X13" s="16" t="n">
        <v>1374750</v>
      </c>
      <c r="Y13" s="16" t="n">
        <v>1803840</v>
      </c>
      <c r="Z13" s="16" t="n">
        <v>2300803</v>
      </c>
      <c r="AA13" s="16" t="n">
        <v>7483750</v>
      </c>
      <c r="AB13" s="16" t="n">
        <v>2343750</v>
      </c>
      <c r="AC13" s="16" t="n">
        <v>16316247</v>
      </c>
      <c r="AD13" s="16" t="n">
        <v>1050000</v>
      </c>
      <c r="AE13" s="16" t="n">
        <v>81480000</v>
      </c>
      <c r="AF13" s="16" t="n">
        <v>1360000</v>
      </c>
      <c r="AG13" s="16" t="n">
        <v>93746588.676478</v>
      </c>
      <c r="AH13" s="16" t="n">
        <f aca="false">(+P13+C13+'Stock Prices'!H14*'Daily Position'!$H$4+'Stock Prices'!E14*'Daily Position'!$H$10+'Stock Prices'!F14*'Daily Position'!$H$11+'Stock Prices'!K14*'Daily Position'!$H$13)/0.6*0.3612</f>
        <v>7765227.07976515</v>
      </c>
      <c r="AI13" s="78"/>
    </row>
    <row r="14" customFormat="false" ht="15.75" hidden="false" customHeight="false" outlineLevel="0" collapsed="false">
      <c r="A14" s="27" t="n">
        <v>36753</v>
      </c>
      <c r="B14" s="16" t="n">
        <v>1250000</v>
      </c>
      <c r="C14" s="16" t="n">
        <v>4563600</v>
      </c>
      <c r="D14" s="16" t="n">
        <v>2136334</v>
      </c>
      <c r="E14" s="16" t="n">
        <v>429975</v>
      </c>
      <c r="F14" s="16" t="n">
        <v>12500000</v>
      </c>
      <c r="G14" s="16" t="n">
        <v>116115000</v>
      </c>
      <c r="H14" s="16" t="n">
        <v>1663000</v>
      </c>
      <c r="I14" s="16" t="n">
        <v>12878050</v>
      </c>
      <c r="J14" s="16" t="n">
        <v>1012500</v>
      </c>
      <c r="K14" s="16" t="n">
        <v>23507915</v>
      </c>
      <c r="L14" s="16" t="n">
        <v>10372212</v>
      </c>
      <c r="M14" s="16" t="n">
        <v>1302980</v>
      </c>
      <c r="N14" s="16" t="n">
        <v>3486752</v>
      </c>
      <c r="O14" s="16" t="n">
        <v>429210</v>
      </c>
      <c r="P14" s="16" t="n">
        <v>470790</v>
      </c>
      <c r="Q14" s="16" t="n">
        <v>27082500</v>
      </c>
      <c r="R14" s="16" t="n">
        <v>7121810</v>
      </c>
      <c r="S14" s="16" t="n">
        <v>5644007</v>
      </c>
      <c r="T14" s="16" t="n">
        <v>20916875</v>
      </c>
      <c r="U14" s="16" t="n">
        <v>2560525</v>
      </c>
      <c r="V14" s="16" t="n">
        <v>4774950</v>
      </c>
      <c r="W14" s="16" t="n">
        <v>1822363</v>
      </c>
      <c r="X14" s="16" t="n">
        <v>1374750</v>
      </c>
      <c r="Y14" s="16" t="n">
        <v>1803840</v>
      </c>
      <c r="Z14" s="16" t="n">
        <v>2300803</v>
      </c>
      <c r="AA14" s="16" t="n">
        <v>7483750</v>
      </c>
      <c r="AB14" s="16" t="n">
        <v>2343750</v>
      </c>
      <c r="AC14" s="16" t="n">
        <v>16316247</v>
      </c>
      <c r="AD14" s="16" t="n">
        <v>1050000</v>
      </c>
      <c r="AE14" s="16" t="n">
        <v>81480000</v>
      </c>
      <c r="AF14" s="16" t="n">
        <v>1360000</v>
      </c>
      <c r="AG14" s="16" t="n">
        <v>93746588.676478</v>
      </c>
      <c r="AH14" s="16" t="n">
        <f aca="false">(+P14+C14+'Stock Prices'!H15*'Daily Position'!$H$4+'Stock Prices'!E15*'Daily Position'!$H$10+'Stock Prices'!F15*'Daily Position'!$H$11+'Stock Prices'!K15*'Daily Position'!$H$13)/0.6*0.3612</f>
        <v>7672091.10065981</v>
      </c>
      <c r="AI14" s="78"/>
    </row>
    <row r="15" customFormat="false" ht="15.75" hidden="false" customHeight="false" outlineLevel="0" collapsed="false">
      <c r="A15" s="27" t="n">
        <v>36754</v>
      </c>
      <c r="B15" s="16" t="n">
        <v>1250000</v>
      </c>
      <c r="C15" s="16" t="n">
        <v>4563600</v>
      </c>
      <c r="D15" s="16" t="n">
        <v>2136334</v>
      </c>
      <c r="E15" s="16" t="n">
        <v>429975</v>
      </c>
      <c r="F15" s="16" t="n">
        <v>12500000</v>
      </c>
      <c r="G15" s="16" t="n">
        <v>116115000</v>
      </c>
      <c r="H15" s="16" t="n">
        <v>1663000</v>
      </c>
      <c r="I15" s="16" t="n">
        <v>12878050</v>
      </c>
      <c r="J15" s="16" t="n">
        <v>1012500</v>
      </c>
      <c r="K15" s="16" t="n">
        <v>23507915</v>
      </c>
      <c r="L15" s="16" t="n">
        <v>10372212</v>
      </c>
      <c r="M15" s="16" t="n">
        <v>1302980</v>
      </c>
      <c r="N15" s="16" t="n">
        <v>3486752</v>
      </c>
      <c r="O15" s="16" t="n">
        <v>429210</v>
      </c>
      <c r="P15" s="16" t="n">
        <v>470790</v>
      </c>
      <c r="Q15" s="16" t="n">
        <v>27082500</v>
      </c>
      <c r="R15" s="16" t="n">
        <v>7121810</v>
      </c>
      <c r="S15" s="16" t="n">
        <v>5644007</v>
      </c>
      <c r="T15" s="16" t="n">
        <v>20916875</v>
      </c>
      <c r="U15" s="16" t="n">
        <v>2560525</v>
      </c>
      <c r="V15" s="16" t="n">
        <v>4774950</v>
      </c>
      <c r="W15" s="16" t="n">
        <v>1822363</v>
      </c>
      <c r="X15" s="16" t="n">
        <v>1374750</v>
      </c>
      <c r="Y15" s="16" t="n">
        <v>1803840</v>
      </c>
      <c r="Z15" s="16" t="n">
        <v>2300803</v>
      </c>
      <c r="AA15" s="16" t="n">
        <v>7483750</v>
      </c>
      <c r="AB15" s="16" t="n">
        <v>2343750</v>
      </c>
      <c r="AC15" s="16" t="n">
        <v>16316247</v>
      </c>
      <c r="AD15" s="16" t="n">
        <v>1050000</v>
      </c>
      <c r="AE15" s="16" t="n">
        <v>81480000</v>
      </c>
      <c r="AF15" s="16" t="n">
        <v>1360000</v>
      </c>
      <c r="AG15" s="16" t="n">
        <v>93746588.676478</v>
      </c>
      <c r="AH15" s="16" t="n">
        <f aca="false">(+P15+C15+'Stock Prices'!H16*'Daily Position'!$H$4+'Stock Prices'!E16*'Daily Position'!$H$10+'Stock Prices'!F16*'Daily Position'!$H$11+'Stock Prices'!K16*'Daily Position'!$H$13)/0.6*0.3612</f>
        <v>7589777.61299875</v>
      </c>
      <c r="AI15" s="78"/>
    </row>
    <row r="16" customFormat="false" ht="15.75" hidden="false" customHeight="false" outlineLevel="0" collapsed="false">
      <c r="A16" s="27" t="n">
        <v>36755</v>
      </c>
      <c r="B16" s="16" t="n">
        <v>1250000</v>
      </c>
      <c r="C16" s="16" t="n">
        <v>4563600</v>
      </c>
      <c r="D16" s="16" t="n">
        <v>2136334</v>
      </c>
      <c r="E16" s="16" t="n">
        <v>429975</v>
      </c>
      <c r="F16" s="16" t="n">
        <v>12500000</v>
      </c>
      <c r="G16" s="16" t="n">
        <v>116115000</v>
      </c>
      <c r="H16" s="16" t="n">
        <v>1663000</v>
      </c>
      <c r="I16" s="16" t="n">
        <v>12878050</v>
      </c>
      <c r="J16" s="16" t="n">
        <v>1012500</v>
      </c>
      <c r="K16" s="16" t="n">
        <v>23507915</v>
      </c>
      <c r="L16" s="16" t="n">
        <v>10372212</v>
      </c>
      <c r="M16" s="16" t="n">
        <v>1302980</v>
      </c>
      <c r="N16" s="16" t="n">
        <v>3486752</v>
      </c>
      <c r="O16" s="16" t="n">
        <v>429210</v>
      </c>
      <c r="P16" s="16" t="n">
        <v>470790</v>
      </c>
      <c r="Q16" s="16" t="n">
        <v>27082500</v>
      </c>
      <c r="R16" s="16" t="n">
        <v>7121810</v>
      </c>
      <c r="S16" s="16" t="n">
        <v>5644007</v>
      </c>
      <c r="T16" s="16" t="n">
        <v>20916875</v>
      </c>
      <c r="U16" s="16" t="n">
        <v>2560525</v>
      </c>
      <c r="V16" s="16" t="n">
        <v>4774950</v>
      </c>
      <c r="W16" s="16" t="n">
        <v>1822363</v>
      </c>
      <c r="X16" s="16" t="n">
        <v>1374750</v>
      </c>
      <c r="Y16" s="16" t="n">
        <v>1803840</v>
      </c>
      <c r="Z16" s="16" t="n">
        <v>2300803</v>
      </c>
      <c r="AA16" s="16" t="n">
        <v>7483750</v>
      </c>
      <c r="AB16" s="16" t="n">
        <v>2343750</v>
      </c>
      <c r="AC16" s="16" t="n">
        <v>16316247</v>
      </c>
      <c r="AD16" s="16" t="n">
        <v>1050000</v>
      </c>
      <c r="AE16" s="16" t="n">
        <v>81480000</v>
      </c>
      <c r="AF16" s="16" t="n">
        <v>1360000</v>
      </c>
      <c r="AG16" s="16" t="n">
        <v>93746588.676478</v>
      </c>
      <c r="AH16" s="16" t="n">
        <f aca="false">(+P16+C16+'Stock Prices'!H17*'Daily Position'!$H$4+'Stock Prices'!E17*'Daily Position'!$H$10+'Stock Prices'!F17*'Daily Position'!$H$11+'Stock Prices'!K17*'Daily Position'!$H$13)/0.6*0.3612</f>
        <v>7678466.01086927</v>
      </c>
      <c r="AI16" s="78"/>
    </row>
    <row r="17" customFormat="false" ht="15.75" hidden="false" customHeight="false" outlineLevel="0" collapsed="false">
      <c r="A17" s="27" t="n">
        <v>36756</v>
      </c>
      <c r="B17" s="16" t="n">
        <v>1250000</v>
      </c>
      <c r="C17" s="16" t="n">
        <v>4563600</v>
      </c>
      <c r="D17" s="16" t="n">
        <v>2136334</v>
      </c>
      <c r="E17" s="16" t="n">
        <v>429975</v>
      </c>
      <c r="F17" s="16" t="n">
        <v>12500000</v>
      </c>
      <c r="G17" s="16" t="n">
        <v>116115000</v>
      </c>
      <c r="H17" s="16" t="n">
        <v>1663000</v>
      </c>
      <c r="I17" s="16" t="n">
        <v>12878050</v>
      </c>
      <c r="J17" s="16" t="n">
        <v>1012500</v>
      </c>
      <c r="K17" s="16" t="n">
        <v>23507915</v>
      </c>
      <c r="L17" s="16" t="n">
        <v>10372212</v>
      </c>
      <c r="M17" s="16" t="n">
        <v>1302980</v>
      </c>
      <c r="N17" s="16" t="n">
        <v>3486752</v>
      </c>
      <c r="O17" s="16" t="n">
        <v>429210</v>
      </c>
      <c r="P17" s="16" t="n">
        <v>470790</v>
      </c>
      <c r="Q17" s="16" t="n">
        <v>27082500</v>
      </c>
      <c r="R17" s="16" t="n">
        <v>7121810</v>
      </c>
      <c r="S17" s="16" t="n">
        <v>5644007</v>
      </c>
      <c r="T17" s="16" t="n">
        <v>20916875</v>
      </c>
      <c r="U17" s="16" t="n">
        <v>2560525</v>
      </c>
      <c r="V17" s="16" t="n">
        <v>4774950</v>
      </c>
      <c r="W17" s="16" t="n">
        <v>1822363</v>
      </c>
      <c r="X17" s="16" t="n">
        <v>1374750</v>
      </c>
      <c r="Y17" s="16" t="n">
        <v>1803840</v>
      </c>
      <c r="Z17" s="16" t="n">
        <v>2300803</v>
      </c>
      <c r="AA17" s="16" t="n">
        <v>7483750</v>
      </c>
      <c r="AB17" s="16" t="n">
        <v>2343750</v>
      </c>
      <c r="AC17" s="16" t="n">
        <v>16316247</v>
      </c>
      <c r="AD17" s="16" t="n">
        <v>1050000</v>
      </c>
      <c r="AE17" s="16" t="n">
        <v>81480000</v>
      </c>
      <c r="AF17" s="16" t="n">
        <v>1360000</v>
      </c>
      <c r="AG17" s="16" t="n">
        <v>93746588.676478</v>
      </c>
      <c r="AH17" s="16" t="n">
        <f aca="false">(+P17+C17+'Stock Prices'!H18*'Daily Position'!$H$4+'Stock Prices'!E18*'Daily Position'!$H$10+'Stock Prices'!F18*'Daily Position'!$H$11+'Stock Prices'!K18*'Daily Position'!$H$13)/0.6*0.3612</f>
        <v>7679632.97227457</v>
      </c>
      <c r="AI17" s="78"/>
    </row>
    <row r="18" customFormat="false" ht="15.75" hidden="false" customHeight="false" outlineLevel="0" collapsed="false">
      <c r="A18" s="27" t="n">
        <v>36759</v>
      </c>
      <c r="B18" s="16" t="n">
        <v>1250000</v>
      </c>
      <c r="C18" s="16" t="n">
        <v>4563600</v>
      </c>
      <c r="D18" s="16" t="n">
        <v>2136334</v>
      </c>
      <c r="E18" s="16" t="n">
        <v>429975</v>
      </c>
      <c r="F18" s="16" t="n">
        <v>12500000</v>
      </c>
      <c r="G18" s="16" t="n">
        <v>116115000</v>
      </c>
      <c r="H18" s="16" t="n">
        <v>1663000</v>
      </c>
      <c r="I18" s="16" t="n">
        <v>12878050</v>
      </c>
      <c r="J18" s="16" t="n">
        <v>1012500</v>
      </c>
      <c r="K18" s="16" t="n">
        <v>23507915</v>
      </c>
      <c r="L18" s="16" t="n">
        <v>10372212</v>
      </c>
      <c r="M18" s="16" t="n">
        <v>1302980</v>
      </c>
      <c r="N18" s="16" t="n">
        <v>3486752</v>
      </c>
      <c r="O18" s="16" t="n">
        <v>429210</v>
      </c>
      <c r="P18" s="16" t="n">
        <v>470790</v>
      </c>
      <c r="Q18" s="16" t="n">
        <v>27082500</v>
      </c>
      <c r="R18" s="16" t="n">
        <v>7121810</v>
      </c>
      <c r="S18" s="16" t="n">
        <v>5644007</v>
      </c>
      <c r="T18" s="16" t="n">
        <v>20916875</v>
      </c>
      <c r="U18" s="16" t="n">
        <v>2560525</v>
      </c>
      <c r="V18" s="16" t="n">
        <v>4774950</v>
      </c>
      <c r="W18" s="16" t="n">
        <v>1822363</v>
      </c>
      <c r="X18" s="16" t="n">
        <v>1374750</v>
      </c>
      <c r="Y18" s="16" t="n">
        <v>1803840</v>
      </c>
      <c r="Z18" s="16" t="n">
        <v>2300803</v>
      </c>
      <c r="AA18" s="16" t="n">
        <v>7483750</v>
      </c>
      <c r="AB18" s="16" t="n">
        <v>2343750</v>
      </c>
      <c r="AC18" s="16" t="n">
        <v>16316247</v>
      </c>
      <c r="AD18" s="16" t="n">
        <v>1050000</v>
      </c>
      <c r="AE18" s="16" t="n">
        <v>81480000</v>
      </c>
      <c r="AF18" s="16" t="n">
        <v>1360000</v>
      </c>
      <c r="AG18" s="16" t="n">
        <v>93746588.676478</v>
      </c>
      <c r="AH18" s="16" t="n">
        <f aca="false">(+P18+C18+'Stock Prices'!H19*'Daily Position'!$H$4+'Stock Prices'!E19*'Daily Position'!$H$10+'Stock Prices'!F19*'Daily Position'!$H$11+'Stock Prices'!K19*'Daily Position'!$H$13)/0.6*0.3612</f>
        <v>7884064.50740934</v>
      </c>
      <c r="AI18" s="78"/>
    </row>
    <row r="19" customFormat="false" ht="15.75" hidden="false" customHeight="false" outlineLevel="0" collapsed="false">
      <c r="A19" s="27" t="n">
        <v>36760</v>
      </c>
      <c r="B19" s="16" t="n">
        <v>1250000</v>
      </c>
      <c r="C19" s="16" t="n">
        <v>4563600</v>
      </c>
      <c r="D19" s="16" t="n">
        <v>2136334</v>
      </c>
      <c r="E19" s="16" t="n">
        <v>429975</v>
      </c>
      <c r="F19" s="16" t="n">
        <v>12500000</v>
      </c>
      <c r="G19" s="16" t="n">
        <v>116115000</v>
      </c>
      <c r="H19" s="16" t="n">
        <v>1663000</v>
      </c>
      <c r="I19" s="16" t="n">
        <v>12878050</v>
      </c>
      <c r="J19" s="16" t="n">
        <v>1012500</v>
      </c>
      <c r="K19" s="16" t="n">
        <v>23507915</v>
      </c>
      <c r="L19" s="16" t="n">
        <v>10372212</v>
      </c>
      <c r="M19" s="16" t="n">
        <v>1302980</v>
      </c>
      <c r="N19" s="16" t="n">
        <v>3486752</v>
      </c>
      <c r="O19" s="16" t="n">
        <v>429210</v>
      </c>
      <c r="P19" s="16" t="n">
        <v>470790</v>
      </c>
      <c r="Q19" s="16" t="n">
        <v>27082500</v>
      </c>
      <c r="R19" s="16" t="n">
        <v>7121810</v>
      </c>
      <c r="S19" s="16" t="n">
        <v>5644007</v>
      </c>
      <c r="T19" s="16" t="n">
        <v>20916875</v>
      </c>
      <c r="U19" s="16" t="n">
        <v>2560525</v>
      </c>
      <c r="V19" s="16" t="n">
        <v>4774950</v>
      </c>
      <c r="W19" s="16" t="n">
        <v>1822363</v>
      </c>
      <c r="X19" s="16" t="n">
        <v>1374750</v>
      </c>
      <c r="Y19" s="16" t="n">
        <v>1803840</v>
      </c>
      <c r="Z19" s="16" t="n">
        <v>2300803</v>
      </c>
      <c r="AA19" s="16" t="n">
        <v>7483750</v>
      </c>
      <c r="AB19" s="16" t="n">
        <v>2343750</v>
      </c>
      <c r="AC19" s="16" t="n">
        <v>16316247</v>
      </c>
      <c r="AD19" s="16" t="n">
        <v>1050000</v>
      </c>
      <c r="AE19" s="16" t="n">
        <v>81480000</v>
      </c>
      <c r="AF19" s="16" t="n">
        <v>1360000</v>
      </c>
      <c r="AG19" s="16" t="n">
        <v>93746588.676478</v>
      </c>
      <c r="AH19" s="16" t="n">
        <f aca="false">(+P19+C19+'Stock Prices'!H20*'Daily Position'!$H$4+'Stock Prices'!E20*'Daily Position'!$H$10+'Stock Prices'!F20*'Daily Position'!$H$11+'Stock Prices'!K20*'Daily Position'!$H$13)/0.6*0.3612</f>
        <v>7978494.04375949</v>
      </c>
    </row>
    <row r="20" customFormat="false" ht="15.75" hidden="false" customHeight="false" outlineLevel="0" collapsed="false">
      <c r="A20" s="27" t="n">
        <v>36761</v>
      </c>
      <c r="B20" s="16" t="n">
        <v>1250000</v>
      </c>
      <c r="C20" s="16" t="n">
        <v>4563600</v>
      </c>
      <c r="D20" s="16" t="n">
        <v>2136334</v>
      </c>
      <c r="E20" s="16" t="n">
        <v>429975</v>
      </c>
      <c r="F20" s="16" t="n">
        <v>12500000</v>
      </c>
      <c r="G20" s="16" t="n">
        <v>116115000</v>
      </c>
      <c r="H20" s="16" t="n">
        <v>1663000</v>
      </c>
      <c r="I20" s="16" t="n">
        <v>12878050</v>
      </c>
      <c r="J20" s="16" t="n">
        <v>1012500</v>
      </c>
      <c r="K20" s="16" t="n">
        <v>23507915</v>
      </c>
      <c r="L20" s="16" t="n">
        <v>10372212</v>
      </c>
      <c r="M20" s="16" t="n">
        <v>1302980</v>
      </c>
      <c r="N20" s="16" t="n">
        <v>3486752</v>
      </c>
      <c r="O20" s="16" t="n">
        <v>429210</v>
      </c>
      <c r="P20" s="16" t="n">
        <v>470790</v>
      </c>
      <c r="Q20" s="16" t="n">
        <v>27082500</v>
      </c>
      <c r="R20" s="16" t="n">
        <v>7121810</v>
      </c>
      <c r="S20" s="16" t="n">
        <v>5644007</v>
      </c>
      <c r="T20" s="16" t="n">
        <v>20916875</v>
      </c>
      <c r="U20" s="16" t="n">
        <v>2560525</v>
      </c>
      <c r="V20" s="16" t="n">
        <v>4774950</v>
      </c>
      <c r="W20" s="16" t="n">
        <v>1822363</v>
      </c>
      <c r="X20" s="16" t="n">
        <v>1374750</v>
      </c>
      <c r="Y20" s="16" t="n">
        <v>1803840</v>
      </c>
      <c r="Z20" s="16" t="n">
        <v>2300803</v>
      </c>
      <c r="AA20" s="16" t="n">
        <v>7483750</v>
      </c>
      <c r="AB20" s="16" t="n">
        <v>2343750</v>
      </c>
      <c r="AC20" s="16" t="n">
        <v>16316247</v>
      </c>
      <c r="AD20" s="16" t="n">
        <v>1050000</v>
      </c>
      <c r="AE20" s="16" t="n">
        <v>81480000</v>
      </c>
      <c r="AF20" s="16" t="n">
        <v>1360000</v>
      </c>
      <c r="AG20" s="16" t="n">
        <v>93746588.676478</v>
      </c>
      <c r="AH20" s="16" t="n">
        <f aca="false">(+P20+C20+'Stock Prices'!H21*'Daily Position'!$H$4+'Stock Prices'!E21*'Daily Position'!$H$10+'Stock Prices'!F21*'Daily Position'!$H$11+'Stock Prices'!K21*'Daily Position'!$H$13)/0.6*0.3612</f>
        <v>7963994.17782024</v>
      </c>
    </row>
    <row r="21" customFormat="false" ht="15.75" hidden="false" customHeight="false" outlineLevel="0" collapsed="false">
      <c r="A21" s="27" t="n">
        <v>36762</v>
      </c>
      <c r="B21" s="16" t="n">
        <v>1250000</v>
      </c>
      <c r="C21" s="16" t="n">
        <v>4563600</v>
      </c>
      <c r="D21" s="16" t="n">
        <v>2136334</v>
      </c>
      <c r="E21" s="16" t="n">
        <v>429975</v>
      </c>
      <c r="F21" s="16" t="n">
        <v>12500000</v>
      </c>
      <c r="G21" s="16" t="n">
        <v>116115000</v>
      </c>
      <c r="H21" s="16" t="n">
        <v>1663000</v>
      </c>
      <c r="I21" s="16" t="n">
        <v>12878050</v>
      </c>
      <c r="J21" s="16" t="n">
        <v>1012500</v>
      </c>
      <c r="K21" s="16" t="n">
        <v>23507915</v>
      </c>
      <c r="L21" s="16" t="n">
        <v>10372212</v>
      </c>
      <c r="M21" s="16" t="n">
        <v>1302980</v>
      </c>
      <c r="N21" s="16" t="n">
        <v>3486752</v>
      </c>
      <c r="O21" s="16" t="n">
        <v>429210</v>
      </c>
      <c r="P21" s="16" t="n">
        <v>470790</v>
      </c>
      <c r="Q21" s="16" t="n">
        <v>27082500</v>
      </c>
      <c r="R21" s="16" t="n">
        <v>7121810</v>
      </c>
      <c r="S21" s="16" t="n">
        <v>5644007</v>
      </c>
      <c r="T21" s="16" t="n">
        <v>20916875</v>
      </c>
      <c r="U21" s="16" t="n">
        <v>2560525</v>
      </c>
      <c r="V21" s="16" t="n">
        <v>4774950</v>
      </c>
      <c r="W21" s="16" t="n">
        <v>1822363</v>
      </c>
      <c r="X21" s="16" t="n">
        <v>1374750</v>
      </c>
      <c r="Y21" s="16" t="n">
        <v>1803840</v>
      </c>
      <c r="Z21" s="16" t="n">
        <v>2300803</v>
      </c>
      <c r="AA21" s="16" t="n">
        <v>7483750</v>
      </c>
      <c r="AB21" s="16" t="n">
        <v>2343750</v>
      </c>
      <c r="AC21" s="16" t="n">
        <v>16316247</v>
      </c>
      <c r="AD21" s="16" t="n">
        <v>1050000</v>
      </c>
      <c r="AE21" s="16" t="n">
        <v>81480000</v>
      </c>
      <c r="AF21" s="16" t="n">
        <v>1360000</v>
      </c>
      <c r="AG21" s="16" t="n">
        <v>93746588.676478</v>
      </c>
      <c r="AH21" s="16" t="n">
        <f aca="false">(+P21+C21+'Stock Prices'!H22*'Daily Position'!$H$4+'Stock Prices'!E22*'Daily Position'!$H$10+'Stock Prices'!F22*'Daily Position'!$H$11+'Stock Prices'!K22*'Daily Position'!$H$13)/0.6*0.3612</f>
        <v>7939636.00848399</v>
      </c>
    </row>
    <row r="22" customFormat="false" ht="15.75" hidden="false" customHeight="false" outlineLevel="0" collapsed="false">
      <c r="A22" s="27" t="n">
        <v>36763</v>
      </c>
      <c r="B22" s="16" t="n">
        <v>1250000</v>
      </c>
      <c r="C22" s="16" t="n">
        <v>4563600</v>
      </c>
      <c r="D22" s="16" t="n">
        <v>2136334</v>
      </c>
      <c r="E22" s="16" t="n">
        <v>429975</v>
      </c>
      <c r="F22" s="16" t="n">
        <v>12500000</v>
      </c>
      <c r="G22" s="16" t="n">
        <v>116115000</v>
      </c>
      <c r="H22" s="16" t="n">
        <v>1663000</v>
      </c>
      <c r="I22" s="16" t="n">
        <v>12878050</v>
      </c>
      <c r="J22" s="16" t="n">
        <v>1012500</v>
      </c>
      <c r="K22" s="16" t="n">
        <v>23507915</v>
      </c>
      <c r="L22" s="16" t="n">
        <v>10372212</v>
      </c>
      <c r="M22" s="16" t="n">
        <v>1302980</v>
      </c>
      <c r="N22" s="16" t="n">
        <v>3486752</v>
      </c>
      <c r="O22" s="16" t="n">
        <v>429210</v>
      </c>
      <c r="P22" s="16" t="n">
        <v>470790</v>
      </c>
      <c r="Q22" s="16" t="n">
        <v>27082500</v>
      </c>
      <c r="R22" s="16" t="n">
        <v>7121810</v>
      </c>
      <c r="S22" s="16" t="n">
        <v>5644007</v>
      </c>
      <c r="T22" s="16" t="n">
        <v>20916875</v>
      </c>
      <c r="U22" s="16" t="n">
        <v>2560525</v>
      </c>
      <c r="V22" s="16" t="n">
        <v>4774950</v>
      </c>
      <c r="W22" s="16" t="n">
        <v>1822363</v>
      </c>
      <c r="X22" s="16" t="n">
        <v>1374750</v>
      </c>
      <c r="Y22" s="16" t="n">
        <v>1803840</v>
      </c>
      <c r="Z22" s="16" t="n">
        <v>2300803</v>
      </c>
      <c r="AA22" s="16" t="n">
        <v>7483750</v>
      </c>
      <c r="AB22" s="16" t="n">
        <v>2343750</v>
      </c>
      <c r="AC22" s="16" t="n">
        <v>16316247</v>
      </c>
      <c r="AD22" s="16" t="n">
        <v>1050000</v>
      </c>
      <c r="AE22" s="16" t="n">
        <v>81480000</v>
      </c>
      <c r="AF22" s="16" t="n">
        <v>1360000</v>
      </c>
      <c r="AG22" s="16" t="n">
        <v>93746588.676478</v>
      </c>
      <c r="AH22" s="16" t="n">
        <f aca="false">(+P22+C22+'Stock Prices'!H23*'Daily Position'!$H$4+'Stock Prices'!E23*'Daily Position'!$H$10+'Stock Prices'!F23*'Daily Position'!$H$11+'Stock Prices'!K23*'Daily Position'!$H$13)/0.6*0.3612</f>
        <v>7914166.49432864</v>
      </c>
    </row>
    <row r="23" customFormat="false" ht="15.75" hidden="false" customHeight="false" outlineLevel="0" collapsed="false">
      <c r="A23" s="27" t="n">
        <v>36766</v>
      </c>
      <c r="B23" s="16" t="n">
        <v>1250000</v>
      </c>
      <c r="C23" s="16" t="n">
        <v>4563600</v>
      </c>
      <c r="D23" s="16" t="n">
        <v>2136334</v>
      </c>
      <c r="E23" s="16" t="n">
        <v>429975</v>
      </c>
      <c r="F23" s="16" t="n">
        <v>12500000</v>
      </c>
      <c r="G23" s="16" t="n">
        <v>116115000</v>
      </c>
      <c r="H23" s="16" t="n">
        <v>1663000</v>
      </c>
      <c r="I23" s="16" t="n">
        <v>12878050</v>
      </c>
      <c r="J23" s="16" t="n">
        <v>1012500</v>
      </c>
      <c r="K23" s="16" t="n">
        <v>23507915</v>
      </c>
      <c r="L23" s="16" t="n">
        <v>10372212</v>
      </c>
      <c r="M23" s="16" t="n">
        <v>1302980</v>
      </c>
      <c r="N23" s="16" t="n">
        <v>3486752</v>
      </c>
      <c r="O23" s="16" t="n">
        <v>429210</v>
      </c>
      <c r="P23" s="16" t="n">
        <v>470790</v>
      </c>
      <c r="Q23" s="16" t="n">
        <v>27082500</v>
      </c>
      <c r="R23" s="16" t="n">
        <v>7121810</v>
      </c>
      <c r="S23" s="16" t="n">
        <v>5644007</v>
      </c>
      <c r="T23" s="16" t="n">
        <v>20916875</v>
      </c>
      <c r="U23" s="16" t="n">
        <v>2560525</v>
      </c>
      <c r="V23" s="16" t="n">
        <v>4774950</v>
      </c>
      <c r="W23" s="16" t="n">
        <v>1822363</v>
      </c>
      <c r="X23" s="16" t="n">
        <v>1374750</v>
      </c>
      <c r="Y23" s="16" t="n">
        <v>1803840</v>
      </c>
      <c r="Z23" s="16" t="n">
        <v>2300803</v>
      </c>
      <c r="AA23" s="16" t="n">
        <v>7483750</v>
      </c>
      <c r="AB23" s="16" t="n">
        <v>2343750</v>
      </c>
      <c r="AC23" s="16" t="n">
        <v>16316247</v>
      </c>
      <c r="AD23" s="16" t="n">
        <v>1050000</v>
      </c>
      <c r="AE23" s="16" t="n">
        <v>81480000</v>
      </c>
      <c r="AF23" s="16" t="n">
        <v>1360000</v>
      </c>
      <c r="AG23" s="16" t="n">
        <v>93746588.676478</v>
      </c>
      <c r="AH23" s="16" t="n">
        <f aca="false">(+P23+C23+'Stock Prices'!H24*'Daily Position'!$H$4+'Stock Prices'!E24*'Daily Position'!$H$10+'Stock Prices'!F24*'Daily Position'!$H$11+'Stock Prices'!K24*'Daily Position'!$H$13)/0.6*0.3612</f>
        <v>8012561.34210226</v>
      </c>
    </row>
    <row r="24" customFormat="false" ht="15.75" hidden="false" customHeight="false" outlineLevel="0" collapsed="false">
      <c r="A24" s="27" t="n">
        <v>36767</v>
      </c>
      <c r="B24" s="16" t="n">
        <v>1250000</v>
      </c>
      <c r="C24" s="16" t="n">
        <v>4563600</v>
      </c>
      <c r="D24" s="16" t="n">
        <v>2136334</v>
      </c>
      <c r="E24" s="16" t="n">
        <v>429975</v>
      </c>
      <c r="F24" s="16" t="n">
        <v>12500000</v>
      </c>
      <c r="G24" s="16" t="n">
        <v>116115000</v>
      </c>
      <c r="H24" s="16" t="n">
        <v>1663000</v>
      </c>
      <c r="I24" s="16" t="n">
        <v>12878050</v>
      </c>
      <c r="J24" s="16" t="n">
        <v>1012500</v>
      </c>
      <c r="K24" s="16" t="n">
        <v>23507915</v>
      </c>
      <c r="L24" s="16" t="n">
        <v>10372212</v>
      </c>
      <c r="M24" s="16" t="n">
        <v>1302980</v>
      </c>
      <c r="N24" s="16" t="n">
        <v>3486752</v>
      </c>
      <c r="O24" s="16" t="n">
        <v>429210</v>
      </c>
      <c r="P24" s="16" t="n">
        <v>470790</v>
      </c>
      <c r="Q24" s="16" t="n">
        <v>27082500</v>
      </c>
      <c r="R24" s="16" t="n">
        <v>7121810</v>
      </c>
      <c r="S24" s="16" t="n">
        <v>5644007</v>
      </c>
      <c r="T24" s="16" t="n">
        <v>20916875</v>
      </c>
      <c r="U24" s="16" t="n">
        <v>2560525</v>
      </c>
      <c r="V24" s="16" t="n">
        <v>4774950</v>
      </c>
      <c r="W24" s="16" t="n">
        <v>1822363</v>
      </c>
      <c r="X24" s="16" t="n">
        <v>1374750</v>
      </c>
      <c r="Y24" s="16" t="n">
        <v>1803840</v>
      </c>
      <c r="Z24" s="16" t="n">
        <v>2300803</v>
      </c>
      <c r="AA24" s="16" t="n">
        <v>7483750</v>
      </c>
      <c r="AB24" s="16" t="n">
        <v>2343750</v>
      </c>
      <c r="AC24" s="16" t="n">
        <v>16316247</v>
      </c>
      <c r="AD24" s="16" t="n">
        <v>1050000</v>
      </c>
      <c r="AE24" s="16" t="n">
        <v>81480000</v>
      </c>
      <c r="AF24" s="16" t="n">
        <v>1360000</v>
      </c>
      <c r="AG24" s="16" t="n">
        <v>93746588.676478</v>
      </c>
      <c r="AH24" s="16" t="n">
        <f aca="false">(+P24+C24+'Stock Prices'!H25*'Daily Position'!$H$4+'Stock Prices'!E25*'Daily Position'!$H$10+'Stock Prices'!F25*'Daily Position'!$H$11+'Stock Prices'!K25*'Daily Position'!$H$13)/0.6*0.3612</f>
        <v>8039327.09792895</v>
      </c>
    </row>
    <row r="25" customFormat="false" ht="15.75" hidden="false" customHeight="false" outlineLevel="0" collapsed="false">
      <c r="A25" s="27" t="n">
        <v>36768</v>
      </c>
      <c r="B25" s="16" t="n">
        <v>1250000</v>
      </c>
      <c r="C25" s="16" t="n">
        <v>4563600</v>
      </c>
      <c r="D25" s="16" t="n">
        <v>2136334</v>
      </c>
      <c r="E25" s="16" t="n">
        <v>429975</v>
      </c>
      <c r="F25" s="16" t="n">
        <v>12500000</v>
      </c>
      <c r="G25" s="16" t="n">
        <v>116115000</v>
      </c>
      <c r="H25" s="16" t="n">
        <v>1663000</v>
      </c>
      <c r="I25" s="16" t="n">
        <v>12878050</v>
      </c>
      <c r="J25" s="16" t="n">
        <v>1012500</v>
      </c>
      <c r="K25" s="16" t="n">
        <v>23507915</v>
      </c>
      <c r="L25" s="16" t="n">
        <v>10372212</v>
      </c>
      <c r="M25" s="16" t="n">
        <v>1302980</v>
      </c>
      <c r="N25" s="16" t="n">
        <v>3486752</v>
      </c>
      <c r="O25" s="16" t="n">
        <v>429210</v>
      </c>
      <c r="P25" s="16" t="n">
        <v>470790</v>
      </c>
      <c r="Q25" s="16" t="n">
        <v>27082500</v>
      </c>
      <c r="R25" s="16" t="n">
        <v>7121810</v>
      </c>
      <c r="S25" s="16" t="n">
        <v>5644007</v>
      </c>
      <c r="T25" s="16" t="n">
        <v>20916875</v>
      </c>
      <c r="U25" s="16" t="n">
        <v>2560525</v>
      </c>
      <c r="V25" s="16" t="n">
        <v>4774950</v>
      </c>
      <c r="W25" s="16" t="n">
        <v>1822363</v>
      </c>
      <c r="X25" s="16" t="n">
        <v>1374750</v>
      </c>
      <c r="Y25" s="16" t="n">
        <v>1803840</v>
      </c>
      <c r="Z25" s="16" t="n">
        <v>2300803</v>
      </c>
      <c r="AA25" s="16" t="n">
        <v>7483750</v>
      </c>
      <c r="AB25" s="16" t="n">
        <v>2343750</v>
      </c>
      <c r="AC25" s="16" t="n">
        <v>16316247</v>
      </c>
      <c r="AD25" s="16" t="n">
        <v>1050000</v>
      </c>
      <c r="AE25" s="16" t="n">
        <v>81480000</v>
      </c>
      <c r="AF25" s="16" t="n">
        <v>1360000</v>
      </c>
      <c r="AG25" s="16" t="n">
        <v>93746588.676478</v>
      </c>
      <c r="AH25" s="16" t="n">
        <f aca="false">(+P25+C25+'Stock Prices'!H26*'Daily Position'!$H$4+'Stock Prices'!E26*'Daily Position'!$H$10+'Stock Prices'!F26*'Daily Position'!$H$11+'Stock Prices'!K26*'Daily Position'!$H$13)/0.6*0.3612</f>
        <v>7955869.86727676</v>
      </c>
    </row>
    <row r="26" customFormat="false" ht="15.75" hidden="false" customHeight="false" outlineLevel="0" collapsed="false">
      <c r="A26" s="27" t="n">
        <v>36769</v>
      </c>
      <c r="B26" s="16" t="n">
        <v>1250000</v>
      </c>
      <c r="C26" s="16" t="n">
        <v>4563600</v>
      </c>
      <c r="D26" s="16" t="n">
        <v>2136334</v>
      </c>
      <c r="E26" s="16" t="n">
        <v>429975</v>
      </c>
      <c r="F26" s="16" t="n">
        <v>12500000</v>
      </c>
      <c r="G26" s="16" t="n">
        <v>116115000</v>
      </c>
      <c r="H26" s="16" t="n">
        <v>1663000</v>
      </c>
      <c r="I26" s="16" t="n">
        <v>12878050</v>
      </c>
      <c r="J26" s="16" t="n">
        <v>1012500</v>
      </c>
      <c r="K26" s="16" t="n">
        <v>23507915</v>
      </c>
      <c r="L26" s="16" t="n">
        <v>10372212</v>
      </c>
      <c r="M26" s="16" t="n">
        <v>1302980</v>
      </c>
      <c r="N26" s="16" t="n">
        <v>3486752</v>
      </c>
      <c r="O26" s="16" t="n">
        <v>429210</v>
      </c>
      <c r="P26" s="16" t="n">
        <v>470790</v>
      </c>
      <c r="Q26" s="16" t="n">
        <v>27082500</v>
      </c>
      <c r="R26" s="16" t="n">
        <v>7121810</v>
      </c>
      <c r="S26" s="16" t="n">
        <v>5644007</v>
      </c>
      <c r="T26" s="16" t="n">
        <v>20916875</v>
      </c>
      <c r="U26" s="16" t="n">
        <v>2560525</v>
      </c>
      <c r="V26" s="16" t="n">
        <v>4774950</v>
      </c>
      <c r="W26" s="16" t="n">
        <v>1822363</v>
      </c>
      <c r="X26" s="16" t="n">
        <v>1374750</v>
      </c>
      <c r="Y26" s="16" t="n">
        <v>1803840</v>
      </c>
      <c r="Z26" s="16" t="n">
        <v>2300803</v>
      </c>
      <c r="AA26" s="16" t="n">
        <v>7483750</v>
      </c>
      <c r="AB26" s="16" t="n">
        <v>2343750</v>
      </c>
      <c r="AC26" s="16" t="n">
        <v>16316247</v>
      </c>
      <c r="AD26" s="16" t="n">
        <v>1050000</v>
      </c>
      <c r="AE26" s="16" t="n">
        <v>81480000</v>
      </c>
      <c r="AF26" s="16" t="n">
        <v>1360000</v>
      </c>
      <c r="AG26" s="16" t="n">
        <v>93746588.676478</v>
      </c>
      <c r="AH26" s="16" t="n">
        <f aca="false">(+P26+C26+'Stock Prices'!H27*'Daily Position'!$H$4+'Stock Prices'!E27*'Daily Position'!$H$10+'Stock Prices'!F27*'Daily Position'!$H$11+'Stock Prices'!K27*'Daily Position'!$H$13)/0.6*0.3612</f>
        <v>7918418.85418804</v>
      </c>
    </row>
    <row r="27" customFormat="false" ht="15.75" hidden="false" customHeight="false" outlineLevel="0" collapsed="false">
      <c r="A27" s="27" t="n">
        <v>36770</v>
      </c>
      <c r="B27" s="16" t="n">
        <v>1250000</v>
      </c>
      <c r="C27" s="16" t="n">
        <v>4563600</v>
      </c>
      <c r="D27" s="16" t="n">
        <v>2136334</v>
      </c>
      <c r="E27" s="16" t="n">
        <v>429975</v>
      </c>
      <c r="F27" s="16" t="n">
        <v>12500000</v>
      </c>
      <c r="G27" s="16" t="n">
        <v>116115000</v>
      </c>
      <c r="H27" s="16" t="n">
        <v>1663000</v>
      </c>
      <c r="I27" s="16" t="n">
        <v>12878050</v>
      </c>
      <c r="J27" s="16" t="n">
        <v>1012500</v>
      </c>
      <c r="K27" s="16" t="n">
        <v>23507915</v>
      </c>
      <c r="L27" s="16" t="n">
        <v>10372212</v>
      </c>
      <c r="M27" s="16" t="n">
        <v>1302980</v>
      </c>
      <c r="N27" s="16" t="n">
        <v>3486752</v>
      </c>
      <c r="O27" s="16" t="n">
        <v>429210</v>
      </c>
      <c r="P27" s="16" t="n">
        <v>470790</v>
      </c>
      <c r="Q27" s="16" t="n">
        <v>27082500</v>
      </c>
      <c r="R27" s="16" t="n">
        <v>7121810</v>
      </c>
      <c r="S27" s="16" t="n">
        <v>5644007</v>
      </c>
      <c r="T27" s="16" t="n">
        <v>20916875</v>
      </c>
      <c r="U27" s="16" t="n">
        <v>2560525</v>
      </c>
      <c r="V27" s="16" t="n">
        <v>4774950</v>
      </c>
      <c r="W27" s="16" t="n">
        <v>1822363</v>
      </c>
      <c r="X27" s="16" t="n">
        <v>1374750</v>
      </c>
      <c r="Y27" s="16" t="n">
        <v>1803840</v>
      </c>
      <c r="Z27" s="16" t="n">
        <v>2300803</v>
      </c>
      <c r="AA27" s="16" t="n">
        <v>7483750</v>
      </c>
      <c r="AB27" s="16" t="n">
        <v>2343750</v>
      </c>
      <c r="AC27" s="16" t="n">
        <v>16316247</v>
      </c>
      <c r="AD27" s="16" t="n">
        <v>1050000</v>
      </c>
      <c r="AE27" s="16" t="n">
        <v>81480000</v>
      </c>
      <c r="AF27" s="16" t="n">
        <v>1360000</v>
      </c>
      <c r="AG27" s="16" t="n">
        <v>93746588.676478</v>
      </c>
      <c r="AH27" s="16" t="n">
        <f aca="false">(+P27+C27+'Stock Prices'!H28*'Daily Position'!$H$4+'Stock Prices'!E28*'Daily Position'!$H$10+'Stock Prices'!F28*'Daily Position'!$H$11+'Stock Prices'!K28*'Daily Position'!$H$13)/0.6*0.3612</f>
        <v>8068205.5580422</v>
      </c>
    </row>
    <row r="28" customFormat="false" ht="15.75" hidden="false" customHeight="false" outlineLevel="0" collapsed="false">
      <c r="A28" s="27" t="n">
        <v>36774</v>
      </c>
      <c r="B28" s="16" t="n">
        <v>1250000</v>
      </c>
      <c r="C28" s="16" t="n">
        <v>4563600</v>
      </c>
      <c r="D28" s="16" t="n">
        <v>2136334</v>
      </c>
      <c r="E28" s="16" t="n">
        <v>429975</v>
      </c>
      <c r="F28" s="16" t="n">
        <v>12500000</v>
      </c>
      <c r="G28" s="16" t="n">
        <v>116115000</v>
      </c>
      <c r="H28" s="16" t="n">
        <v>1663000</v>
      </c>
      <c r="I28" s="16" t="n">
        <v>12878050</v>
      </c>
      <c r="J28" s="16" t="n">
        <v>1012500</v>
      </c>
      <c r="K28" s="16" t="n">
        <v>23507915</v>
      </c>
      <c r="L28" s="16" t="n">
        <v>10372212</v>
      </c>
      <c r="M28" s="16" t="n">
        <v>1302980</v>
      </c>
      <c r="N28" s="16" t="n">
        <v>3486752</v>
      </c>
      <c r="O28" s="16" t="n">
        <v>429210</v>
      </c>
      <c r="P28" s="16" t="n">
        <v>470790</v>
      </c>
      <c r="Q28" s="16" t="n">
        <v>27082500</v>
      </c>
      <c r="R28" s="16" t="n">
        <v>7121810</v>
      </c>
      <c r="S28" s="16" t="n">
        <v>5644007</v>
      </c>
      <c r="T28" s="16" t="n">
        <v>20916875</v>
      </c>
      <c r="U28" s="16" t="n">
        <v>2560525</v>
      </c>
      <c r="V28" s="16" t="n">
        <v>4774950</v>
      </c>
      <c r="W28" s="16" t="n">
        <v>1822363</v>
      </c>
      <c r="X28" s="16" t="n">
        <v>1374750</v>
      </c>
      <c r="Y28" s="16" t="n">
        <v>1803840</v>
      </c>
      <c r="Z28" s="16" t="n">
        <v>2300803</v>
      </c>
      <c r="AA28" s="16" t="n">
        <v>7483750</v>
      </c>
      <c r="AB28" s="16" t="n">
        <v>2343750</v>
      </c>
      <c r="AC28" s="16" t="n">
        <v>16316247</v>
      </c>
      <c r="AD28" s="16" t="n">
        <v>1050000</v>
      </c>
      <c r="AE28" s="16" t="n">
        <v>81480000</v>
      </c>
      <c r="AF28" s="16" t="n">
        <v>1360000</v>
      </c>
      <c r="AG28" s="16" t="n">
        <v>93746588.676478</v>
      </c>
      <c r="AH28" s="16" t="n">
        <f aca="false">(+P28+C28+'Stock Prices'!H29*'Daily Position'!$H$4+'Stock Prices'!E29*'Daily Position'!$H$10+'Stock Prices'!F29*'Daily Position'!$H$11+'Stock Prices'!K29*'Daily Position'!$H$13)/0.6*0.3612</f>
        <v>8041950.61239331</v>
      </c>
    </row>
    <row r="29" customFormat="false" ht="15.75" hidden="false" customHeight="false" outlineLevel="0" collapsed="false">
      <c r="A29" s="27" t="n">
        <v>36775</v>
      </c>
      <c r="B29" s="16" t="n">
        <v>1250000</v>
      </c>
      <c r="C29" s="16" t="n">
        <v>4563600</v>
      </c>
      <c r="D29" s="16" t="n">
        <v>2136334</v>
      </c>
      <c r="E29" s="16" t="n">
        <v>429975</v>
      </c>
      <c r="F29" s="16" t="n">
        <v>12500000</v>
      </c>
      <c r="G29" s="16" t="n">
        <v>116115000</v>
      </c>
      <c r="H29" s="16" t="n">
        <v>1663000</v>
      </c>
      <c r="I29" s="16" t="n">
        <v>12878050</v>
      </c>
      <c r="J29" s="16" t="n">
        <v>1012500</v>
      </c>
      <c r="K29" s="16" t="n">
        <v>23507915</v>
      </c>
      <c r="L29" s="16" t="n">
        <v>10372212</v>
      </c>
      <c r="M29" s="16" t="n">
        <v>1302980</v>
      </c>
      <c r="N29" s="16" t="n">
        <v>3486752</v>
      </c>
      <c r="O29" s="16" t="n">
        <v>429210</v>
      </c>
      <c r="P29" s="16" t="n">
        <v>470790</v>
      </c>
      <c r="Q29" s="16" t="n">
        <v>27082500</v>
      </c>
      <c r="R29" s="16" t="n">
        <v>7121810</v>
      </c>
      <c r="S29" s="16" t="n">
        <v>5644007</v>
      </c>
      <c r="T29" s="16" t="n">
        <v>20916875</v>
      </c>
      <c r="U29" s="16" t="n">
        <v>2560525</v>
      </c>
      <c r="V29" s="16" t="n">
        <v>4774950</v>
      </c>
      <c r="W29" s="16" t="n">
        <v>1822363</v>
      </c>
      <c r="X29" s="16" t="n">
        <v>1374750</v>
      </c>
      <c r="Y29" s="16" t="n">
        <v>1803840</v>
      </c>
      <c r="Z29" s="16" t="n">
        <v>2300803</v>
      </c>
      <c r="AA29" s="16" t="n">
        <v>7483750</v>
      </c>
      <c r="AB29" s="16" t="n">
        <v>2343750</v>
      </c>
      <c r="AC29" s="16" t="n">
        <v>16316247</v>
      </c>
      <c r="AD29" s="16" t="n">
        <v>1050000</v>
      </c>
      <c r="AE29" s="16" t="n">
        <v>81480000</v>
      </c>
      <c r="AF29" s="16" t="n">
        <v>1360000</v>
      </c>
      <c r="AG29" s="16" t="n">
        <v>93746588.676478</v>
      </c>
      <c r="AH29" s="16" t="n">
        <f aca="false">(+P29+C29+'Stock Prices'!H30*'Daily Position'!$H$4+'Stock Prices'!E30*'Daily Position'!$H$10+'Stock Prices'!F30*'Daily Position'!$H$11+'Stock Prices'!K30*'Daily Position'!$H$13)/0.6*0.3612</f>
        <v>7999857.4943883</v>
      </c>
    </row>
    <row r="30" customFormat="false" ht="15.75" hidden="false" customHeight="false" outlineLevel="0" collapsed="false">
      <c r="A30" s="27" t="n">
        <v>36776</v>
      </c>
      <c r="B30" s="16" t="n">
        <v>1250000</v>
      </c>
      <c r="C30" s="16" t="n">
        <v>4563600</v>
      </c>
      <c r="D30" s="16" t="n">
        <v>2136334</v>
      </c>
      <c r="E30" s="16" t="n">
        <v>429975</v>
      </c>
      <c r="F30" s="16" t="n">
        <v>12500000</v>
      </c>
      <c r="G30" s="16" t="n">
        <v>116115000</v>
      </c>
      <c r="H30" s="16" t="n">
        <v>1663000</v>
      </c>
      <c r="I30" s="16" t="n">
        <v>12878050</v>
      </c>
      <c r="J30" s="16" t="n">
        <v>1012500</v>
      </c>
      <c r="K30" s="16" t="n">
        <v>23507915</v>
      </c>
      <c r="L30" s="16" t="n">
        <v>10372212</v>
      </c>
      <c r="M30" s="16" t="n">
        <v>1302980</v>
      </c>
      <c r="N30" s="16" t="n">
        <v>3486752</v>
      </c>
      <c r="O30" s="16" t="n">
        <v>429210</v>
      </c>
      <c r="P30" s="16" t="n">
        <v>470790</v>
      </c>
      <c r="Q30" s="16" t="n">
        <v>27082500</v>
      </c>
      <c r="R30" s="16" t="n">
        <v>7121810</v>
      </c>
      <c r="S30" s="16" t="n">
        <v>5644007</v>
      </c>
      <c r="T30" s="16" t="n">
        <v>20916875</v>
      </c>
      <c r="U30" s="16" t="n">
        <v>2560525</v>
      </c>
      <c r="V30" s="16" t="n">
        <v>4774950</v>
      </c>
      <c r="W30" s="16" t="n">
        <v>1822363</v>
      </c>
      <c r="X30" s="16" t="n">
        <v>1374750</v>
      </c>
      <c r="Y30" s="16" t="n">
        <v>1803840</v>
      </c>
      <c r="Z30" s="16" t="n">
        <v>2300803</v>
      </c>
      <c r="AA30" s="16" t="n">
        <v>7483750</v>
      </c>
      <c r="AB30" s="16" t="n">
        <v>2343750</v>
      </c>
      <c r="AC30" s="16" t="n">
        <v>16316247</v>
      </c>
      <c r="AD30" s="16" t="n">
        <v>1050000</v>
      </c>
      <c r="AE30" s="16" t="n">
        <v>81480000</v>
      </c>
      <c r="AF30" s="16" t="n">
        <v>1360000</v>
      </c>
      <c r="AG30" s="16" t="n">
        <v>93746588.676478</v>
      </c>
      <c r="AH30" s="16" t="n">
        <f aca="false">(+P30+C30+'Stock Prices'!H31*'Daily Position'!$H$4+'Stock Prices'!E31*'Daily Position'!$H$10+'Stock Prices'!F31*'Daily Position'!$H$11+'Stock Prices'!K31*'Daily Position'!$H$13)/0.6*0.3612</f>
        <v>7889106.9468476</v>
      </c>
    </row>
    <row r="31" customFormat="false" ht="15.75" hidden="false" customHeight="false" outlineLevel="0" collapsed="false">
      <c r="A31" s="27" t="n">
        <v>36777</v>
      </c>
      <c r="B31" s="16" t="n">
        <v>1250000</v>
      </c>
      <c r="C31" s="16" t="n">
        <v>4563600</v>
      </c>
      <c r="D31" s="16" t="n">
        <v>2136334</v>
      </c>
      <c r="E31" s="16" t="n">
        <v>429975</v>
      </c>
      <c r="F31" s="16" t="n">
        <v>12500000</v>
      </c>
      <c r="G31" s="16" t="n">
        <v>116115000</v>
      </c>
      <c r="H31" s="16" t="n">
        <v>1663000</v>
      </c>
      <c r="I31" s="16" t="n">
        <v>12878050</v>
      </c>
      <c r="J31" s="16" t="n">
        <v>1012500</v>
      </c>
      <c r="K31" s="16" t="n">
        <v>23507915</v>
      </c>
      <c r="L31" s="16" t="n">
        <v>10372212</v>
      </c>
      <c r="M31" s="16" t="n">
        <v>1302980</v>
      </c>
      <c r="N31" s="16" t="n">
        <v>3486752</v>
      </c>
      <c r="O31" s="16" t="n">
        <v>429210</v>
      </c>
      <c r="P31" s="16" t="n">
        <v>470790</v>
      </c>
      <c r="Q31" s="16" t="n">
        <v>27082500</v>
      </c>
      <c r="R31" s="16" t="n">
        <v>7121810</v>
      </c>
      <c r="S31" s="16" t="n">
        <v>5644007</v>
      </c>
      <c r="T31" s="16" t="n">
        <v>20916875</v>
      </c>
      <c r="U31" s="16" t="n">
        <v>2560525</v>
      </c>
      <c r="V31" s="16" t="n">
        <v>4774950</v>
      </c>
      <c r="W31" s="16" t="n">
        <v>1822363</v>
      </c>
      <c r="X31" s="16" t="n">
        <v>1374750</v>
      </c>
      <c r="Y31" s="16" t="n">
        <v>1803840</v>
      </c>
      <c r="Z31" s="16" t="n">
        <v>2300803</v>
      </c>
      <c r="AA31" s="16" t="n">
        <v>7483750</v>
      </c>
      <c r="AB31" s="16" t="n">
        <v>2343750</v>
      </c>
      <c r="AC31" s="16" t="n">
        <v>16316247</v>
      </c>
      <c r="AD31" s="16" t="n">
        <v>1050000</v>
      </c>
      <c r="AE31" s="16" t="n">
        <v>81480000</v>
      </c>
      <c r="AF31" s="16" t="n">
        <v>1360000</v>
      </c>
      <c r="AG31" s="16" t="n">
        <v>93746588.676478</v>
      </c>
      <c r="AH31" s="16" t="n">
        <f aca="false">(+P31+C31+'Stock Prices'!H32*'Daily Position'!$H$4+'Stock Prices'!E32*'Daily Position'!$H$10+'Stock Prices'!F32*'Daily Position'!$H$11+'Stock Prices'!K32*'Daily Position'!$H$13)/0.6*0.3612</f>
        <v>7848589.0523969</v>
      </c>
    </row>
    <row r="32" customFormat="false" ht="15.75" hidden="false" customHeight="false" outlineLevel="0" collapsed="false">
      <c r="A32" s="27" t="n">
        <v>36780</v>
      </c>
      <c r="B32" s="16" t="n">
        <v>1250000</v>
      </c>
      <c r="C32" s="16" t="n">
        <v>4563600</v>
      </c>
      <c r="D32" s="16" t="n">
        <v>2136334</v>
      </c>
      <c r="E32" s="16" t="n">
        <v>429975</v>
      </c>
      <c r="F32" s="16" t="n">
        <v>12500000</v>
      </c>
      <c r="G32" s="16" t="n">
        <v>116115000</v>
      </c>
      <c r="H32" s="16" t="n">
        <v>1663000</v>
      </c>
      <c r="I32" s="16" t="n">
        <v>12878050</v>
      </c>
      <c r="J32" s="16" t="n">
        <v>1012500</v>
      </c>
      <c r="K32" s="16" t="n">
        <v>23507915</v>
      </c>
      <c r="L32" s="16" t="n">
        <v>10372212</v>
      </c>
      <c r="M32" s="16" t="n">
        <v>1302980</v>
      </c>
      <c r="N32" s="16" t="n">
        <v>3486752</v>
      </c>
      <c r="O32" s="16" t="n">
        <v>429210</v>
      </c>
      <c r="P32" s="16" t="n">
        <v>470790</v>
      </c>
      <c r="Q32" s="16" t="n">
        <v>27082500</v>
      </c>
      <c r="R32" s="16" t="n">
        <v>7121810</v>
      </c>
      <c r="S32" s="16" t="n">
        <v>5644007</v>
      </c>
      <c r="T32" s="16" t="n">
        <v>20916875</v>
      </c>
      <c r="U32" s="16" t="n">
        <v>2560525</v>
      </c>
      <c r="V32" s="16" t="n">
        <v>4774950</v>
      </c>
      <c r="W32" s="16" t="n">
        <v>1822363</v>
      </c>
      <c r="X32" s="16" t="n">
        <v>1374750</v>
      </c>
      <c r="Y32" s="16" t="n">
        <v>1803840</v>
      </c>
      <c r="Z32" s="16" t="n">
        <v>2300803</v>
      </c>
      <c r="AA32" s="16" t="n">
        <v>7483750</v>
      </c>
      <c r="AB32" s="16" t="n">
        <v>2343750</v>
      </c>
      <c r="AC32" s="16" t="n">
        <v>16316247</v>
      </c>
      <c r="AD32" s="16" t="n">
        <v>1050000</v>
      </c>
      <c r="AE32" s="16" t="n">
        <v>81480000</v>
      </c>
      <c r="AF32" s="16" t="n">
        <v>1360000</v>
      </c>
      <c r="AG32" s="16" t="n">
        <v>93746588.676478</v>
      </c>
      <c r="AH32" s="16" t="n">
        <f aca="false">(+P32+C32+'Stock Prices'!H33*'Daily Position'!$H$4+'Stock Prices'!E33*'Daily Position'!$H$10+'Stock Prices'!F33*'Daily Position'!$H$11+'Stock Prices'!K33*'Daily Position'!$H$13)/0.6*0.3612</f>
        <v>7928863.57757293</v>
      </c>
    </row>
    <row r="33" customFormat="false" ht="15.75" hidden="false" customHeight="false" outlineLevel="0" collapsed="false">
      <c r="A33" s="27" t="n">
        <v>36781</v>
      </c>
      <c r="B33" s="16" t="n">
        <v>1250000</v>
      </c>
      <c r="C33" s="16" t="n">
        <v>4563600</v>
      </c>
      <c r="D33" s="16" t="n">
        <v>2136334</v>
      </c>
      <c r="E33" s="16" t="n">
        <v>429975</v>
      </c>
      <c r="F33" s="16" t="n">
        <v>12500000</v>
      </c>
      <c r="G33" s="16" t="n">
        <v>116115000</v>
      </c>
      <c r="H33" s="16" t="n">
        <v>1663000</v>
      </c>
      <c r="I33" s="16" t="n">
        <v>12878050</v>
      </c>
      <c r="J33" s="16" t="n">
        <v>1012500</v>
      </c>
      <c r="K33" s="16" t="n">
        <v>23507915</v>
      </c>
      <c r="L33" s="16" t="n">
        <v>10372212</v>
      </c>
      <c r="M33" s="16" t="n">
        <v>1302980</v>
      </c>
      <c r="N33" s="16" t="n">
        <v>3486752</v>
      </c>
      <c r="O33" s="16" t="n">
        <v>429210</v>
      </c>
      <c r="P33" s="16" t="n">
        <v>470790</v>
      </c>
      <c r="Q33" s="16" t="n">
        <v>27082500</v>
      </c>
      <c r="R33" s="16" t="n">
        <v>7121810</v>
      </c>
      <c r="S33" s="16" t="n">
        <v>5644007</v>
      </c>
      <c r="T33" s="16" t="n">
        <v>20916875</v>
      </c>
      <c r="U33" s="16" t="n">
        <v>2560525</v>
      </c>
      <c r="V33" s="16" t="n">
        <v>4774950</v>
      </c>
      <c r="W33" s="16" t="n">
        <v>1822363</v>
      </c>
      <c r="X33" s="16" t="n">
        <v>1374750</v>
      </c>
      <c r="Y33" s="16" t="n">
        <v>1803840</v>
      </c>
      <c r="Z33" s="16" t="n">
        <v>2300803</v>
      </c>
      <c r="AA33" s="16" t="n">
        <v>7483750</v>
      </c>
      <c r="AB33" s="16" t="n">
        <v>2343750</v>
      </c>
      <c r="AC33" s="16" t="n">
        <v>16316247</v>
      </c>
      <c r="AD33" s="16" t="n">
        <v>1050000</v>
      </c>
      <c r="AE33" s="16" t="n">
        <v>81480000</v>
      </c>
      <c r="AF33" s="16" t="n">
        <v>1360000</v>
      </c>
      <c r="AG33" s="16" t="n">
        <v>93746588.676478</v>
      </c>
      <c r="AH33" s="16" t="n">
        <f aca="false">(+P33+C33+'Stock Prices'!H34*'Daily Position'!$H$4+'Stock Prices'!E34*'Daily Position'!$H$10+'Stock Prices'!F34*'Daily Position'!$H$11+'Stock Prices'!K34*'Daily Position'!$H$13)/0.6*0.3612</f>
        <v>7935286.04613568</v>
      </c>
    </row>
    <row r="34" customFormat="false" ht="15.75" hidden="false" customHeight="false" outlineLevel="0" collapsed="false">
      <c r="A34" s="27" t="n">
        <v>36782</v>
      </c>
      <c r="B34" s="16" t="n">
        <v>1250000</v>
      </c>
      <c r="C34" s="16" t="n">
        <v>4563600</v>
      </c>
      <c r="D34" s="16" t="n">
        <v>2136334</v>
      </c>
      <c r="E34" s="16" t="n">
        <v>429975</v>
      </c>
      <c r="F34" s="16" t="n">
        <v>12500000</v>
      </c>
      <c r="G34" s="16" t="n">
        <v>116115000</v>
      </c>
      <c r="H34" s="16" t="n">
        <v>1663000</v>
      </c>
      <c r="I34" s="16" t="n">
        <v>12878050</v>
      </c>
      <c r="J34" s="16" t="n">
        <v>1012500</v>
      </c>
      <c r="K34" s="16" t="n">
        <v>23507915</v>
      </c>
      <c r="L34" s="16" t="n">
        <v>10372212</v>
      </c>
      <c r="M34" s="16" t="n">
        <v>1302980</v>
      </c>
      <c r="N34" s="16" t="n">
        <v>3486752</v>
      </c>
      <c r="O34" s="16" t="n">
        <v>429210</v>
      </c>
      <c r="P34" s="16" t="n">
        <v>470790</v>
      </c>
      <c r="Q34" s="16" t="n">
        <v>27082500</v>
      </c>
      <c r="R34" s="16" t="n">
        <v>7121810</v>
      </c>
      <c r="S34" s="16" t="n">
        <v>5644007</v>
      </c>
      <c r="T34" s="16" t="n">
        <v>20916875</v>
      </c>
      <c r="U34" s="16" t="n">
        <v>2560525</v>
      </c>
      <c r="V34" s="16" t="n">
        <v>4774950</v>
      </c>
      <c r="W34" s="16" t="n">
        <v>1822363</v>
      </c>
      <c r="X34" s="16" t="n">
        <v>1374750</v>
      </c>
      <c r="Y34" s="16" t="n">
        <v>1803840</v>
      </c>
      <c r="Z34" s="16" t="n">
        <v>2300803</v>
      </c>
      <c r="AA34" s="16" t="n">
        <v>7483750</v>
      </c>
      <c r="AB34" s="16" t="n">
        <v>2343750</v>
      </c>
      <c r="AC34" s="16" t="n">
        <v>16316247</v>
      </c>
      <c r="AD34" s="16" t="n">
        <v>1050000</v>
      </c>
      <c r="AE34" s="16" t="n">
        <v>81480000</v>
      </c>
      <c r="AF34" s="16" t="n">
        <v>1360000</v>
      </c>
      <c r="AG34" s="16" t="n">
        <v>93746588.676478</v>
      </c>
      <c r="AH34" s="16" t="n">
        <f aca="false">(+P34+C34+'Stock Prices'!H35*'Daily Position'!$H$4+'Stock Prices'!E35*'Daily Position'!$H$10+'Stock Prices'!F35*'Daily Position'!$H$11+'Stock Prices'!K35*'Daily Position'!$H$13)/0.6*0.3612</f>
        <v>7831755.43417687</v>
      </c>
    </row>
    <row r="35" customFormat="false" ht="15.75" hidden="false" customHeight="false" outlineLevel="0" collapsed="false">
      <c r="A35" s="27" t="n">
        <v>36783</v>
      </c>
      <c r="B35" s="16" t="n">
        <v>1250000</v>
      </c>
      <c r="C35" s="16" t="n">
        <v>4563600</v>
      </c>
      <c r="D35" s="16" t="n">
        <v>2136334</v>
      </c>
      <c r="E35" s="16" t="n">
        <v>429975</v>
      </c>
      <c r="F35" s="16" t="n">
        <v>12500000</v>
      </c>
      <c r="G35" s="16" t="n">
        <v>116115000</v>
      </c>
      <c r="H35" s="16" t="n">
        <v>1663000</v>
      </c>
      <c r="I35" s="16" t="n">
        <v>12878050</v>
      </c>
      <c r="J35" s="16" t="n">
        <v>1012500</v>
      </c>
      <c r="K35" s="16" t="n">
        <v>23507915</v>
      </c>
      <c r="L35" s="16" t="n">
        <v>10372212</v>
      </c>
      <c r="M35" s="16" t="n">
        <v>1302980</v>
      </c>
      <c r="N35" s="16" t="n">
        <v>3486752</v>
      </c>
      <c r="O35" s="16" t="n">
        <v>429210</v>
      </c>
      <c r="P35" s="16" t="n">
        <v>470790</v>
      </c>
      <c r="Q35" s="16" t="n">
        <v>27082500</v>
      </c>
      <c r="R35" s="16" t="n">
        <v>7121810</v>
      </c>
      <c r="S35" s="16" t="n">
        <v>5644007</v>
      </c>
      <c r="T35" s="16" t="n">
        <v>20916875</v>
      </c>
      <c r="U35" s="16" t="n">
        <v>2560525</v>
      </c>
      <c r="V35" s="16" t="n">
        <v>4774950</v>
      </c>
      <c r="W35" s="16" t="n">
        <v>2340380.61205323</v>
      </c>
      <c r="X35" s="16" t="n">
        <v>1374750</v>
      </c>
      <c r="Y35" s="16" t="n">
        <v>2177389.5</v>
      </c>
      <c r="Z35" s="16" t="n">
        <v>1927253.5</v>
      </c>
      <c r="AA35" s="16" t="n">
        <v>7483750</v>
      </c>
      <c r="AB35" s="16" t="n">
        <v>2343750</v>
      </c>
      <c r="AC35" s="16" t="n">
        <v>16316247</v>
      </c>
      <c r="AD35" s="16" t="n">
        <v>1050000</v>
      </c>
      <c r="AE35" s="16" t="n">
        <v>81480000</v>
      </c>
      <c r="AF35" s="16" t="n">
        <v>1360000</v>
      </c>
      <c r="AG35" s="16" t="n">
        <v>93746588.676478</v>
      </c>
      <c r="AH35" s="16" t="n">
        <v>8181870.96162739</v>
      </c>
    </row>
    <row r="36" customFormat="false" ht="15.75" hidden="false" customHeight="false" outlineLevel="0" collapsed="false">
      <c r="A36" s="27" t="n">
        <v>36784</v>
      </c>
      <c r="B36" s="16" t="n">
        <v>1250000</v>
      </c>
      <c r="C36" s="16" t="n">
        <v>4563600</v>
      </c>
      <c r="D36" s="16" t="n">
        <v>2136334</v>
      </c>
      <c r="E36" s="16" t="n">
        <v>429975</v>
      </c>
      <c r="F36" s="16" t="n">
        <v>12500000</v>
      </c>
      <c r="G36" s="16" t="n">
        <v>116115000</v>
      </c>
      <c r="H36" s="16" t="n">
        <v>1663000</v>
      </c>
      <c r="I36" s="16" t="n">
        <v>12878050</v>
      </c>
      <c r="J36" s="16" t="n">
        <v>1012500</v>
      </c>
      <c r="K36" s="16" t="n">
        <v>23507915</v>
      </c>
      <c r="L36" s="16" t="n">
        <v>10372212</v>
      </c>
      <c r="M36" s="16" t="n">
        <v>1302980</v>
      </c>
      <c r="N36" s="16" t="n">
        <v>3486752</v>
      </c>
      <c r="O36" s="16" t="n">
        <v>429210</v>
      </c>
      <c r="P36" s="16" t="n">
        <v>470790</v>
      </c>
      <c r="Q36" s="16" t="n">
        <v>27082500</v>
      </c>
      <c r="R36" s="16" t="n">
        <v>7121810</v>
      </c>
      <c r="S36" s="16" t="n">
        <v>5644007</v>
      </c>
      <c r="T36" s="16" t="n">
        <v>20916875</v>
      </c>
      <c r="U36" s="16" t="n">
        <v>2560525</v>
      </c>
      <c r="V36" s="16" t="n">
        <v>4774950</v>
      </c>
      <c r="W36" s="16" t="n">
        <v>2345283.66200549</v>
      </c>
      <c r="X36" s="16" t="n">
        <v>1374750</v>
      </c>
      <c r="Y36" s="16" t="n">
        <v>2177389.5</v>
      </c>
      <c r="Z36" s="16" t="n">
        <v>1927253.5</v>
      </c>
      <c r="AA36" s="16" t="n">
        <v>7483750</v>
      </c>
      <c r="AB36" s="16" t="n">
        <v>2343750</v>
      </c>
      <c r="AC36" s="16" t="n">
        <v>16316247</v>
      </c>
      <c r="AD36" s="16" t="n">
        <v>1050000</v>
      </c>
      <c r="AE36" s="16" t="n">
        <v>81480000</v>
      </c>
      <c r="AF36" s="16" t="n">
        <v>1360000</v>
      </c>
      <c r="AG36" s="16" t="n">
        <v>93746588.676478</v>
      </c>
      <c r="AH36" s="16" t="n">
        <v>8311096.14791597</v>
      </c>
    </row>
    <row r="37" customFormat="false" ht="15.75" hidden="false" customHeight="false" outlineLevel="0" collapsed="false">
      <c r="A37" s="27" t="n">
        <v>36787</v>
      </c>
      <c r="B37" s="16" t="n">
        <v>1250000</v>
      </c>
      <c r="C37" s="16" t="n">
        <v>4563600</v>
      </c>
      <c r="D37" s="16" t="n">
        <v>2136334</v>
      </c>
      <c r="E37" s="16" t="n">
        <v>429975</v>
      </c>
      <c r="F37" s="16" t="n">
        <v>12500000</v>
      </c>
      <c r="G37" s="16" t="n">
        <v>116115000</v>
      </c>
      <c r="H37" s="16" t="n">
        <v>1663000</v>
      </c>
      <c r="I37" s="16" t="n">
        <v>12878050</v>
      </c>
      <c r="J37" s="16" t="n">
        <v>1012500</v>
      </c>
      <c r="K37" s="16" t="n">
        <v>23507915</v>
      </c>
      <c r="L37" s="16" t="n">
        <v>10372212</v>
      </c>
      <c r="M37" s="16" t="n">
        <v>1302980</v>
      </c>
      <c r="N37" s="16" t="n">
        <v>3486752</v>
      </c>
      <c r="O37" s="16" t="n">
        <v>429210</v>
      </c>
      <c r="P37" s="16" t="n">
        <v>470790</v>
      </c>
      <c r="Q37" s="16" t="n">
        <v>27082500</v>
      </c>
      <c r="R37" s="16" t="n">
        <v>7121810</v>
      </c>
      <c r="S37" s="16" t="n">
        <v>5644007</v>
      </c>
      <c r="T37" s="16" t="n">
        <v>20916875</v>
      </c>
      <c r="U37" s="16" t="n">
        <v>2560525</v>
      </c>
      <c r="V37" s="16" t="n">
        <v>4774950</v>
      </c>
      <c r="W37" s="16" t="n">
        <v>2354608.75123661</v>
      </c>
      <c r="X37" s="16" t="n">
        <v>1374750</v>
      </c>
      <c r="Y37" s="16" t="n">
        <v>2177389.5</v>
      </c>
      <c r="Z37" s="16" t="n">
        <v>1927253.5</v>
      </c>
      <c r="AA37" s="16" t="n">
        <v>7483750</v>
      </c>
      <c r="AB37" s="16" t="n">
        <v>2343750</v>
      </c>
      <c r="AC37" s="16" t="n">
        <v>16316247</v>
      </c>
      <c r="AD37" s="16" t="n">
        <v>1050000</v>
      </c>
      <c r="AE37" s="16" t="n">
        <v>81480000</v>
      </c>
      <c r="AF37" s="16" t="n">
        <v>1360000</v>
      </c>
      <c r="AG37" s="16" t="n">
        <v>93746588.676478</v>
      </c>
      <c r="AH37" s="16" t="n">
        <v>8113315.0260064</v>
      </c>
    </row>
    <row r="38" customFormat="false" ht="15.75" hidden="false" customHeight="false" outlineLevel="0" collapsed="false">
      <c r="A38" s="27" t="n">
        <v>36788</v>
      </c>
      <c r="B38" s="16" t="n">
        <v>1250000</v>
      </c>
      <c r="C38" s="16" t="n">
        <v>4563600</v>
      </c>
      <c r="D38" s="16" t="n">
        <v>2136334</v>
      </c>
      <c r="E38" s="16" t="n">
        <v>429975</v>
      </c>
      <c r="F38" s="16" t="n">
        <v>12500000</v>
      </c>
      <c r="G38" s="16" t="n">
        <v>116115000</v>
      </c>
      <c r="H38" s="16" t="n">
        <v>1663000</v>
      </c>
      <c r="I38" s="16" t="n">
        <v>12878050</v>
      </c>
      <c r="J38" s="16" t="n">
        <v>1012500</v>
      </c>
      <c r="K38" s="16" t="n">
        <v>23507915</v>
      </c>
      <c r="L38" s="16" t="n">
        <v>10372212</v>
      </c>
      <c r="M38" s="16" t="n">
        <v>1302980</v>
      </c>
      <c r="N38" s="16" t="n">
        <v>3486752</v>
      </c>
      <c r="O38" s="16" t="n">
        <v>429210</v>
      </c>
      <c r="P38" s="16" t="n">
        <v>470790</v>
      </c>
      <c r="Q38" s="16" t="n">
        <v>27082500</v>
      </c>
      <c r="R38" s="16" t="n">
        <v>7121810</v>
      </c>
      <c r="S38" s="16" t="n">
        <v>5644007</v>
      </c>
      <c r="T38" s="16" t="n">
        <v>20916875</v>
      </c>
      <c r="U38" s="16" t="n">
        <v>2560525</v>
      </c>
      <c r="V38" s="16" t="n">
        <v>4774950</v>
      </c>
      <c r="W38" s="16" t="n">
        <v>2359001.65184349</v>
      </c>
      <c r="X38" s="16" t="n">
        <v>1374750</v>
      </c>
      <c r="Y38" s="16" t="n">
        <v>2177389.5</v>
      </c>
      <c r="Z38" s="16" t="n">
        <v>1927253.5</v>
      </c>
      <c r="AA38" s="16" t="n">
        <v>7483750</v>
      </c>
      <c r="AB38" s="16" t="n">
        <v>2343750</v>
      </c>
      <c r="AC38" s="16" t="n">
        <v>16316247</v>
      </c>
      <c r="AD38" s="16" t="n">
        <v>1050000</v>
      </c>
      <c r="AE38" s="16" t="n">
        <v>81480000</v>
      </c>
      <c r="AF38" s="16" t="n">
        <v>1360000</v>
      </c>
      <c r="AG38" s="16" t="n">
        <v>93746588.676478</v>
      </c>
      <c r="AH38" s="16" t="n">
        <v>8222498.73156301</v>
      </c>
    </row>
    <row r="39" customFormat="false" ht="15.75" hidden="false" customHeight="false" outlineLevel="0" collapsed="false">
      <c r="A39" s="27" t="n">
        <v>36789</v>
      </c>
      <c r="B39" s="16" t="n">
        <v>1250000</v>
      </c>
      <c r="C39" s="16" t="n">
        <v>4563600</v>
      </c>
      <c r="D39" s="16" t="n">
        <v>2136334</v>
      </c>
      <c r="E39" s="16" t="n">
        <v>429975</v>
      </c>
      <c r="F39" s="16" t="n">
        <v>12500000</v>
      </c>
      <c r="G39" s="16" t="n">
        <v>116115000</v>
      </c>
      <c r="H39" s="16" t="n">
        <v>1663000</v>
      </c>
      <c r="I39" s="16" t="n">
        <v>12878050</v>
      </c>
      <c r="J39" s="16" t="n">
        <v>1012500</v>
      </c>
      <c r="K39" s="16" t="n">
        <v>23507915</v>
      </c>
      <c r="L39" s="16" t="n">
        <v>10372212</v>
      </c>
      <c r="M39" s="16" t="n">
        <v>1302980</v>
      </c>
      <c r="N39" s="16" t="n">
        <v>3486752</v>
      </c>
      <c r="O39" s="16" t="n">
        <v>429210</v>
      </c>
      <c r="P39" s="16" t="n">
        <v>470790</v>
      </c>
      <c r="Q39" s="16" t="n">
        <v>27082500</v>
      </c>
      <c r="R39" s="16" t="n">
        <v>7121810</v>
      </c>
      <c r="S39" s="16" t="n">
        <v>5644007</v>
      </c>
      <c r="T39" s="16" t="n">
        <v>20916875</v>
      </c>
      <c r="U39" s="16" t="n">
        <v>2560525</v>
      </c>
      <c r="V39" s="16" t="n">
        <v>4774950</v>
      </c>
      <c r="W39" s="16" t="n">
        <v>2348107.85008823</v>
      </c>
      <c r="X39" s="16" t="n">
        <v>1374750</v>
      </c>
      <c r="Y39" s="16" t="n">
        <v>2177389.5</v>
      </c>
      <c r="Z39" s="16" t="n">
        <v>1927253.5</v>
      </c>
      <c r="AA39" s="16" t="n">
        <v>7483750</v>
      </c>
      <c r="AB39" s="16" t="n">
        <v>2343750</v>
      </c>
      <c r="AC39" s="16" t="n">
        <v>16316247</v>
      </c>
      <c r="AD39" s="16" t="n">
        <v>1050000</v>
      </c>
      <c r="AE39" s="16" t="n">
        <v>81480000</v>
      </c>
      <c r="AF39" s="16" t="n">
        <v>1360000</v>
      </c>
      <c r="AG39" s="16" t="n">
        <v>93746588.676478</v>
      </c>
      <c r="AH39" s="16" t="n">
        <v>8299504.82491378</v>
      </c>
    </row>
    <row r="40" customFormat="false" ht="15.75" hidden="false" customHeight="false" outlineLevel="0" collapsed="false">
      <c r="A40" s="27" t="n">
        <v>36790</v>
      </c>
      <c r="B40" s="16" t="n">
        <v>1250000</v>
      </c>
      <c r="C40" s="16" t="n">
        <v>4563600</v>
      </c>
      <c r="D40" s="16" t="n">
        <v>2136334</v>
      </c>
      <c r="E40" s="16" t="n">
        <v>429975</v>
      </c>
      <c r="F40" s="16" t="n">
        <v>12500000</v>
      </c>
      <c r="G40" s="16" t="n">
        <v>116115000</v>
      </c>
      <c r="H40" s="16" t="n">
        <v>1663000</v>
      </c>
      <c r="I40" s="16" t="n">
        <v>12878050</v>
      </c>
      <c r="J40" s="16" t="n">
        <v>1012500</v>
      </c>
      <c r="K40" s="16" t="n">
        <v>23507915</v>
      </c>
      <c r="L40" s="16" t="n">
        <v>10372212</v>
      </c>
      <c r="M40" s="16" t="n">
        <v>1302980</v>
      </c>
      <c r="N40" s="16" t="n">
        <v>3486752</v>
      </c>
      <c r="O40" s="16" t="n">
        <v>429210</v>
      </c>
      <c r="P40" s="16" t="n">
        <v>470790</v>
      </c>
      <c r="Q40" s="16" t="n">
        <v>27082500</v>
      </c>
      <c r="R40" s="16" t="n">
        <v>7121810</v>
      </c>
      <c r="S40" s="16" t="n">
        <v>5644007</v>
      </c>
      <c r="T40" s="16" t="n">
        <v>20916875</v>
      </c>
      <c r="U40" s="16" t="n">
        <v>2560525</v>
      </c>
      <c r="V40" s="16" t="n">
        <v>4774950</v>
      </c>
      <c r="W40" s="16" t="n">
        <v>2352511.5851242</v>
      </c>
      <c r="X40" s="16" t="n">
        <v>1374750</v>
      </c>
      <c r="Y40" s="16" t="n">
        <v>2177389.5</v>
      </c>
      <c r="Z40" s="16" t="n">
        <v>1927253.5</v>
      </c>
      <c r="AA40" s="16" t="n">
        <v>7483750</v>
      </c>
      <c r="AB40" s="16" t="n">
        <v>2343750</v>
      </c>
      <c r="AC40" s="16" t="n">
        <v>16316247</v>
      </c>
      <c r="AD40" s="16" t="n">
        <v>1050000</v>
      </c>
      <c r="AE40" s="16" t="n">
        <v>81480000</v>
      </c>
      <c r="AF40" s="16" t="n">
        <v>1360000</v>
      </c>
      <c r="AG40" s="16" t="n">
        <v>93746588.676478</v>
      </c>
      <c r="AH40" s="16" t="n">
        <v>8175747.0342703</v>
      </c>
    </row>
    <row r="41" customFormat="false" ht="15.75" hidden="false" customHeight="false" outlineLevel="0" collapsed="false">
      <c r="A41" s="27" t="n">
        <v>36791</v>
      </c>
      <c r="B41" s="16" t="n">
        <v>1250000</v>
      </c>
      <c r="C41" s="16" t="n">
        <v>4563600</v>
      </c>
      <c r="D41" s="16" t="n">
        <v>2136334</v>
      </c>
      <c r="E41" s="16" t="n">
        <v>429975</v>
      </c>
      <c r="F41" s="16" t="n">
        <v>12500000</v>
      </c>
      <c r="G41" s="16" t="n">
        <v>116115000</v>
      </c>
      <c r="H41" s="16" t="n">
        <v>1663000</v>
      </c>
      <c r="I41" s="16" t="n">
        <v>12878050</v>
      </c>
      <c r="J41" s="16" t="n">
        <v>1012500</v>
      </c>
      <c r="K41" s="16" t="n">
        <v>23507915</v>
      </c>
      <c r="L41" s="16" t="n">
        <v>10372212</v>
      </c>
      <c r="M41" s="16" t="n">
        <v>1302980</v>
      </c>
      <c r="N41" s="16" t="n">
        <v>3486752</v>
      </c>
      <c r="O41" s="16" t="n">
        <v>429210</v>
      </c>
      <c r="P41" s="16" t="n">
        <v>470790</v>
      </c>
      <c r="Q41" s="16" t="n">
        <v>27082500</v>
      </c>
      <c r="R41" s="16" t="n">
        <v>7121810</v>
      </c>
      <c r="S41" s="16" t="n">
        <v>5644007</v>
      </c>
      <c r="T41" s="16" t="n">
        <v>20916875</v>
      </c>
      <c r="U41" s="16" t="n">
        <v>2560525</v>
      </c>
      <c r="V41" s="16" t="n">
        <v>4774950</v>
      </c>
      <c r="W41" s="16" t="n">
        <v>2353293.03955296</v>
      </c>
      <c r="X41" s="16" t="n">
        <v>1374750</v>
      </c>
      <c r="Y41" s="16" t="n">
        <v>2300803</v>
      </c>
      <c r="Z41" s="16" t="n">
        <v>1803840</v>
      </c>
      <c r="AA41" s="16" t="n">
        <v>7483750</v>
      </c>
      <c r="AB41" s="16" t="n">
        <v>2343750</v>
      </c>
      <c r="AC41" s="16" t="n">
        <v>16316247</v>
      </c>
      <c r="AD41" s="16" t="n">
        <v>1050000</v>
      </c>
      <c r="AE41" s="16" t="n">
        <v>81480000</v>
      </c>
      <c r="AF41" s="16" t="n">
        <v>1360000</v>
      </c>
      <c r="AG41" s="16" t="n">
        <v>93746588.676478</v>
      </c>
      <c r="AH41" s="16" t="n">
        <v>8324555.290679</v>
      </c>
    </row>
    <row r="42" customFormat="false" ht="15.75" hidden="false" customHeight="false" outlineLevel="0" collapsed="false">
      <c r="A42" s="27" t="n">
        <v>36794</v>
      </c>
      <c r="B42" s="16" t="n">
        <v>1250000</v>
      </c>
      <c r="C42" s="16" t="n">
        <v>4563600</v>
      </c>
      <c r="D42" s="16" t="n">
        <v>2136334</v>
      </c>
      <c r="E42" s="16" t="n">
        <v>429975</v>
      </c>
      <c r="F42" s="16" t="n">
        <v>12500000</v>
      </c>
      <c r="G42" s="16" t="n">
        <v>116115000</v>
      </c>
      <c r="H42" s="16" t="n">
        <v>1663000</v>
      </c>
      <c r="I42" s="16" t="n">
        <v>12878050</v>
      </c>
      <c r="J42" s="16" t="n">
        <v>1012500</v>
      </c>
      <c r="K42" s="16" t="n">
        <v>23507915</v>
      </c>
      <c r="L42" s="16" t="n">
        <v>10372212</v>
      </c>
      <c r="M42" s="16" t="n">
        <v>1302980</v>
      </c>
      <c r="N42" s="16" t="n">
        <v>3486752</v>
      </c>
      <c r="O42" s="16" t="n">
        <v>429210</v>
      </c>
      <c r="P42" s="16" t="n">
        <v>470790</v>
      </c>
      <c r="Q42" s="16" t="n">
        <v>27082500</v>
      </c>
      <c r="R42" s="16" t="n">
        <v>7121810</v>
      </c>
      <c r="S42" s="16" t="n">
        <v>5644007</v>
      </c>
      <c r="T42" s="16" t="n">
        <v>20916875</v>
      </c>
      <c r="U42" s="16" t="n">
        <v>2560525</v>
      </c>
      <c r="V42" s="16" t="n">
        <v>4774950</v>
      </c>
      <c r="W42" s="16" t="n">
        <v>1699096.78539726</v>
      </c>
      <c r="X42" s="16" t="n">
        <v>1374750</v>
      </c>
      <c r="Y42" s="16" t="n">
        <v>2300803</v>
      </c>
      <c r="Z42" s="16" t="n">
        <v>1803840</v>
      </c>
      <c r="AA42" s="16" t="n">
        <v>7483750</v>
      </c>
      <c r="AB42" s="16" t="n">
        <v>2343750</v>
      </c>
      <c r="AC42" s="16" t="n">
        <v>16316247</v>
      </c>
      <c r="AD42" s="16" t="n">
        <v>1050000</v>
      </c>
      <c r="AE42" s="16" t="n">
        <v>81480000</v>
      </c>
      <c r="AF42" s="16" t="n">
        <v>1360000</v>
      </c>
      <c r="AG42" s="16" t="n">
        <v>93746588.676478</v>
      </c>
      <c r="AH42" s="16" t="n">
        <v>8207201.66395805</v>
      </c>
    </row>
    <row r="43" customFormat="false" ht="15.75" hidden="false" customHeight="false" outlineLevel="0" collapsed="false">
      <c r="A43" s="27" t="n">
        <v>36795</v>
      </c>
      <c r="B43" s="16" t="n">
        <v>1250000</v>
      </c>
      <c r="C43" s="16" t="n">
        <v>4563600</v>
      </c>
      <c r="D43" s="16" t="n">
        <v>2136334</v>
      </c>
      <c r="E43" s="16" t="n">
        <v>429975</v>
      </c>
      <c r="F43" s="16" t="n">
        <v>12500000</v>
      </c>
      <c r="G43" s="16" t="n">
        <v>116115000</v>
      </c>
      <c r="H43" s="16" t="n">
        <v>1663000</v>
      </c>
      <c r="I43" s="16" t="n">
        <v>12878050</v>
      </c>
      <c r="J43" s="16" t="n">
        <v>1012500</v>
      </c>
      <c r="K43" s="16" t="n">
        <v>23507915</v>
      </c>
      <c r="L43" s="16" t="n">
        <v>10372212</v>
      </c>
      <c r="M43" s="16" t="n">
        <v>1302980</v>
      </c>
      <c r="N43" s="16" t="n">
        <v>3486752</v>
      </c>
      <c r="O43" s="16" t="n">
        <v>429210</v>
      </c>
      <c r="P43" s="16" t="n">
        <v>470790</v>
      </c>
      <c r="Q43" s="16" t="n">
        <v>27082500</v>
      </c>
      <c r="R43" s="16" t="n">
        <v>7121810</v>
      </c>
      <c r="S43" s="16" t="n">
        <v>5644007</v>
      </c>
      <c r="T43" s="16" t="n">
        <v>20916875</v>
      </c>
      <c r="U43" s="16" t="n">
        <v>2560525</v>
      </c>
      <c r="V43" s="16" t="n">
        <v>4774950</v>
      </c>
      <c r="W43" s="16" t="n">
        <v>1701579.35505632</v>
      </c>
      <c r="X43" s="16" t="n">
        <v>1374750</v>
      </c>
      <c r="Y43" s="16" t="n">
        <v>2300803</v>
      </c>
      <c r="Z43" s="16" t="n">
        <v>1803840</v>
      </c>
      <c r="AA43" s="16" t="n">
        <v>7483750</v>
      </c>
      <c r="AB43" s="16" t="n">
        <v>2343750</v>
      </c>
      <c r="AC43" s="16" t="n">
        <v>16316247</v>
      </c>
      <c r="AD43" s="16" t="n">
        <v>1050000</v>
      </c>
      <c r="AE43" s="16" t="n">
        <v>81480000</v>
      </c>
      <c r="AF43" s="16" t="n">
        <v>1360000</v>
      </c>
      <c r="AG43" s="16" t="n">
        <v>93746588.676478</v>
      </c>
      <c r="AH43" s="16" t="n">
        <v>8178728.18176426</v>
      </c>
    </row>
    <row r="44" customFormat="false" ht="15.75" hidden="false" customHeight="false" outlineLevel="0" collapsed="false">
      <c r="A44" s="27" t="n">
        <v>36796</v>
      </c>
      <c r="B44" s="16" t="n">
        <v>1250000</v>
      </c>
      <c r="C44" s="16" t="n">
        <v>4563600</v>
      </c>
      <c r="D44" s="16" t="n">
        <v>2136334</v>
      </c>
      <c r="E44" s="16" t="n">
        <v>429975</v>
      </c>
      <c r="F44" s="16" t="n">
        <v>12500000</v>
      </c>
      <c r="G44" s="16" t="n">
        <v>116115000</v>
      </c>
      <c r="H44" s="16" t="n">
        <v>1663000</v>
      </c>
      <c r="I44" s="16" t="n">
        <v>12878050</v>
      </c>
      <c r="J44" s="16" t="n">
        <v>1012500</v>
      </c>
      <c r="K44" s="16" t="n">
        <v>23507915</v>
      </c>
      <c r="L44" s="16" t="n">
        <v>10372212</v>
      </c>
      <c r="M44" s="16" t="n">
        <v>1302980</v>
      </c>
      <c r="N44" s="16" t="n">
        <v>3486752</v>
      </c>
      <c r="O44" s="16" t="n">
        <v>429210</v>
      </c>
      <c r="P44" s="16" t="n">
        <v>470790</v>
      </c>
      <c r="Q44" s="16" t="n">
        <v>27082500</v>
      </c>
      <c r="R44" s="16" t="n">
        <v>7121810</v>
      </c>
      <c r="S44" s="16" t="n">
        <v>5644007</v>
      </c>
      <c r="T44" s="16" t="n">
        <v>20916875</v>
      </c>
      <c r="U44" s="16" t="n">
        <v>2560525</v>
      </c>
      <c r="V44" s="16" t="n">
        <v>4774950</v>
      </c>
      <c r="W44" s="16" t="n">
        <v>1702938.25566996</v>
      </c>
      <c r="X44" s="16" t="n">
        <v>1374750</v>
      </c>
      <c r="Y44" s="16" t="n">
        <v>2300803</v>
      </c>
      <c r="Z44" s="16" t="n">
        <v>1803840</v>
      </c>
      <c r="AA44" s="16" t="n">
        <v>7483750</v>
      </c>
      <c r="AB44" s="16" t="n">
        <v>2343750</v>
      </c>
      <c r="AC44" s="16" t="n">
        <v>16316247</v>
      </c>
      <c r="AD44" s="16" t="n">
        <v>1050000</v>
      </c>
      <c r="AE44" s="16" t="n">
        <v>81480000</v>
      </c>
      <c r="AF44" s="16" t="n">
        <v>1360000</v>
      </c>
      <c r="AG44" s="16" t="n">
        <v>93746588.676478</v>
      </c>
      <c r="AH44" s="16" t="n">
        <v>8300164.6548171</v>
      </c>
    </row>
    <row r="45" customFormat="false" ht="15.75" hidden="false" customHeight="false" outlineLevel="0" collapsed="false">
      <c r="A45" s="27" t="n">
        <v>36797</v>
      </c>
      <c r="B45" s="16" t="n">
        <v>1250000</v>
      </c>
      <c r="C45" s="16" t="n">
        <v>4563600</v>
      </c>
      <c r="D45" s="16" t="n">
        <v>2136334</v>
      </c>
      <c r="E45" s="16" t="n">
        <v>429975</v>
      </c>
      <c r="F45" s="16" t="n">
        <v>12500000</v>
      </c>
      <c r="G45" s="16" t="n">
        <v>116115000</v>
      </c>
      <c r="H45" s="16" t="n">
        <v>1663000</v>
      </c>
      <c r="I45" s="16" t="n">
        <v>12878050</v>
      </c>
      <c r="J45" s="16" t="n">
        <v>1012500</v>
      </c>
      <c r="K45" s="16" t="n">
        <v>23507915</v>
      </c>
      <c r="L45" s="16" t="n">
        <v>10372212</v>
      </c>
      <c r="M45" s="16" t="n">
        <v>1302980</v>
      </c>
      <c r="N45" s="16" t="n">
        <v>3486752</v>
      </c>
      <c r="O45" s="16" t="n">
        <v>429210</v>
      </c>
      <c r="P45" s="16" t="n">
        <v>470790</v>
      </c>
      <c r="Q45" s="16" t="n">
        <v>27082500</v>
      </c>
      <c r="R45" s="16" t="n">
        <v>7121810</v>
      </c>
      <c r="S45" s="16" t="n">
        <v>5644007</v>
      </c>
      <c r="T45" s="16" t="n">
        <v>20916875</v>
      </c>
      <c r="U45" s="16" t="n">
        <v>2560525</v>
      </c>
      <c r="V45" s="16" t="n">
        <v>4774950</v>
      </c>
      <c r="W45" s="16" t="n">
        <v>1704238.28043711</v>
      </c>
      <c r="X45" s="16" t="n">
        <v>1374750</v>
      </c>
      <c r="Y45" s="16" t="n">
        <v>2300803</v>
      </c>
      <c r="Z45" s="16" t="n">
        <v>1803840</v>
      </c>
      <c r="AA45" s="16" t="n">
        <v>7483750</v>
      </c>
      <c r="AB45" s="16" t="n">
        <v>2343750</v>
      </c>
      <c r="AC45" s="16" t="n">
        <v>16316247</v>
      </c>
      <c r="AD45" s="16" t="n">
        <v>1050000</v>
      </c>
      <c r="AE45" s="16" t="n">
        <v>81480000</v>
      </c>
      <c r="AF45" s="16" t="n">
        <v>1360000</v>
      </c>
      <c r="AG45" s="16" t="n">
        <v>93746588.676478</v>
      </c>
      <c r="AH45" s="16" t="n">
        <v>8245176.12592764</v>
      </c>
    </row>
    <row r="46" customFormat="false" ht="15.75" hidden="false" customHeight="false" outlineLevel="0" collapsed="false">
      <c r="A46" s="27" t="n">
        <v>36798</v>
      </c>
      <c r="B46" s="16" t="n">
        <v>1250000</v>
      </c>
      <c r="C46" s="16" t="n">
        <v>4563600</v>
      </c>
      <c r="D46" s="16" t="n">
        <v>2136334</v>
      </c>
      <c r="E46" s="16" t="n">
        <v>429975</v>
      </c>
      <c r="F46" s="16" t="n">
        <v>12500000</v>
      </c>
      <c r="G46" s="16" t="n">
        <v>116115000</v>
      </c>
      <c r="H46" s="16" t="n">
        <v>1663000</v>
      </c>
      <c r="I46" s="16" t="n">
        <v>12878050</v>
      </c>
      <c r="J46" s="16" t="n">
        <v>1012500</v>
      </c>
      <c r="K46" s="16" t="n">
        <v>23507915</v>
      </c>
      <c r="L46" s="16" t="n">
        <v>10372212</v>
      </c>
      <c r="M46" s="16" t="n">
        <v>1302980</v>
      </c>
      <c r="N46" s="16" t="n">
        <v>3486752</v>
      </c>
      <c r="O46" s="16" t="n">
        <v>429210</v>
      </c>
      <c r="P46" s="16" t="n">
        <v>470790</v>
      </c>
      <c r="Q46" s="16" t="n">
        <v>27082500</v>
      </c>
      <c r="R46" s="16" t="n">
        <v>7121810</v>
      </c>
      <c r="S46" s="16" t="n">
        <v>5644007</v>
      </c>
      <c r="T46" s="16" t="n">
        <v>20916875</v>
      </c>
      <c r="U46" s="16" t="n">
        <v>2560525</v>
      </c>
      <c r="V46" s="16" t="n">
        <v>4774950</v>
      </c>
      <c r="W46" s="16" t="n">
        <v>2002698.811523</v>
      </c>
      <c r="X46" s="16" t="n">
        <v>1374750</v>
      </c>
      <c r="Y46" s="16" t="n">
        <v>1803840</v>
      </c>
      <c r="Z46" s="16" t="n">
        <v>2300803</v>
      </c>
      <c r="AA46" s="16" t="n">
        <v>7483750</v>
      </c>
      <c r="AB46" s="16" t="n">
        <v>2343750</v>
      </c>
      <c r="AC46" s="16" t="n">
        <v>16316247</v>
      </c>
      <c r="AD46" s="16" t="n">
        <v>1050000</v>
      </c>
      <c r="AE46" s="16" t="n">
        <v>81480000</v>
      </c>
      <c r="AF46" s="16" t="n">
        <v>1360000</v>
      </c>
      <c r="AG46" s="16" t="n">
        <v>93746588.676478</v>
      </c>
      <c r="AH46" s="16" t="n">
        <v>8754483.03670825</v>
      </c>
    </row>
    <row r="47" customFormat="false" ht="15.75" hidden="false" customHeight="false" outlineLevel="0" collapsed="false">
      <c r="A47" s="27" t="n">
        <v>36801</v>
      </c>
      <c r="B47" s="16" t="n">
        <v>1250000</v>
      </c>
      <c r="C47" s="16" t="n">
        <v>4563600</v>
      </c>
      <c r="D47" s="16" t="n">
        <v>2136334</v>
      </c>
      <c r="E47" s="16" t="n">
        <v>429975</v>
      </c>
      <c r="F47" s="16" t="n">
        <v>12500000</v>
      </c>
      <c r="G47" s="16" t="n">
        <v>116115000</v>
      </c>
      <c r="H47" s="16" t="n">
        <v>1663000</v>
      </c>
      <c r="I47" s="16" t="n">
        <v>12878050</v>
      </c>
      <c r="J47" s="16" t="n">
        <v>1012500</v>
      </c>
      <c r="K47" s="16" t="n">
        <v>23507915</v>
      </c>
      <c r="L47" s="16" t="n">
        <v>10372212</v>
      </c>
      <c r="M47" s="16" t="n">
        <v>1302980</v>
      </c>
      <c r="N47" s="16" t="n">
        <v>3486752</v>
      </c>
      <c r="O47" s="16" t="n">
        <v>429210</v>
      </c>
      <c r="P47" s="16" t="n">
        <v>470790</v>
      </c>
      <c r="Q47" s="16" t="n">
        <v>27082500</v>
      </c>
      <c r="R47" s="16" t="n">
        <v>7121810</v>
      </c>
      <c r="S47" s="16" t="n">
        <v>5644007</v>
      </c>
      <c r="T47" s="16" t="n">
        <v>20916875</v>
      </c>
      <c r="U47" s="16" t="n">
        <v>2560525</v>
      </c>
      <c r="V47" s="16" t="n">
        <v>4774950</v>
      </c>
      <c r="W47" s="16" t="n">
        <v>2004958.50719934</v>
      </c>
      <c r="X47" s="16" t="n">
        <v>1374750</v>
      </c>
      <c r="Y47" s="16" t="n">
        <v>1803840</v>
      </c>
      <c r="Z47" s="16" t="n">
        <v>2300803</v>
      </c>
      <c r="AA47" s="16" t="n">
        <v>7483750</v>
      </c>
      <c r="AB47" s="16" t="n">
        <v>2343750</v>
      </c>
      <c r="AC47" s="16" t="n">
        <v>16316247</v>
      </c>
      <c r="AD47" s="16" t="n">
        <v>1050000</v>
      </c>
      <c r="AE47" s="16" t="n">
        <v>81480000</v>
      </c>
      <c r="AF47" s="16" t="n">
        <v>1360000</v>
      </c>
      <c r="AG47" s="16" t="n">
        <v>93746588.676478</v>
      </c>
      <c r="AH47" s="16" t="n">
        <v>8458501.87004106</v>
      </c>
    </row>
    <row r="48" customFormat="false" ht="15.75" hidden="false" customHeight="false" outlineLevel="0" collapsed="false">
      <c r="A48" s="27" t="n">
        <v>36802</v>
      </c>
      <c r="B48" s="16" t="n">
        <v>1250000</v>
      </c>
      <c r="C48" s="16" t="n">
        <v>4563600</v>
      </c>
      <c r="D48" s="16" t="n">
        <v>2136334</v>
      </c>
      <c r="E48" s="16" t="n">
        <v>429975</v>
      </c>
      <c r="F48" s="16" t="n">
        <v>12500000</v>
      </c>
      <c r="G48" s="16" t="n">
        <v>116115000</v>
      </c>
      <c r="H48" s="16" t="n">
        <v>1663000</v>
      </c>
      <c r="I48" s="16" t="n">
        <v>12878050</v>
      </c>
      <c r="J48" s="16" t="n">
        <v>1012500</v>
      </c>
      <c r="K48" s="16" t="n">
        <v>23507915</v>
      </c>
      <c r="L48" s="16" t="n">
        <v>10372212</v>
      </c>
      <c r="M48" s="16" t="n">
        <v>1302980</v>
      </c>
      <c r="N48" s="16" t="n">
        <v>3486752</v>
      </c>
      <c r="O48" s="16" t="n">
        <v>429210</v>
      </c>
      <c r="P48" s="16" t="n">
        <v>470790</v>
      </c>
      <c r="Q48" s="16" t="n">
        <v>27082500</v>
      </c>
      <c r="R48" s="16" t="n">
        <v>7121810</v>
      </c>
      <c r="S48" s="16" t="n">
        <v>5644007</v>
      </c>
      <c r="T48" s="16" t="n">
        <v>20916875</v>
      </c>
      <c r="U48" s="16" t="n">
        <v>2560525</v>
      </c>
      <c r="V48" s="16" t="n">
        <v>4774950</v>
      </c>
      <c r="W48" s="16" t="n">
        <v>2005557.85095983</v>
      </c>
      <c r="X48" s="16" t="n">
        <v>1374750</v>
      </c>
      <c r="Y48" s="16" t="n">
        <v>1803840</v>
      </c>
      <c r="Z48" s="16" t="n">
        <v>2300803</v>
      </c>
      <c r="AA48" s="16" t="n">
        <v>7483750</v>
      </c>
      <c r="AB48" s="16" t="n">
        <v>2343750</v>
      </c>
      <c r="AC48" s="16" t="n">
        <v>16316247</v>
      </c>
      <c r="AD48" s="16" t="n">
        <v>1050000</v>
      </c>
      <c r="AE48" s="16" t="n">
        <v>81480000</v>
      </c>
      <c r="AF48" s="16" t="n">
        <v>1360000</v>
      </c>
      <c r="AG48" s="16" t="n">
        <v>93746588.676478</v>
      </c>
      <c r="AH48" s="16" t="n">
        <v>8370856.04675953</v>
      </c>
    </row>
    <row r="49" customFormat="false" ht="15.75" hidden="false" customHeight="false" outlineLevel="0" collapsed="false">
      <c r="A49" s="27" t="n">
        <v>36803</v>
      </c>
      <c r="B49" s="16" t="n">
        <v>1250000</v>
      </c>
      <c r="C49" s="16" t="n">
        <v>4563600</v>
      </c>
      <c r="D49" s="16" t="n">
        <v>2136334</v>
      </c>
      <c r="E49" s="16" t="n">
        <v>429975</v>
      </c>
      <c r="F49" s="16" t="n">
        <v>12500000</v>
      </c>
      <c r="G49" s="16" t="n">
        <v>116115000</v>
      </c>
      <c r="H49" s="16" t="n">
        <v>1663000</v>
      </c>
      <c r="I49" s="16" t="n">
        <v>12878050</v>
      </c>
      <c r="J49" s="16" t="n">
        <v>1012500</v>
      </c>
      <c r="K49" s="16" t="n">
        <v>23507915</v>
      </c>
      <c r="L49" s="16" t="n">
        <v>10372212</v>
      </c>
      <c r="M49" s="16" t="n">
        <v>1302980</v>
      </c>
      <c r="N49" s="16" t="n">
        <v>3486752</v>
      </c>
      <c r="O49" s="16" t="n">
        <v>429210</v>
      </c>
      <c r="P49" s="16" t="n">
        <v>470790</v>
      </c>
      <c r="Q49" s="16" t="n">
        <v>27082500</v>
      </c>
      <c r="R49" s="16" t="n">
        <v>7121810</v>
      </c>
      <c r="S49" s="16" t="n">
        <v>5644007</v>
      </c>
      <c r="T49" s="16" t="n">
        <v>20916875</v>
      </c>
      <c r="U49" s="16" t="n">
        <v>2560525</v>
      </c>
      <c r="V49" s="16" t="n">
        <v>4774950</v>
      </c>
      <c r="W49" s="16" t="n">
        <v>2006300.5672105</v>
      </c>
      <c r="X49" s="16" t="n">
        <v>1374750</v>
      </c>
      <c r="Y49" s="16" t="n">
        <v>1803840</v>
      </c>
      <c r="Z49" s="16" t="n">
        <v>2300803</v>
      </c>
      <c r="AA49" s="16" t="n">
        <v>7483750</v>
      </c>
      <c r="AB49" s="16" t="n">
        <v>2343750</v>
      </c>
      <c r="AC49" s="16" t="n">
        <v>16316247</v>
      </c>
      <c r="AD49" s="16" t="n">
        <v>1050000</v>
      </c>
      <c r="AE49" s="16" t="n">
        <v>81480000</v>
      </c>
      <c r="AF49" s="16" t="n">
        <v>1360000</v>
      </c>
      <c r="AG49" s="16" t="n">
        <v>93746588.676478</v>
      </c>
      <c r="AH49" s="16" t="n">
        <v>8558370.56293222</v>
      </c>
    </row>
    <row r="50" customFormat="false" ht="15.75" hidden="false" customHeight="false" outlineLevel="0" collapsed="false">
      <c r="A50" s="27" t="n">
        <v>36804</v>
      </c>
      <c r="B50" s="16" t="n">
        <v>1250000</v>
      </c>
      <c r="C50" s="16" t="n">
        <v>4563600</v>
      </c>
      <c r="D50" s="16" t="n">
        <v>2136334</v>
      </c>
      <c r="E50" s="16" t="n">
        <v>429975</v>
      </c>
      <c r="F50" s="16" t="n">
        <v>12500000</v>
      </c>
      <c r="G50" s="16" t="n">
        <v>116115000</v>
      </c>
      <c r="H50" s="16" t="n">
        <v>1663000</v>
      </c>
      <c r="I50" s="16" t="n">
        <v>12878050</v>
      </c>
      <c r="J50" s="16" t="n">
        <v>1012500</v>
      </c>
      <c r="K50" s="16" t="n">
        <v>23507915</v>
      </c>
      <c r="L50" s="16" t="n">
        <v>10372212</v>
      </c>
      <c r="M50" s="16" t="n">
        <v>1302980</v>
      </c>
      <c r="N50" s="16" t="n">
        <v>3486752</v>
      </c>
      <c r="O50" s="16" t="n">
        <v>429210</v>
      </c>
      <c r="P50" s="16" t="n">
        <v>470790</v>
      </c>
      <c r="Q50" s="16" t="n">
        <v>27082500</v>
      </c>
      <c r="R50" s="16" t="n">
        <v>7121810</v>
      </c>
      <c r="S50" s="16" t="n">
        <v>5644007</v>
      </c>
      <c r="T50" s="16" t="n">
        <v>20916875</v>
      </c>
      <c r="U50" s="16" t="n">
        <v>2560525</v>
      </c>
      <c r="V50" s="16" t="n">
        <v>4774950</v>
      </c>
      <c r="W50" s="16" t="n">
        <v>2009139.77709505</v>
      </c>
      <c r="X50" s="16" t="n">
        <v>1374750</v>
      </c>
      <c r="Y50" s="16" t="n">
        <v>1803840</v>
      </c>
      <c r="Z50" s="16" t="n">
        <v>2300803</v>
      </c>
      <c r="AA50" s="16" t="n">
        <v>7483750</v>
      </c>
      <c r="AB50" s="16" t="n">
        <v>2343750</v>
      </c>
      <c r="AC50" s="16" t="n">
        <v>16316247</v>
      </c>
      <c r="AD50" s="16" t="n">
        <v>1050000</v>
      </c>
      <c r="AE50" s="16" t="n">
        <v>81480000</v>
      </c>
      <c r="AF50" s="16" t="n">
        <v>1360000</v>
      </c>
      <c r="AG50" s="16" t="n">
        <v>93746588.676478</v>
      </c>
      <c r="AH50" s="16" t="n">
        <v>8698448.85203118</v>
      </c>
    </row>
    <row r="51" customFormat="false" ht="15.75" hidden="false" customHeight="false" outlineLevel="0" collapsed="false">
      <c r="A51" s="27" t="n">
        <v>36805</v>
      </c>
      <c r="B51" s="16" t="n">
        <v>1250000</v>
      </c>
      <c r="C51" s="16" t="n">
        <v>4563600</v>
      </c>
      <c r="D51" s="16" t="n">
        <v>2136334</v>
      </c>
      <c r="E51" s="16" t="n">
        <v>429975</v>
      </c>
      <c r="F51" s="16" t="n">
        <v>12500000</v>
      </c>
      <c r="G51" s="16" t="n">
        <v>116115000</v>
      </c>
      <c r="H51" s="16" t="n">
        <v>1663000</v>
      </c>
      <c r="I51" s="16" t="n">
        <v>12878050</v>
      </c>
      <c r="J51" s="16" t="n">
        <v>1012500</v>
      </c>
      <c r="K51" s="16" t="n">
        <v>23507915</v>
      </c>
      <c r="L51" s="16" t="n">
        <v>10372212</v>
      </c>
      <c r="M51" s="16" t="n">
        <v>1302980</v>
      </c>
      <c r="N51" s="16" t="n">
        <v>3486752</v>
      </c>
      <c r="O51" s="16" t="n">
        <v>429210</v>
      </c>
      <c r="P51" s="16" t="n">
        <v>470790</v>
      </c>
      <c r="Q51" s="16" t="n">
        <v>27082500</v>
      </c>
      <c r="R51" s="16" t="n">
        <v>7121810</v>
      </c>
      <c r="S51" s="16" t="n">
        <v>5644007</v>
      </c>
      <c r="T51" s="16" t="n">
        <v>20916875</v>
      </c>
      <c r="U51" s="16" t="n">
        <v>2560525</v>
      </c>
      <c r="V51" s="16" t="n">
        <v>4774950</v>
      </c>
      <c r="W51" s="16" t="n">
        <v>2010318.1012884</v>
      </c>
      <c r="X51" s="16" t="n">
        <v>1374750</v>
      </c>
      <c r="Y51" s="16" t="n">
        <v>1803840</v>
      </c>
      <c r="Z51" s="16" t="n">
        <v>2300803</v>
      </c>
      <c r="AA51" s="16" t="n">
        <v>7483750</v>
      </c>
      <c r="AB51" s="16" t="n">
        <v>2343750</v>
      </c>
      <c r="AC51" s="16" t="n">
        <v>16316247</v>
      </c>
      <c r="AD51" s="16" t="n">
        <v>1050000</v>
      </c>
      <c r="AE51" s="16" t="n">
        <v>81480000</v>
      </c>
      <c r="AF51" s="16" t="n">
        <v>1360000</v>
      </c>
      <c r="AG51" s="16" t="n">
        <v>93746588.676478</v>
      </c>
      <c r="AH51" s="16" t="n">
        <v>8456199.71105316</v>
      </c>
    </row>
    <row r="52" customFormat="false" ht="15.75" hidden="false" customHeight="false" outlineLevel="0" collapsed="false">
      <c r="A52" s="27" t="n">
        <v>36808</v>
      </c>
      <c r="B52" s="16" t="n">
        <v>1250000</v>
      </c>
      <c r="C52" s="16" t="n">
        <v>4563600</v>
      </c>
      <c r="D52" s="16" t="n">
        <v>2136334</v>
      </c>
      <c r="E52" s="16" t="n">
        <v>429975</v>
      </c>
      <c r="F52" s="16" t="n">
        <v>12500000</v>
      </c>
      <c r="G52" s="16" t="n">
        <v>116115000</v>
      </c>
      <c r="H52" s="16" t="n">
        <v>1663000</v>
      </c>
      <c r="I52" s="16" t="n">
        <v>12878050</v>
      </c>
      <c r="J52" s="16" t="n">
        <v>1012500</v>
      </c>
      <c r="K52" s="16" t="n">
        <v>23507915</v>
      </c>
      <c r="L52" s="16" t="n">
        <v>10372212</v>
      </c>
      <c r="M52" s="16" t="n">
        <v>1302980</v>
      </c>
      <c r="N52" s="16" t="n">
        <v>3486752</v>
      </c>
      <c r="O52" s="16" t="n">
        <v>429210</v>
      </c>
      <c r="P52" s="16" t="n">
        <v>470790</v>
      </c>
      <c r="Q52" s="16" t="n">
        <v>27082500</v>
      </c>
      <c r="R52" s="16" t="n">
        <v>7121810</v>
      </c>
      <c r="S52" s="16" t="n">
        <v>5644007</v>
      </c>
      <c r="T52" s="16" t="n">
        <v>20916875</v>
      </c>
      <c r="U52" s="16" t="n">
        <v>2560525</v>
      </c>
      <c r="V52" s="16" t="n">
        <v>4774950</v>
      </c>
      <c r="W52" s="16" t="n">
        <v>2013591.65998389</v>
      </c>
      <c r="X52" s="16" t="n">
        <v>1374750</v>
      </c>
      <c r="Y52" s="16" t="n">
        <v>1803840</v>
      </c>
      <c r="Z52" s="16" t="n">
        <v>2300803</v>
      </c>
      <c r="AA52" s="16" t="n">
        <v>7483750</v>
      </c>
      <c r="AB52" s="16" t="n">
        <v>2343750</v>
      </c>
      <c r="AC52" s="16" t="n">
        <v>16316247</v>
      </c>
      <c r="AD52" s="16" t="n">
        <v>1050000</v>
      </c>
      <c r="AE52" s="16" t="n">
        <v>81480000</v>
      </c>
      <c r="AF52" s="16" t="n">
        <v>1360000</v>
      </c>
      <c r="AG52" s="16" t="n">
        <v>93746588.676478</v>
      </c>
      <c r="AH52" s="16" t="n">
        <v>8497088.36061425</v>
      </c>
    </row>
    <row r="53" customFormat="false" ht="15.75" hidden="false" customHeight="false" outlineLevel="0" collapsed="false">
      <c r="A53" s="27" t="n">
        <v>36809</v>
      </c>
      <c r="B53" s="16" t="n">
        <v>1250000</v>
      </c>
      <c r="C53" s="16" t="n">
        <v>4563600</v>
      </c>
      <c r="D53" s="16" t="n">
        <v>2136334</v>
      </c>
      <c r="E53" s="16" t="n">
        <v>429975</v>
      </c>
      <c r="F53" s="16" t="n">
        <v>12500000</v>
      </c>
      <c r="G53" s="16" t="n">
        <v>116115000</v>
      </c>
      <c r="H53" s="16" t="n">
        <v>1663000</v>
      </c>
      <c r="I53" s="16" t="n">
        <v>12878050</v>
      </c>
      <c r="J53" s="16" t="n">
        <v>1012500</v>
      </c>
      <c r="K53" s="16" t="n">
        <v>23507915</v>
      </c>
      <c r="L53" s="16" t="n">
        <v>10372212</v>
      </c>
      <c r="M53" s="16" t="n">
        <v>1302980</v>
      </c>
      <c r="N53" s="16" t="n">
        <v>3486752</v>
      </c>
      <c r="O53" s="16" t="n">
        <v>429210</v>
      </c>
      <c r="P53" s="16" t="n">
        <v>470790</v>
      </c>
      <c r="Q53" s="16" t="n">
        <v>27082500</v>
      </c>
      <c r="R53" s="16" t="n">
        <v>7121810</v>
      </c>
      <c r="S53" s="16" t="n">
        <v>5644007</v>
      </c>
      <c r="T53" s="16" t="n">
        <v>20916875</v>
      </c>
      <c r="U53" s="16" t="n">
        <v>2560525</v>
      </c>
      <c r="V53" s="16" t="n">
        <v>4774950</v>
      </c>
      <c r="W53" s="16" t="n">
        <v>2015677.71548485</v>
      </c>
      <c r="X53" s="16" t="n">
        <v>1374750</v>
      </c>
      <c r="Y53" s="16" t="n">
        <v>1803840</v>
      </c>
      <c r="Z53" s="16" t="n">
        <v>2300803</v>
      </c>
      <c r="AA53" s="16" t="n">
        <v>7483750</v>
      </c>
      <c r="AB53" s="16" t="n">
        <v>2343750</v>
      </c>
      <c r="AC53" s="16" t="n">
        <v>16316247</v>
      </c>
      <c r="AD53" s="16" t="n">
        <v>1050000</v>
      </c>
      <c r="AE53" s="16" t="n">
        <v>81480000</v>
      </c>
      <c r="AF53" s="16" t="n">
        <v>1360000</v>
      </c>
      <c r="AG53" s="16" t="n">
        <v>93746588.676478</v>
      </c>
      <c r="AH53" s="16" t="n">
        <v>8497088.36061425</v>
      </c>
    </row>
    <row r="54" customFormat="false" ht="15.75" hidden="false" customHeight="false" outlineLevel="0" collapsed="false">
      <c r="A54" s="27" t="n">
        <v>36810</v>
      </c>
      <c r="B54" s="16" t="n">
        <v>1250000</v>
      </c>
      <c r="C54" s="16" t="n">
        <v>4563600</v>
      </c>
      <c r="D54" s="16" t="n">
        <v>2136334</v>
      </c>
      <c r="E54" s="16" t="n">
        <v>429975</v>
      </c>
      <c r="F54" s="16" t="n">
        <v>12500000</v>
      </c>
      <c r="G54" s="16" t="n">
        <v>116115000</v>
      </c>
      <c r="H54" s="16" t="n">
        <v>1663000</v>
      </c>
      <c r="I54" s="16" t="n">
        <v>12878050</v>
      </c>
      <c r="J54" s="16" t="n">
        <v>1012500</v>
      </c>
      <c r="K54" s="16" t="n">
        <v>23507915</v>
      </c>
      <c r="L54" s="16" t="n">
        <v>10372212</v>
      </c>
      <c r="M54" s="16" t="n">
        <v>1302980</v>
      </c>
      <c r="N54" s="16" t="n">
        <v>3486752</v>
      </c>
      <c r="O54" s="16" t="n">
        <v>429210</v>
      </c>
      <c r="P54" s="16" t="n">
        <v>470790</v>
      </c>
      <c r="Q54" s="16" t="n">
        <v>27082500</v>
      </c>
      <c r="R54" s="16" t="n">
        <v>7121810</v>
      </c>
      <c r="S54" s="16" t="n">
        <v>5644007</v>
      </c>
      <c r="T54" s="16" t="n">
        <v>20916875</v>
      </c>
      <c r="U54" s="16" t="n">
        <v>2560525</v>
      </c>
      <c r="V54" s="16" t="n">
        <v>4774950</v>
      </c>
      <c r="W54" s="16" t="n">
        <v>2018571.75183915</v>
      </c>
      <c r="X54" s="16" t="n">
        <v>1374750</v>
      </c>
      <c r="Y54" s="16" t="n">
        <v>1803840</v>
      </c>
      <c r="Z54" s="16" t="n">
        <v>2300803</v>
      </c>
      <c r="AA54" s="16" t="n">
        <v>7483750</v>
      </c>
      <c r="AB54" s="16" t="n">
        <v>2343750</v>
      </c>
      <c r="AC54" s="16" t="n">
        <v>16316247</v>
      </c>
      <c r="AD54" s="16" t="n">
        <v>1050000</v>
      </c>
      <c r="AE54" s="16" t="n">
        <v>81480000</v>
      </c>
      <c r="AF54" s="16" t="n">
        <v>1360000</v>
      </c>
      <c r="AG54" s="16" t="n">
        <v>93746588.676478</v>
      </c>
      <c r="AH54" s="16" t="n">
        <v>8555776.7910984</v>
      </c>
    </row>
    <row r="55" customFormat="false" ht="15.75" hidden="false" customHeight="false" outlineLevel="0" collapsed="false">
      <c r="A55" s="27" t="n">
        <v>36811</v>
      </c>
      <c r="B55" s="16" t="n">
        <v>1250000</v>
      </c>
      <c r="C55" s="16" t="n">
        <v>4563600</v>
      </c>
      <c r="D55" s="16" t="n">
        <v>2136334</v>
      </c>
      <c r="E55" s="16" t="n">
        <v>429975</v>
      </c>
      <c r="F55" s="16" t="n">
        <v>12500000</v>
      </c>
      <c r="G55" s="16" t="n">
        <v>116115000</v>
      </c>
      <c r="H55" s="16" t="n">
        <v>1663000</v>
      </c>
      <c r="I55" s="16" t="n">
        <v>12878050</v>
      </c>
      <c r="J55" s="16" t="n">
        <v>1012500</v>
      </c>
      <c r="K55" s="16" t="n">
        <v>23507915</v>
      </c>
      <c r="L55" s="16" t="n">
        <v>10372212</v>
      </c>
      <c r="M55" s="16" t="n">
        <v>1302980</v>
      </c>
      <c r="N55" s="16" t="n">
        <v>3486752</v>
      </c>
      <c r="O55" s="16" t="n">
        <v>429210</v>
      </c>
      <c r="P55" s="16" t="n">
        <v>470790</v>
      </c>
      <c r="Q55" s="16" t="n">
        <v>27082500</v>
      </c>
      <c r="R55" s="16" t="n">
        <v>7121810</v>
      </c>
      <c r="S55" s="16" t="n">
        <v>5644007</v>
      </c>
      <c r="T55" s="16" t="n">
        <v>20916875</v>
      </c>
      <c r="U55" s="16" t="n">
        <v>2560525</v>
      </c>
      <c r="V55" s="16" t="n">
        <v>4774950</v>
      </c>
      <c r="W55" s="16" t="n">
        <v>2025396.65470678</v>
      </c>
      <c r="X55" s="16" t="n">
        <v>1374750</v>
      </c>
      <c r="Y55" s="16" t="n">
        <v>1803840</v>
      </c>
      <c r="Z55" s="16" t="n">
        <v>2300803</v>
      </c>
      <c r="AA55" s="16" t="n">
        <v>7483750</v>
      </c>
      <c r="AB55" s="16" t="n">
        <v>2343750</v>
      </c>
      <c r="AC55" s="16" t="n">
        <v>16316247</v>
      </c>
      <c r="AD55" s="16" t="n">
        <v>1050000</v>
      </c>
      <c r="AE55" s="16" t="n">
        <v>81480000</v>
      </c>
      <c r="AF55" s="16" t="n">
        <v>1360000</v>
      </c>
      <c r="AG55" s="16" t="n">
        <v>93746588.676478</v>
      </c>
      <c r="AH55" s="16" t="n">
        <v>8594554.41527432</v>
      </c>
    </row>
    <row r="56" customFormat="false" ht="15.75" hidden="false" customHeight="false" outlineLevel="0" collapsed="false">
      <c r="A56" s="27" t="n">
        <v>36812</v>
      </c>
      <c r="B56" s="16" t="n">
        <v>1250000</v>
      </c>
      <c r="C56" s="16" t="n">
        <v>4563600</v>
      </c>
      <c r="D56" s="16" t="n">
        <v>2136334</v>
      </c>
      <c r="E56" s="16" t="n">
        <v>429975</v>
      </c>
      <c r="F56" s="16" t="n">
        <v>12500000</v>
      </c>
      <c r="G56" s="16" t="n">
        <v>116115000</v>
      </c>
      <c r="H56" s="16" t="n">
        <v>1663000</v>
      </c>
      <c r="I56" s="16" t="n">
        <v>12878050</v>
      </c>
      <c r="J56" s="16" t="n">
        <v>1012500</v>
      </c>
      <c r="K56" s="16" t="n">
        <v>23507915</v>
      </c>
      <c r="L56" s="16" t="n">
        <v>10372212</v>
      </c>
      <c r="M56" s="16" t="n">
        <v>1302980</v>
      </c>
      <c r="N56" s="16" t="n">
        <v>3486752</v>
      </c>
      <c r="O56" s="16" t="n">
        <v>429210</v>
      </c>
      <c r="P56" s="16" t="n">
        <v>470790</v>
      </c>
      <c r="Q56" s="16" t="n">
        <v>27082500</v>
      </c>
      <c r="R56" s="16" t="n">
        <v>7121810</v>
      </c>
      <c r="S56" s="16" t="n">
        <v>5644007</v>
      </c>
      <c r="T56" s="16" t="n">
        <v>20916875</v>
      </c>
      <c r="U56" s="16" t="n">
        <v>2560525</v>
      </c>
      <c r="V56" s="16" t="n">
        <v>4774950</v>
      </c>
      <c r="W56" s="16" t="n">
        <v>2021597.43974959</v>
      </c>
      <c r="X56" s="16" t="n">
        <v>1374750</v>
      </c>
      <c r="Y56" s="16" t="n">
        <v>1803840</v>
      </c>
      <c r="Z56" s="16" t="n">
        <v>2300803</v>
      </c>
      <c r="AA56" s="16" t="n">
        <v>7483750</v>
      </c>
      <c r="AB56" s="16" t="n">
        <v>2343750</v>
      </c>
      <c r="AC56" s="16" t="n">
        <v>16316247</v>
      </c>
      <c r="AD56" s="16" t="n">
        <v>1050000</v>
      </c>
      <c r="AE56" s="16" t="n">
        <v>81480000</v>
      </c>
      <c r="AF56" s="16" t="n">
        <v>1360000</v>
      </c>
      <c r="AG56" s="16" t="n">
        <v>93746588.676478</v>
      </c>
      <c r="AH56" s="16" t="n">
        <v>8749730.59969742</v>
      </c>
    </row>
    <row r="57" customFormat="false" ht="15.75" hidden="false" customHeight="false" outlineLevel="0" collapsed="false">
      <c r="A57" s="27" t="n">
        <v>36815</v>
      </c>
      <c r="B57" s="16" t="n">
        <v>1250000</v>
      </c>
      <c r="C57" s="16" t="n">
        <v>4563600</v>
      </c>
      <c r="D57" s="16" t="n">
        <v>2136334</v>
      </c>
      <c r="E57" s="16" t="n">
        <v>429975</v>
      </c>
      <c r="F57" s="16" t="n">
        <v>12500000</v>
      </c>
      <c r="G57" s="16" t="n">
        <v>116115000</v>
      </c>
      <c r="H57" s="16" t="n">
        <v>1663000</v>
      </c>
      <c r="I57" s="16" t="n">
        <v>12878050</v>
      </c>
      <c r="J57" s="16" t="n">
        <v>1012500</v>
      </c>
      <c r="K57" s="16" t="n">
        <v>23507915</v>
      </c>
      <c r="L57" s="16" t="n">
        <v>10372212</v>
      </c>
      <c r="M57" s="16" t="n">
        <v>1302980</v>
      </c>
      <c r="N57" s="16" t="n">
        <v>3486752</v>
      </c>
      <c r="O57" s="16" t="n">
        <v>429210</v>
      </c>
      <c r="P57" s="16" t="n">
        <v>470790</v>
      </c>
      <c r="Q57" s="16" t="n">
        <v>27082500</v>
      </c>
      <c r="R57" s="16" t="n">
        <v>7121810</v>
      </c>
      <c r="S57" s="16" t="n">
        <v>5644007</v>
      </c>
      <c r="T57" s="16" t="n">
        <v>20916875</v>
      </c>
      <c r="U57" s="16" t="n">
        <v>2560525</v>
      </c>
      <c r="V57" s="16" t="n">
        <v>4774950</v>
      </c>
      <c r="W57" s="16" t="n">
        <v>2022929.29716649</v>
      </c>
      <c r="X57" s="16" t="n">
        <v>1374750</v>
      </c>
      <c r="Y57" s="16" t="n">
        <v>1803840</v>
      </c>
      <c r="Z57" s="16" t="n">
        <v>2300803</v>
      </c>
      <c r="AA57" s="16" t="n">
        <v>7483750</v>
      </c>
      <c r="AB57" s="16" t="n">
        <v>2343750</v>
      </c>
      <c r="AC57" s="16" t="n">
        <v>16316247</v>
      </c>
      <c r="AD57" s="16" t="n">
        <v>1050000</v>
      </c>
      <c r="AE57" s="16" t="n">
        <v>81480000</v>
      </c>
      <c r="AF57" s="16" t="n">
        <v>1360000</v>
      </c>
      <c r="AG57" s="16" t="n">
        <v>93746588.676478</v>
      </c>
      <c r="AH57" s="16" t="n">
        <v>8749730.59969742</v>
      </c>
    </row>
    <row r="58" customFormat="false" ht="15.75" hidden="false" customHeight="false" outlineLevel="0" collapsed="false">
      <c r="A58" s="27" t="n">
        <v>36816</v>
      </c>
      <c r="B58" s="16" t="n">
        <v>1250000</v>
      </c>
      <c r="C58" s="16" t="n">
        <v>4563600</v>
      </c>
      <c r="D58" s="16" t="n">
        <v>2136334</v>
      </c>
      <c r="E58" s="16" t="n">
        <v>429975</v>
      </c>
      <c r="F58" s="16" t="n">
        <v>12500000</v>
      </c>
      <c r="G58" s="16" t="n">
        <v>116115000</v>
      </c>
      <c r="H58" s="16" t="n">
        <v>1663000</v>
      </c>
      <c r="I58" s="16" t="n">
        <v>12878050</v>
      </c>
      <c r="J58" s="16" t="n">
        <v>1012500</v>
      </c>
      <c r="K58" s="16" t="n">
        <v>23507915</v>
      </c>
      <c r="L58" s="16" t="n">
        <v>10372212</v>
      </c>
      <c r="M58" s="16" t="n">
        <v>1302980</v>
      </c>
      <c r="N58" s="16" t="n">
        <v>3486752</v>
      </c>
      <c r="O58" s="16" t="n">
        <v>429210</v>
      </c>
      <c r="P58" s="16" t="n">
        <v>470790</v>
      </c>
      <c r="Q58" s="16" t="n">
        <v>27082500</v>
      </c>
      <c r="R58" s="16" t="n">
        <v>7121810</v>
      </c>
      <c r="S58" s="16" t="n">
        <v>5644007</v>
      </c>
      <c r="T58" s="16" t="n">
        <v>20916875</v>
      </c>
      <c r="U58" s="16" t="n">
        <v>2560525</v>
      </c>
      <c r="V58" s="16" t="n">
        <v>4774950</v>
      </c>
      <c r="W58" s="16" t="n">
        <v>2013591.65998389</v>
      </c>
      <c r="X58" s="16" t="n">
        <v>1374750</v>
      </c>
      <c r="Y58" s="16" t="n">
        <v>1803840</v>
      </c>
      <c r="Z58" s="16" t="n">
        <v>2300803</v>
      </c>
      <c r="AA58" s="16" t="n">
        <v>7483750</v>
      </c>
      <c r="AB58" s="16" t="n">
        <v>2343750</v>
      </c>
      <c r="AC58" s="16" t="n">
        <v>16316247</v>
      </c>
      <c r="AD58" s="16" t="n">
        <v>1050000</v>
      </c>
      <c r="AE58" s="16" t="n">
        <v>81480000</v>
      </c>
      <c r="AF58" s="16" t="n">
        <v>1360000</v>
      </c>
      <c r="AG58" s="16" t="n">
        <v>93746588.676478</v>
      </c>
      <c r="AH58" s="16" t="n">
        <v>8758398.66901056</v>
      </c>
    </row>
    <row r="59" customFormat="false" ht="15.75" hidden="false" customHeight="false" outlineLevel="0" collapsed="false">
      <c r="A59" s="27" t="n">
        <v>36817</v>
      </c>
      <c r="B59" s="16" t="n">
        <v>1250000</v>
      </c>
      <c r="C59" s="16" t="n">
        <v>4563600</v>
      </c>
      <c r="D59" s="16" t="n">
        <v>2136334</v>
      </c>
      <c r="E59" s="16" t="n">
        <v>429975</v>
      </c>
      <c r="F59" s="16" t="n">
        <v>12500000</v>
      </c>
      <c r="G59" s="16" t="n">
        <v>116115000</v>
      </c>
      <c r="H59" s="16" t="n">
        <v>1663000</v>
      </c>
      <c r="I59" s="16" t="n">
        <v>12878050</v>
      </c>
      <c r="J59" s="16" t="n">
        <v>1012500</v>
      </c>
      <c r="K59" s="16" t="n">
        <v>23507915</v>
      </c>
      <c r="L59" s="16" t="n">
        <v>10372212</v>
      </c>
      <c r="M59" s="16" t="n">
        <v>1302980</v>
      </c>
      <c r="N59" s="16" t="n">
        <v>3486752</v>
      </c>
      <c r="O59" s="16" t="n">
        <v>429210</v>
      </c>
      <c r="P59" s="16" t="n">
        <v>470790</v>
      </c>
      <c r="Q59" s="16" t="n">
        <v>27082500</v>
      </c>
      <c r="R59" s="16" t="n">
        <v>7121810</v>
      </c>
      <c r="S59" s="16" t="n">
        <v>5644007</v>
      </c>
      <c r="T59" s="16" t="n">
        <v>20916875</v>
      </c>
      <c r="U59" s="16" t="n">
        <v>2560525</v>
      </c>
      <c r="V59" s="16" t="n">
        <v>4774950</v>
      </c>
      <c r="W59" s="16" t="n">
        <v>2013591.65998389</v>
      </c>
      <c r="X59" s="16" t="n">
        <v>1374750</v>
      </c>
      <c r="Y59" s="16" t="n">
        <v>1803840</v>
      </c>
      <c r="Z59" s="16" t="n">
        <v>2300803</v>
      </c>
      <c r="AA59" s="16" t="n">
        <v>7483750</v>
      </c>
      <c r="AB59" s="16" t="n">
        <v>2343750</v>
      </c>
      <c r="AC59" s="16" t="n">
        <v>16316247</v>
      </c>
      <c r="AD59" s="16" t="n">
        <v>1050000</v>
      </c>
      <c r="AE59" s="16" t="n">
        <v>81480000</v>
      </c>
      <c r="AF59" s="16" t="n">
        <v>1360000</v>
      </c>
      <c r="AG59" s="16" t="n">
        <v>93746588.676478</v>
      </c>
      <c r="AH59" s="16" t="n">
        <v>8758398.66901056</v>
      </c>
    </row>
    <row r="60" customFormat="false" ht="15.75" hidden="false" customHeight="false" outlineLevel="0" collapsed="false">
      <c r="A60" s="27" t="n">
        <v>36818</v>
      </c>
      <c r="B60" s="16" t="n">
        <v>1250000</v>
      </c>
      <c r="C60" s="16" t="n">
        <v>4563600</v>
      </c>
      <c r="D60" s="16" t="n">
        <v>2136334</v>
      </c>
      <c r="E60" s="16" t="n">
        <v>429975</v>
      </c>
      <c r="F60" s="16" t="n">
        <v>12500000</v>
      </c>
      <c r="G60" s="16" t="n">
        <v>116115000</v>
      </c>
      <c r="H60" s="16" t="n">
        <v>1663000</v>
      </c>
      <c r="I60" s="16" t="n">
        <v>12878050</v>
      </c>
      <c r="J60" s="16" t="n">
        <v>1012500</v>
      </c>
      <c r="K60" s="16" t="n">
        <v>23507915</v>
      </c>
      <c r="L60" s="16" t="n">
        <v>10372212</v>
      </c>
      <c r="M60" s="16" t="n">
        <v>1302980</v>
      </c>
      <c r="N60" s="16" t="n">
        <v>3486752</v>
      </c>
      <c r="O60" s="16" t="n">
        <v>429210</v>
      </c>
      <c r="P60" s="16" t="n">
        <v>470790</v>
      </c>
      <c r="Q60" s="16" t="n">
        <v>27082500</v>
      </c>
      <c r="R60" s="16" t="n">
        <v>7121810</v>
      </c>
      <c r="S60" s="16" t="n">
        <v>5644007</v>
      </c>
      <c r="T60" s="16" t="n">
        <v>20916875</v>
      </c>
      <c r="U60" s="16" t="n">
        <v>2560525</v>
      </c>
      <c r="V60" s="16" t="n">
        <v>4774950</v>
      </c>
      <c r="W60" s="16" t="n">
        <v>2013591.65998389</v>
      </c>
      <c r="X60" s="16" t="n">
        <v>1374750</v>
      </c>
      <c r="Y60" s="16" t="n">
        <v>1803840</v>
      </c>
      <c r="Z60" s="16" t="n">
        <v>2300803</v>
      </c>
      <c r="AA60" s="16" t="n">
        <v>7483750</v>
      </c>
      <c r="AB60" s="16" t="n">
        <v>2343750</v>
      </c>
      <c r="AC60" s="16" t="n">
        <v>16316247</v>
      </c>
      <c r="AD60" s="16" t="n">
        <v>1050000</v>
      </c>
      <c r="AE60" s="16" t="n">
        <v>81480000</v>
      </c>
      <c r="AF60" s="16" t="n">
        <v>1360000</v>
      </c>
      <c r="AG60" s="16" t="n">
        <v>93746588.676478</v>
      </c>
      <c r="AH60" s="16" t="n">
        <v>8524443.8093858</v>
      </c>
    </row>
    <row r="61" customFormat="false" ht="15.75" hidden="false" customHeight="false" outlineLevel="0" collapsed="false">
      <c r="A61" s="27" t="n">
        <v>36819</v>
      </c>
      <c r="B61" s="16" t="n">
        <v>1250000</v>
      </c>
      <c r="C61" s="16" t="n">
        <v>4563600</v>
      </c>
      <c r="D61" s="16" t="n">
        <v>2136334</v>
      </c>
      <c r="E61" s="16" t="n">
        <v>429975</v>
      </c>
      <c r="F61" s="16" t="n">
        <v>12500000</v>
      </c>
      <c r="G61" s="16" t="n">
        <v>116115000</v>
      </c>
      <c r="H61" s="16" t="n">
        <v>1663000</v>
      </c>
      <c r="I61" s="16" t="n">
        <v>12878050</v>
      </c>
      <c r="J61" s="16" t="n">
        <v>1012500</v>
      </c>
      <c r="K61" s="16" t="n">
        <v>23507915</v>
      </c>
      <c r="L61" s="16" t="n">
        <v>10372212</v>
      </c>
      <c r="M61" s="16" t="n">
        <v>1302980</v>
      </c>
      <c r="N61" s="16" t="n">
        <v>3486752</v>
      </c>
      <c r="O61" s="16" t="n">
        <v>429210</v>
      </c>
      <c r="P61" s="16" t="n">
        <v>470790</v>
      </c>
      <c r="Q61" s="16" t="n">
        <v>27082500</v>
      </c>
      <c r="R61" s="16" t="n">
        <v>7121810</v>
      </c>
      <c r="S61" s="16" t="n">
        <v>5644007</v>
      </c>
      <c r="T61" s="16" t="n">
        <v>20916875</v>
      </c>
      <c r="U61" s="16" t="n">
        <v>2560525</v>
      </c>
      <c r="V61" s="16" t="n">
        <v>4774950</v>
      </c>
      <c r="W61" s="16" t="n">
        <v>2013591.65998389</v>
      </c>
      <c r="X61" s="16" t="n">
        <v>1374750</v>
      </c>
      <c r="Y61" s="16" t="n">
        <v>1803840</v>
      </c>
      <c r="Z61" s="16" t="n">
        <v>2300803</v>
      </c>
      <c r="AA61" s="16" t="n">
        <v>7483750</v>
      </c>
      <c r="AB61" s="16" t="n">
        <v>2343750</v>
      </c>
      <c r="AC61" s="16" t="n">
        <v>16316247</v>
      </c>
      <c r="AD61" s="16" t="n">
        <v>1050000</v>
      </c>
      <c r="AE61" s="16" t="n">
        <v>81480000</v>
      </c>
      <c r="AF61" s="16" t="n">
        <v>1360000</v>
      </c>
      <c r="AG61" s="16" t="n">
        <v>93746588.676478</v>
      </c>
      <c r="AH61" s="16" t="n">
        <v>8842991.7588454</v>
      </c>
    </row>
    <row r="62" customFormat="false" ht="15.75" hidden="false" customHeight="false" outlineLevel="0" collapsed="false">
      <c r="A62" s="27" t="n">
        <v>36822</v>
      </c>
      <c r="B62" s="16" t="n">
        <v>1250000</v>
      </c>
      <c r="C62" s="16" t="n">
        <v>4563600</v>
      </c>
      <c r="D62" s="16" t="n">
        <v>2136334</v>
      </c>
      <c r="E62" s="16" t="n">
        <v>429975</v>
      </c>
      <c r="F62" s="16" t="n">
        <v>12500000</v>
      </c>
      <c r="G62" s="16" t="n">
        <v>116115000</v>
      </c>
      <c r="H62" s="16" t="n">
        <v>1663000</v>
      </c>
      <c r="I62" s="16" t="n">
        <v>12878050</v>
      </c>
      <c r="J62" s="16" t="n">
        <v>1012500</v>
      </c>
      <c r="K62" s="16" t="n">
        <v>23507915</v>
      </c>
      <c r="L62" s="16" t="n">
        <v>10372212</v>
      </c>
      <c r="M62" s="16" t="n">
        <v>1302980</v>
      </c>
      <c r="N62" s="16" t="n">
        <v>3486752</v>
      </c>
      <c r="O62" s="16" t="n">
        <v>429210</v>
      </c>
      <c r="P62" s="16" t="n">
        <v>470790</v>
      </c>
      <c r="Q62" s="16" t="n">
        <v>27082500</v>
      </c>
      <c r="R62" s="16" t="n">
        <v>7121810</v>
      </c>
      <c r="S62" s="16" t="n">
        <v>5644007</v>
      </c>
      <c r="T62" s="16" t="n">
        <v>20916875</v>
      </c>
      <c r="U62" s="16" t="n">
        <v>2560525</v>
      </c>
      <c r="V62" s="16" t="n">
        <v>4774950</v>
      </c>
      <c r="W62" s="16" t="n">
        <v>2013591.65998389</v>
      </c>
      <c r="X62" s="16" t="n">
        <v>1374750</v>
      </c>
      <c r="Y62" s="16" t="n">
        <v>1803840</v>
      </c>
      <c r="Z62" s="16" t="n">
        <v>2300803</v>
      </c>
      <c r="AA62" s="16" t="n">
        <v>7483750</v>
      </c>
      <c r="AB62" s="16" t="n">
        <v>2343750</v>
      </c>
      <c r="AC62" s="16" t="n">
        <v>16316247</v>
      </c>
      <c r="AD62" s="16" t="n">
        <v>1050000</v>
      </c>
      <c r="AE62" s="16" t="n">
        <v>81480000</v>
      </c>
      <c r="AF62" s="16" t="n">
        <v>1360000</v>
      </c>
      <c r="AG62" s="16" t="n">
        <v>93746588.676478</v>
      </c>
      <c r="AH62" s="16" t="n">
        <v>8783368.25220707</v>
      </c>
    </row>
    <row r="63" customFormat="false" ht="15.75" hidden="false" customHeight="false" outlineLevel="0" collapsed="false">
      <c r="A63" s="27" t="n">
        <v>36823</v>
      </c>
      <c r="B63" s="16" t="n">
        <v>1250000</v>
      </c>
      <c r="C63" s="16" t="n">
        <v>4563600</v>
      </c>
      <c r="D63" s="16" t="n">
        <v>2136334</v>
      </c>
      <c r="E63" s="16" t="n">
        <v>429975</v>
      </c>
      <c r="F63" s="16" t="n">
        <v>12500000</v>
      </c>
      <c r="G63" s="16" t="n">
        <v>116115000</v>
      </c>
      <c r="H63" s="16" t="n">
        <v>1663000</v>
      </c>
      <c r="I63" s="16" t="n">
        <v>12878050</v>
      </c>
      <c r="J63" s="16" t="n">
        <v>1012500</v>
      </c>
      <c r="K63" s="16" t="n">
        <v>23507915</v>
      </c>
      <c r="L63" s="16" t="n">
        <v>10372212</v>
      </c>
      <c r="M63" s="16" t="n">
        <v>1302980</v>
      </c>
      <c r="N63" s="16" t="n">
        <v>3486752</v>
      </c>
      <c r="O63" s="16" t="n">
        <v>429210</v>
      </c>
      <c r="P63" s="16" t="n">
        <v>470790</v>
      </c>
      <c r="Q63" s="16" t="n">
        <v>27082500</v>
      </c>
      <c r="R63" s="16" t="n">
        <v>7121810</v>
      </c>
      <c r="S63" s="16" t="n">
        <v>5644007</v>
      </c>
      <c r="T63" s="16" t="n">
        <v>20916875</v>
      </c>
      <c r="U63" s="16" t="n">
        <v>2560525</v>
      </c>
      <c r="V63" s="16" t="n">
        <v>4774950</v>
      </c>
      <c r="W63" s="16" t="n">
        <v>2013591.65998389</v>
      </c>
      <c r="X63" s="16" t="n">
        <v>1374750</v>
      </c>
      <c r="Y63" s="16" t="n">
        <v>1803840</v>
      </c>
      <c r="Z63" s="16" t="n">
        <v>2300803</v>
      </c>
      <c r="AA63" s="16" t="n">
        <v>7483750</v>
      </c>
      <c r="AB63" s="16" t="n">
        <v>2343750</v>
      </c>
      <c r="AC63" s="16" t="n">
        <v>16316247</v>
      </c>
      <c r="AD63" s="16" t="n">
        <v>1050000</v>
      </c>
      <c r="AE63" s="16" t="n">
        <v>81480000</v>
      </c>
      <c r="AF63" s="16" t="n">
        <v>1360000</v>
      </c>
      <c r="AG63" s="16" t="n">
        <v>93746588.676478</v>
      </c>
      <c r="AH63" s="16" t="n">
        <v>8768414.75621322</v>
      </c>
    </row>
    <row r="64" customFormat="false" ht="15.75" hidden="false" customHeight="false" outlineLevel="0" collapsed="false">
      <c r="A64" s="27" t="n">
        <v>36824</v>
      </c>
      <c r="B64" s="16" t="n">
        <v>1250000</v>
      </c>
      <c r="C64" s="16" t="n">
        <v>4563600</v>
      </c>
      <c r="D64" s="16" t="n">
        <v>2136334</v>
      </c>
      <c r="E64" s="16" t="n">
        <v>429975</v>
      </c>
      <c r="F64" s="16" t="n">
        <v>12500000</v>
      </c>
      <c r="G64" s="16" t="n">
        <v>116115000</v>
      </c>
      <c r="H64" s="16" t="n">
        <v>1663000</v>
      </c>
      <c r="I64" s="16" t="n">
        <v>12878050</v>
      </c>
      <c r="J64" s="16" t="n">
        <v>1012500</v>
      </c>
      <c r="K64" s="16" t="n">
        <v>23507915</v>
      </c>
      <c r="L64" s="16" t="n">
        <v>10372212</v>
      </c>
      <c r="M64" s="16" t="n">
        <v>1302980</v>
      </c>
      <c r="N64" s="16" t="n">
        <v>3486752</v>
      </c>
      <c r="O64" s="16" t="n">
        <v>429210</v>
      </c>
      <c r="P64" s="16" t="n">
        <v>470790</v>
      </c>
      <c r="Q64" s="16" t="n">
        <v>27082500</v>
      </c>
      <c r="R64" s="16" t="n">
        <v>7121810</v>
      </c>
      <c r="S64" s="16" t="n">
        <v>5644007</v>
      </c>
      <c r="T64" s="16" t="n">
        <v>20916875</v>
      </c>
      <c r="U64" s="16" t="n">
        <v>2560525</v>
      </c>
      <c r="V64" s="16" t="n">
        <v>4774950</v>
      </c>
      <c r="W64" s="16" t="n">
        <v>2013591.65998389</v>
      </c>
      <c r="X64" s="16" t="n">
        <v>1374750</v>
      </c>
      <c r="Y64" s="16" t="n">
        <v>1803840</v>
      </c>
      <c r="Z64" s="16" t="n">
        <v>2300803</v>
      </c>
      <c r="AA64" s="16" t="n">
        <v>7483750</v>
      </c>
      <c r="AB64" s="16" t="n">
        <v>2343750</v>
      </c>
      <c r="AC64" s="16" t="n">
        <v>16316247</v>
      </c>
      <c r="AD64" s="16" t="n">
        <v>1050000</v>
      </c>
      <c r="AE64" s="16" t="n">
        <v>81480000</v>
      </c>
      <c r="AF64" s="16" t="n">
        <v>1360000</v>
      </c>
      <c r="AG64" s="16" t="n">
        <v>93746588.676478</v>
      </c>
      <c r="AH64" s="16" t="n">
        <v>8606783.39550135</v>
      </c>
    </row>
    <row r="65" customFormat="false" ht="15.75" hidden="false" customHeight="false" outlineLevel="0" collapsed="false">
      <c r="A65" s="27" t="n">
        <v>36825</v>
      </c>
      <c r="B65" s="16" t="n">
        <v>1250000</v>
      </c>
      <c r="C65" s="16" t="n">
        <v>4563600</v>
      </c>
      <c r="D65" s="16" t="n">
        <v>2136334</v>
      </c>
      <c r="E65" s="16" t="n">
        <v>429975</v>
      </c>
      <c r="F65" s="16" t="n">
        <v>12500000</v>
      </c>
      <c r="G65" s="16" t="n">
        <v>116115000</v>
      </c>
      <c r="H65" s="16" t="n">
        <v>1663000</v>
      </c>
      <c r="I65" s="16" t="n">
        <v>12878050</v>
      </c>
      <c r="J65" s="16" t="n">
        <v>1012500</v>
      </c>
      <c r="K65" s="16" t="n">
        <v>23507915.0000001</v>
      </c>
      <c r="L65" s="16" t="n">
        <v>10372212</v>
      </c>
      <c r="M65" s="16" t="n">
        <v>1302980</v>
      </c>
      <c r="N65" s="16" t="n">
        <v>3486752</v>
      </c>
      <c r="O65" s="16" t="n">
        <v>429210</v>
      </c>
      <c r="P65" s="16" t="n">
        <v>470790</v>
      </c>
      <c r="Q65" s="16" t="n">
        <v>27082500</v>
      </c>
      <c r="R65" s="16" t="n">
        <v>7121810</v>
      </c>
      <c r="S65" s="16" t="n">
        <v>5644007</v>
      </c>
      <c r="T65" s="16" t="n">
        <v>20916875</v>
      </c>
      <c r="U65" s="16" t="n">
        <v>2560525</v>
      </c>
      <c r="V65" s="16" t="n">
        <v>4774950</v>
      </c>
      <c r="W65" s="16" t="n">
        <v>2013591.65998389</v>
      </c>
      <c r="X65" s="16" t="n">
        <v>1374750</v>
      </c>
      <c r="Y65" s="16" t="n">
        <v>1803840</v>
      </c>
      <c r="Z65" s="16" t="n">
        <v>2300803</v>
      </c>
      <c r="AA65" s="16" t="n">
        <v>7483750</v>
      </c>
      <c r="AB65" s="16" t="n">
        <v>2343750</v>
      </c>
      <c r="AC65" s="16" t="n">
        <v>16316247</v>
      </c>
      <c r="AD65" s="16" t="n">
        <v>1050000</v>
      </c>
      <c r="AE65" s="16" t="n">
        <v>81480000</v>
      </c>
      <c r="AF65" s="16" t="n">
        <v>1360000</v>
      </c>
      <c r="AG65" s="16" t="n">
        <v>93746588.676478</v>
      </c>
      <c r="AH65" s="16" t="n">
        <v>8460895.60573688</v>
      </c>
    </row>
    <row r="66" customFormat="false" ht="15.75" hidden="false" customHeight="false" outlineLevel="0" collapsed="false">
      <c r="A66" s="27" t="n">
        <v>36826</v>
      </c>
      <c r="B66" s="16" t="n">
        <v>1250000</v>
      </c>
      <c r="C66" s="16" t="n">
        <v>4563600</v>
      </c>
      <c r="D66" s="16" t="n">
        <v>2136334</v>
      </c>
      <c r="E66" s="16" t="n">
        <v>429975</v>
      </c>
      <c r="F66" s="16" t="n">
        <v>12500000</v>
      </c>
      <c r="G66" s="16" t="n">
        <v>116115000</v>
      </c>
      <c r="H66" s="16" t="n">
        <v>1663000</v>
      </c>
      <c r="I66" s="16" t="n">
        <v>12878050</v>
      </c>
      <c r="J66" s="16" t="n">
        <v>1012500</v>
      </c>
      <c r="K66" s="16" t="n">
        <v>23507915.0000001</v>
      </c>
      <c r="L66" s="16" t="n">
        <v>10372212</v>
      </c>
      <c r="M66" s="16" t="n">
        <v>1302980</v>
      </c>
      <c r="N66" s="16" t="n">
        <v>3486752</v>
      </c>
      <c r="O66" s="16" t="n">
        <v>429210</v>
      </c>
      <c r="P66" s="16" t="n">
        <v>470790</v>
      </c>
      <c r="Q66" s="16" t="n">
        <v>27082500</v>
      </c>
      <c r="R66" s="16" t="n">
        <v>7121810</v>
      </c>
      <c r="S66" s="16" t="n">
        <v>5644007</v>
      </c>
      <c r="T66" s="16" t="n">
        <v>20916875</v>
      </c>
      <c r="U66" s="16" t="n">
        <v>2560525</v>
      </c>
      <c r="V66" s="16" t="n">
        <v>4774950</v>
      </c>
      <c r="W66" s="16" t="n">
        <v>2013591.65998389</v>
      </c>
      <c r="X66" s="16" t="n">
        <v>1374750</v>
      </c>
      <c r="Y66" s="16" t="n">
        <v>1803840</v>
      </c>
      <c r="Z66" s="16" t="n">
        <v>2300803</v>
      </c>
      <c r="AA66" s="16" t="n">
        <v>7483750</v>
      </c>
      <c r="AB66" s="16" t="n">
        <v>2343750</v>
      </c>
      <c r="AC66" s="16" t="n">
        <v>16316247</v>
      </c>
      <c r="AD66" s="16" t="n">
        <v>1050000</v>
      </c>
      <c r="AE66" s="16" t="n">
        <v>81480000</v>
      </c>
      <c r="AF66" s="16" t="n">
        <v>1360000</v>
      </c>
      <c r="AG66" s="16" t="n">
        <v>93746588.676478</v>
      </c>
      <c r="AH66" s="16" t="n">
        <v>8598647.29872817</v>
      </c>
    </row>
    <row r="67" customFormat="false" ht="15.75" hidden="false" customHeight="false" outlineLevel="0" collapsed="false">
      <c r="A67" s="27" t="n">
        <v>36829</v>
      </c>
      <c r="B67" s="16" t="n">
        <v>1250000</v>
      </c>
      <c r="C67" s="16" t="n">
        <v>4563600</v>
      </c>
      <c r="D67" s="16" t="n">
        <v>2136334</v>
      </c>
      <c r="E67" s="16" t="n">
        <v>429975</v>
      </c>
      <c r="F67" s="16" t="n">
        <v>12500000</v>
      </c>
      <c r="G67" s="16" t="n">
        <v>116115000</v>
      </c>
      <c r="H67" s="16" t="n">
        <v>1663000</v>
      </c>
      <c r="I67" s="16" t="n">
        <v>12878050</v>
      </c>
      <c r="J67" s="16" t="n">
        <v>1012500</v>
      </c>
      <c r="K67" s="16" t="n">
        <v>23507915.0000001</v>
      </c>
      <c r="L67" s="16" t="n">
        <v>10372212</v>
      </c>
      <c r="M67" s="16" t="n">
        <v>1302980</v>
      </c>
      <c r="N67" s="16" t="n">
        <v>3486752</v>
      </c>
      <c r="O67" s="16" t="n">
        <v>429210</v>
      </c>
      <c r="P67" s="16" t="n">
        <v>470790</v>
      </c>
      <c r="Q67" s="16" t="n">
        <v>27082500</v>
      </c>
      <c r="R67" s="16" t="n">
        <v>7121810</v>
      </c>
      <c r="S67" s="16" t="n">
        <v>5644007</v>
      </c>
      <c r="T67" s="16" t="n">
        <v>20916875</v>
      </c>
      <c r="U67" s="16" t="n">
        <v>2560525</v>
      </c>
      <c r="V67" s="16" t="n">
        <v>4774950</v>
      </c>
      <c r="W67" s="16" t="n">
        <v>2013591.65998389</v>
      </c>
      <c r="X67" s="16" t="n">
        <v>1374750</v>
      </c>
      <c r="Y67" s="16" t="n">
        <v>1803840</v>
      </c>
      <c r="Z67" s="16" t="n">
        <v>2300803</v>
      </c>
      <c r="AA67" s="16" t="n">
        <v>7483750</v>
      </c>
      <c r="AB67" s="16" t="n">
        <v>2343750</v>
      </c>
      <c r="AC67" s="16" t="n">
        <v>16316247</v>
      </c>
      <c r="AD67" s="16" t="n">
        <v>1050000</v>
      </c>
      <c r="AE67" s="16" t="n">
        <v>81480000</v>
      </c>
      <c r="AF67" s="16" t="n">
        <v>1360000</v>
      </c>
      <c r="AG67" s="16" t="n">
        <v>93746588.676478</v>
      </c>
      <c r="AH67" s="16" t="n">
        <v>8365770.84543028</v>
      </c>
    </row>
    <row r="68" customFormat="false" ht="15.75" hidden="false" customHeight="false" outlineLevel="0" collapsed="false">
      <c r="A68" s="27" t="n">
        <v>36830</v>
      </c>
      <c r="B68" s="16" t="n">
        <v>1250000</v>
      </c>
      <c r="C68" s="16" t="n">
        <v>4563600</v>
      </c>
      <c r="D68" s="16" t="n">
        <v>2136334</v>
      </c>
      <c r="E68" s="16" t="n">
        <v>429975</v>
      </c>
      <c r="F68" s="16" t="n">
        <v>12500000</v>
      </c>
      <c r="G68" s="16" t="n">
        <v>116115000</v>
      </c>
      <c r="H68" s="16" t="n">
        <v>1663000</v>
      </c>
      <c r="I68" s="16" t="n">
        <v>12878050</v>
      </c>
      <c r="J68" s="16" t="n">
        <v>1012500</v>
      </c>
      <c r="K68" s="16" t="n">
        <v>23507915.0000001</v>
      </c>
      <c r="L68" s="16" t="n">
        <v>10372212</v>
      </c>
      <c r="M68" s="16" t="n">
        <v>1302980</v>
      </c>
      <c r="N68" s="16" t="n">
        <v>3486752</v>
      </c>
      <c r="O68" s="16" t="n">
        <v>429210</v>
      </c>
      <c r="P68" s="16" t="n">
        <v>470790</v>
      </c>
      <c r="Q68" s="16" t="n">
        <v>27082500</v>
      </c>
      <c r="R68" s="16" t="n">
        <v>7121810</v>
      </c>
      <c r="S68" s="16" t="n">
        <v>5644007</v>
      </c>
      <c r="T68" s="16" t="n">
        <v>20916875</v>
      </c>
      <c r="U68" s="16" t="n">
        <v>2560525</v>
      </c>
      <c r="V68" s="16" t="n">
        <v>4774950</v>
      </c>
      <c r="W68" s="16" t="n">
        <v>2013591.65998389</v>
      </c>
      <c r="X68" s="16" t="n">
        <v>1374750</v>
      </c>
      <c r="Y68" s="16" t="n">
        <v>1803840</v>
      </c>
      <c r="Z68" s="16" t="n">
        <v>2300803</v>
      </c>
      <c r="AA68" s="16" t="n">
        <v>7483750</v>
      </c>
      <c r="AB68" s="16" t="n">
        <v>2343750</v>
      </c>
      <c r="AC68" s="16" t="n">
        <v>16316247</v>
      </c>
      <c r="AD68" s="16" t="n">
        <v>1050000</v>
      </c>
      <c r="AE68" s="16" t="n">
        <v>81480000</v>
      </c>
      <c r="AF68" s="16" t="n">
        <v>1360000</v>
      </c>
      <c r="AG68" s="16" t="n">
        <v>93746588.676478</v>
      </c>
      <c r="AH68" s="16" t="n">
        <v>8324132.18827278</v>
      </c>
    </row>
    <row r="69" customFormat="false" ht="15.75" hidden="false" customHeight="false" outlineLevel="0" collapsed="false">
      <c r="A69" s="27" t="n">
        <v>36831</v>
      </c>
      <c r="B69" s="16" t="n">
        <v>1250000</v>
      </c>
      <c r="C69" s="16" t="n">
        <v>4563600</v>
      </c>
      <c r="D69" s="16" t="n">
        <v>2136334</v>
      </c>
      <c r="E69" s="16" t="n">
        <v>429975</v>
      </c>
      <c r="F69" s="16" t="n">
        <f aca="false">12500000+65507.43</f>
        <v>12565507.43</v>
      </c>
      <c r="G69" s="16" t="n">
        <v>116115000</v>
      </c>
      <c r="H69" s="16" t="n">
        <v>1663000</v>
      </c>
      <c r="I69" s="16" t="n">
        <v>12878050</v>
      </c>
      <c r="J69" s="16" t="n">
        <v>1012500</v>
      </c>
      <c r="K69" s="16" t="n">
        <v>23507915.0000001</v>
      </c>
      <c r="L69" s="16" t="n">
        <v>10372212</v>
      </c>
      <c r="M69" s="16" t="n">
        <v>1302980</v>
      </c>
      <c r="N69" s="16" t="n">
        <v>3486752</v>
      </c>
      <c r="O69" s="16" t="n">
        <v>429210</v>
      </c>
      <c r="P69" s="16" t="n">
        <v>470790</v>
      </c>
      <c r="Q69" s="16" t="n">
        <v>27082500</v>
      </c>
      <c r="R69" s="16" t="n">
        <v>7121810</v>
      </c>
      <c r="S69" s="16" t="n">
        <v>5644007</v>
      </c>
      <c r="T69" s="16" t="n">
        <v>20916875</v>
      </c>
      <c r="U69" s="16" t="n">
        <v>2560525</v>
      </c>
      <c r="V69" s="16" t="n">
        <v>4774950</v>
      </c>
      <c r="W69" s="16" t="n">
        <v>2013591.65998389</v>
      </c>
      <c r="X69" s="16" t="n">
        <v>1374750</v>
      </c>
      <c r="Y69" s="16" t="n">
        <v>1803840</v>
      </c>
      <c r="Z69" s="16" t="n">
        <v>2300803</v>
      </c>
      <c r="AA69" s="16" t="n">
        <v>7483750</v>
      </c>
      <c r="AB69" s="16" t="n">
        <v>2343750</v>
      </c>
      <c r="AC69" s="16" t="n">
        <v>16316247</v>
      </c>
      <c r="AD69" s="16" t="n">
        <v>1050000</v>
      </c>
      <c r="AE69" s="16" t="n">
        <v>81480000</v>
      </c>
      <c r="AF69" s="16" t="n">
        <v>1360000</v>
      </c>
      <c r="AG69" s="16" t="n">
        <v>93746588.676478</v>
      </c>
      <c r="AH69" s="16" t="n">
        <v>8325490.2362823</v>
      </c>
    </row>
    <row r="70" customFormat="false" ht="15.75" hidden="false" customHeight="false" outlineLevel="0" collapsed="false">
      <c r="A70" s="27" t="n">
        <v>36832</v>
      </c>
      <c r="B70" s="16" t="n">
        <v>1250000</v>
      </c>
      <c r="C70" s="16" t="n">
        <v>4563600</v>
      </c>
      <c r="D70" s="16" t="n">
        <v>2136334</v>
      </c>
      <c r="E70" s="16" t="n">
        <v>429975</v>
      </c>
      <c r="F70" s="16" t="n">
        <v>0</v>
      </c>
      <c r="G70" s="16" t="n">
        <v>116115000</v>
      </c>
      <c r="H70" s="16" t="n">
        <v>1663000</v>
      </c>
      <c r="I70" s="16" t="n">
        <v>12878050</v>
      </c>
      <c r="J70" s="16" t="n">
        <v>1012500</v>
      </c>
      <c r="K70" s="16" t="n">
        <v>23507915.0000001</v>
      </c>
      <c r="L70" s="16" t="n">
        <v>10372212</v>
      </c>
      <c r="M70" s="16" t="n">
        <v>1302980</v>
      </c>
      <c r="N70" s="16" t="n">
        <v>3486752</v>
      </c>
      <c r="O70" s="16" t="n">
        <v>429210</v>
      </c>
      <c r="P70" s="16" t="n">
        <v>470790</v>
      </c>
      <c r="Q70" s="16" t="n">
        <v>27082500</v>
      </c>
      <c r="R70" s="16" t="n">
        <v>7121810</v>
      </c>
      <c r="S70" s="16" t="n">
        <v>5644007</v>
      </c>
      <c r="T70" s="16" t="n">
        <v>20916875</v>
      </c>
      <c r="U70" s="16" t="n">
        <v>2560525</v>
      </c>
      <c r="V70" s="16" t="n">
        <v>4774950</v>
      </c>
      <c r="W70" s="16" t="n">
        <v>2013591.65998389</v>
      </c>
      <c r="X70" s="16" t="n">
        <v>1374750</v>
      </c>
      <c r="Y70" s="16" t="n">
        <v>1803840</v>
      </c>
      <c r="Z70" s="16" t="n">
        <v>2300803</v>
      </c>
      <c r="AA70" s="16" t="n">
        <v>7483750</v>
      </c>
      <c r="AB70" s="16" t="n">
        <v>2343750</v>
      </c>
      <c r="AC70" s="16" t="n">
        <v>16316247</v>
      </c>
      <c r="AD70" s="16" t="n">
        <v>1050000</v>
      </c>
      <c r="AE70" s="16" t="n">
        <v>81480000</v>
      </c>
      <c r="AF70" s="16" t="n">
        <v>1360000</v>
      </c>
      <c r="AG70" s="16" t="n">
        <v>93746588.676478</v>
      </c>
      <c r="AH70" s="16" t="n">
        <v>8698547.7956845</v>
      </c>
    </row>
    <row r="71" customFormat="false" ht="15.75" hidden="false" customHeight="false" outlineLevel="0" collapsed="false">
      <c r="A71" s="27" t="n">
        <v>36833</v>
      </c>
      <c r="B71" s="16" t="n">
        <v>1250000</v>
      </c>
      <c r="C71" s="16" t="n">
        <v>4563600</v>
      </c>
      <c r="D71" s="16" t="n">
        <v>2136334</v>
      </c>
      <c r="E71" s="16" t="n">
        <v>429975</v>
      </c>
      <c r="F71" s="16" t="n">
        <v>0</v>
      </c>
      <c r="G71" s="16" t="n">
        <v>116115000</v>
      </c>
      <c r="H71" s="16" t="n">
        <v>1663000</v>
      </c>
      <c r="I71" s="16" t="n">
        <v>12878050</v>
      </c>
      <c r="J71" s="16" t="n">
        <v>1012500</v>
      </c>
      <c r="K71" s="16" t="n">
        <v>23507915.0000001</v>
      </c>
      <c r="L71" s="16" t="n">
        <v>10372212</v>
      </c>
      <c r="M71" s="16" t="n">
        <v>1302980</v>
      </c>
      <c r="N71" s="16" t="n">
        <v>3486752</v>
      </c>
      <c r="O71" s="16" t="n">
        <v>429210</v>
      </c>
      <c r="P71" s="16" t="n">
        <v>470790</v>
      </c>
      <c r="Q71" s="16" t="n">
        <v>27082500</v>
      </c>
      <c r="R71" s="16" t="n">
        <v>7121810</v>
      </c>
      <c r="S71" s="16" t="n">
        <v>5644007</v>
      </c>
      <c r="T71" s="16" t="n">
        <v>20916875</v>
      </c>
      <c r="U71" s="16" t="n">
        <v>2560525</v>
      </c>
      <c r="V71" s="16" t="n">
        <v>4774950</v>
      </c>
      <c r="W71" s="16" t="n">
        <v>2013591.65998389</v>
      </c>
      <c r="X71" s="16" t="n">
        <v>1374750</v>
      </c>
      <c r="Y71" s="16" t="n">
        <v>1803840</v>
      </c>
      <c r="Z71" s="16" t="n">
        <v>2300803</v>
      </c>
      <c r="AA71" s="16" t="n">
        <v>7483750</v>
      </c>
      <c r="AB71" s="16" t="n">
        <v>2343750</v>
      </c>
      <c r="AC71" s="16" t="n">
        <v>16316247</v>
      </c>
      <c r="AD71" s="16" t="n">
        <v>1050000</v>
      </c>
      <c r="AE71" s="16" t="n">
        <v>81480000</v>
      </c>
      <c r="AF71" s="16" t="n">
        <v>1360000</v>
      </c>
      <c r="AG71" s="16" t="n">
        <v>93746588.676478</v>
      </c>
      <c r="AH71" s="16" t="n">
        <v>8698547.7956845</v>
      </c>
    </row>
    <row r="72" customFormat="false" ht="15.75" hidden="false" customHeight="false" outlineLevel="0" collapsed="false">
      <c r="A72" s="27" t="n">
        <v>36836</v>
      </c>
      <c r="B72" s="16" t="n">
        <v>1250000</v>
      </c>
      <c r="C72" s="16" t="n">
        <v>4563600</v>
      </c>
      <c r="D72" s="16" t="n">
        <v>2136334</v>
      </c>
      <c r="E72" s="16" t="n">
        <v>429975</v>
      </c>
      <c r="F72" s="16" t="n">
        <v>0</v>
      </c>
      <c r="G72" s="16" t="n">
        <v>116115000</v>
      </c>
      <c r="H72" s="16" t="n">
        <v>1663000</v>
      </c>
      <c r="I72" s="16" t="n">
        <v>12878050</v>
      </c>
      <c r="J72" s="16" t="n">
        <v>1012500</v>
      </c>
      <c r="K72" s="16" t="n">
        <v>23507915.0000001</v>
      </c>
      <c r="L72" s="16" t="n">
        <v>10372212</v>
      </c>
      <c r="M72" s="16" t="n">
        <v>1302980</v>
      </c>
      <c r="N72" s="16" t="n">
        <v>3486752</v>
      </c>
      <c r="O72" s="16" t="n">
        <v>429210</v>
      </c>
      <c r="P72" s="16" t="n">
        <v>470790</v>
      </c>
      <c r="Q72" s="16" t="n">
        <v>27082500</v>
      </c>
      <c r="R72" s="16" t="n">
        <v>7121810</v>
      </c>
      <c r="S72" s="16" t="n">
        <v>5644007</v>
      </c>
      <c r="T72" s="16" t="n">
        <v>20916875</v>
      </c>
      <c r="U72" s="16" t="n">
        <v>2560525</v>
      </c>
      <c r="V72" s="16" t="n">
        <v>4774950</v>
      </c>
      <c r="W72" s="16" t="n">
        <v>2013591.65998389</v>
      </c>
      <c r="X72" s="16" t="n">
        <v>1374750</v>
      </c>
      <c r="Y72" s="16" t="n">
        <v>1803840</v>
      </c>
      <c r="Z72" s="16" t="n">
        <v>2300803</v>
      </c>
      <c r="AA72" s="16" t="n">
        <v>7483750</v>
      </c>
      <c r="AB72" s="16" t="n">
        <v>2343750</v>
      </c>
      <c r="AC72" s="16" t="n">
        <v>16316247</v>
      </c>
      <c r="AD72" s="16" t="n">
        <v>1050000</v>
      </c>
      <c r="AE72" s="16" t="n">
        <v>81480000</v>
      </c>
      <c r="AF72" s="16" t="n">
        <v>1360000</v>
      </c>
      <c r="AG72" s="16" t="n">
        <v>93746588.676478</v>
      </c>
      <c r="AH72" s="16" t="n">
        <v>9170660.16958427</v>
      </c>
    </row>
    <row r="73" customFormat="false" ht="15.75" hidden="false" customHeight="false" outlineLevel="0" collapsed="false">
      <c r="A73" s="27" t="n">
        <v>36837</v>
      </c>
      <c r="B73" s="16" t="n">
        <v>1250000</v>
      </c>
      <c r="C73" s="16" t="n">
        <v>4563600</v>
      </c>
      <c r="D73" s="16" t="n">
        <v>2136334</v>
      </c>
      <c r="E73" s="16" t="n">
        <v>429975</v>
      </c>
      <c r="F73" s="16" t="n">
        <v>0</v>
      </c>
      <c r="G73" s="16" t="n">
        <v>116115000</v>
      </c>
      <c r="H73" s="16" t="n">
        <v>1663000</v>
      </c>
      <c r="I73" s="16" t="n">
        <v>12878050</v>
      </c>
      <c r="J73" s="16" t="n">
        <v>1012500</v>
      </c>
      <c r="K73" s="16" t="n">
        <v>23507915.0000001</v>
      </c>
      <c r="L73" s="16" t="n">
        <v>10372212</v>
      </c>
      <c r="M73" s="16" t="n">
        <v>1302980</v>
      </c>
      <c r="N73" s="16" t="n">
        <v>3486752</v>
      </c>
      <c r="O73" s="16" t="n">
        <v>429210</v>
      </c>
      <c r="P73" s="16" t="n">
        <v>470790</v>
      </c>
      <c r="Q73" s="16" t="n">
        <v>27082500</v>
      </c>
      <c r="R73" s="16" t="n">
        <v>7121810</v>
      </c>
      <c r="S73" s="16" t="n">
        <v>5644007</v>
      </c>
      <c r="T73" s="16" t="n">
        <v>20916875</v>
      </c>
      <c r="U73" s="16" t="n">
        <v>2560525</v>
      </c>
      <c r="V73" s="16" t="n">
        <v>4774950</v>
      </c>
      <c r="W73" s="16" t="n">
        <v>2013591.65998389</v>
      </c>
      <c r="X73" s="16" t="n">
        <v>1374750</v>
      </c>
      <c r="Y73" s="16" t="n">
        <v>1803840</v>
      </c>
      <c r="Z73" s="16" t="n">
        <v>2300803</v>
      </c>
      <c r="AA73" s="16" t="n">
        <v>7483750</v>
      </c>
      <c r="AB73" s="16" t="n">
        <v>2343750</v>
      </c>
      <c r="AC73" s="16" t="n">
        <v>16316247</v>
      </c>
      <c r="AD73" s="16" t="n">
        <v>1050000</v>
      </c>
      <c r="AE73" s="16" t="n">
        <v>81480000</v>
      </c>
      <c r="AF73" s="16" t="n">
        <v>1360000</v>
      </c>
      <c r="AG73" s="16" t="n">
        <v>93746588.676478</v>
      </c>
      <c r="AH73" s="16" t="n">
        <v>8903465.9873355</v>
      </c>
    </row>
    <row r="74" customFormat="false" ht="15.75" hidden="false" customHeight="false" outlineLevel="0" collapsed="false">
      <c r="A74" s="27" t="n">
        <v>36838</v>
      </c>
      <c r="B74" s="16" t="n">
        <v>1250000</v>
      </c>
      <c r="C74" s="16" t="n">
        <v>4563600</v>
      </c>
      <c r="D74" s="16" t="n">
        <v>2136334</v>
      </c>
      <c r="E74" s="16" t="n">
        <v>429975</v>
      </c>
      <c r="F74" s="16" t="n">
        <v>0</v>
      </c>
      <c r="G74" s="16" t="n">
        <v>116115000</v>
      </c>
      <c r="H74" s="16" t="n">
        <v>1663000</v>
      </c>
      <c r="I74" s="16" t="n">
        <v>12878050</v>
      </c>
      <c r="J74" s="16" t="n">
        <v>1012500</v>
      </c>
      <c r="K74" s="16" t="n">
        <v>23507915.0000001</v>
      </c>
      <c r="L74" s="16" t="n">
        <v>10372212</v>
      </c>
      <c r="M74" s="16" t="n">
        <v>1302980</v>
      </c>
      <c r="N74" s="16" t="n">
        <v>3486752</v>
      </c>
      <c r="O74" s="16" t="n">
        <v>429210</v>
      </c>
      <c r="P74" s="16" t="n">
        <v>470790</v>
      </c>
      <c r="Q74" s="16" t="n">
        <v>27082500</v>
      </c>
      <c r="R74" s="16" t="n">
        <v>7121810</v>
      </c>
      <c r="S74" s="16" t="n">
        <v>5644007</v>
      </c>
      <c r="T74" s="16" t="n">
        <v>20916875</v>
      </c>
      <c r="U74" s="16" t="n">
        <v>2560525</v>
      </c>
      <c r="V74" s="16" t="n">
        <v>4774950</v>
      </c>
      <c r="W74" s="16" t="n">
        <v>2013591.65998389</v>
      </c>
      <c r="X74" s="16" t="n">
        <v>1374750</v>
      </c>
      <c r="Y74" s="16" t="n">
        <v>1803840</v>
      </c>
      <c r="Z74" s="16" t="n">
        <v>2300803</v>
      </c>
      <c r="AA74" s="16" t="n">
        <v>7483750</v>
      </c>
      <c r="AB74" s="16" t="n">
        <v>2343750</v>
      </c>
      <c r="AC74" s="16" t="n">
        <v>16316247</v>
      </c>
      <c r="AD74" s="16" t="n">
        <v>1050000</v>
      </c>
      <c r="AE74" s="16" t="n">
        <v>81480000</v>
      </c>
      <c r="AF74" s="16" t="n">
        <v>1360000</v>
      </c>
      <c r="AG74" s="16" t="n">
        <v>93746588.676478</v>
      </c>
      <c r="AH74" s="16" t="n">
        <v>8971339.32822008</v>
      </c>
    </row>
    <row r="75" customFormat="false" ht="15.75" hidden="false" customHeight="false" outlineLevel="0" collapsed="false">
      <c r="A75" s="27" t="n">
        <v>36839</v>
      </c>
      <c r="B75" s="16" t="n">
        <v>1250000</v>
      </c>
      <c r="C75" s="16" t="n">
        <v>4563600</v>
      </c>
      <c r="D75" s="16" t="n">
        <v>2136334</v>
      </c>
      <c r="E75" s="16" t="n">
        <v>429975</v>
      </c>
      <c r="F75" s="16" t="n">
        <v>0</v>
      </c>
      <c r="G75" s="16" t="n">
        <v>116115000</v>
      </c>
      <c r="H75" s="16" t="n">
        <v>1663000</v>
      </c>
      <c r="I75" s="16" t="n">
        <v>12878050</v>
      </c>
      <c r="J75" s="16" t="n">
        <v>1012500</v>
      </c>
      <c r="K75" s="16" t="n">
        <v>23507915.0000001</v>
      </c>
      <c r="L75" s="16" t="n">
        <v>10372212</v>
      </c>
      <c r="M75" s="16" t="n">
        <v>1302980</v>
      </c>
      <c r="N75" s="16" t="n">
        <v>3486752</v>
      </c>
      <c r="O75" s="16" t="n">
        <v>429210</v>
      </c>
      <c r="P75" s="16" t="n">
        <v>470790</v>
      </c>
      <c r="Q75" s="16" t="n">
        <v>27082500</v>
      </c>
      <c r="R75" s="16" t="n">
        <v>7121810</v>
      </c>
      <c r="S75" s="16" t="n">
        <v>5644007</v>
      </c>
      <c r="T75" s="16" t="n">
        <v>20916875</v>
      </c>
      <c r="U75" s="16" t="n">
        <v>2560525</v>
      </c>
      <c r="V75" s="16" t="n">
        <v>4774950</v>
      </c>
      <c r="W75" s="16" t="n">
        <v>2013591.65998389</v>
      </c>
      <c r="X75" s="16" t="n">
        <v>1374750</v>
      </c>
      <c r="Y75" s="16" t="n">
        <v>1803840</v>
      </c>
      <c r="Z75" s="16" t="n">
        <v>2300803</v>
      </c>
      <c r="AA75" s="16" t="n">
        <v>7483750</v>
      </c>
      <c r="AB75" s="16" t="n">
        <v>2343750</v>
      </c>
      <c r="AC75" s="16" t="n">
        <v>16316247</v>
      </c>
      <c r="AD75" s="16" t="n">
        <v>1050000</v>
      </c>
      <c r="AE75" s="16" t="n">
        <v>81480000</v>
      </c>
      <c r="AF75" s="16" t="n">
        <v>1360000</v>
      </c>
      <c r="AG75" s="16" t="n">
        <v>93746588.676478</v>
      </c>
      <c r="AH75" s="16" t="n">
        <v>9033356.63119903</v>
      </c>
    </row>
    <row r="76" customFormat="false" ht="15.75" hidden="false" customHeight="false" outlineLevel="0" collapsed="false">
      <c r="A76" s="27" t="n">
        <v>36840</v>
      </c>
      <c r="B76" s="16" t="n">
        <v>1250000</v>
      </c>
      <c r="C76" s="16" t="n">
        <v>4563600</v>
      </c>
      <c r="D76" s="16" t="n">
        <v>2136334</v>
      </c>
      <c r="E76" s="16" t="n">
        <v>429975</v>
      </c>
      <c r="F76" s="16" t="n">
        <v>0</v>
      </c>
      <c r="G76" s="16" t="n">
        <v>116115000</v>
      </c>
      <c r="H76" s="16" t="n">
        <v>1663000</v>
      </c>
      <c r="I76" s="16" t="n">
        <v>12878050</v>
      </c>
      <c r="J76" s="16" t="n">
        <v>1012500</v>
      </c>
      <c r="K76" s="16" t="n">
        <v>23507915.0000001</v>
      </c>
      <c r="L76" s="16" t="n">
        <v>10372212</v>
      </c>
      <c r="M76" s="16" t="n">
        <v>1302980</v>
      </c>
      <c r="N76" s="16" t="n">
        <v>3486752</v>
      </c>
      <c r="O76" s="16" t="n">
        <v>429210</v>
      </c>
      <c r="P76" s="16" t="n">
        <v>470790</v>
      </c>
      <c r="Q76" s="16" t="n">
        <v>27082500</v>
      </c>
      <c r="R76" s="16" t="n">
        <v>7121810</v>
      </c>
      <c r="S76" s="16" t="n">
        <v>5644007</v>
      </c>
      <c r="T76" s="16" t="n">
        <v>20916875</v>
      </c>
      <c r="U76" s="16" t="n">
        <v>2560525</v>
      </c>
      <c r="V76" s="16" t="n">
        <v>4774950</v>
      </c>
      <c r="W76" s="16" t="n">
        <v>2013591.65998389</v>
      </c>
      <c r="X76" s="16" t="n">
        <v>1374750</v>
      </c>
      <c r="Y76" s="16" t="n">
        <v>1803840</v>
      </c>
      <c r="Z76" s="16" t="n">
        <v>2300803</v>
      </c>
      <c r="AA76" s="16" t="n">
        <v>7483750</v>
      </c>
      <c r="AB76" s="16" t="n">
        <v>2343750</v>
      </c>
      <c r="AC76" s="16" t="n">
        <v>16316247</v>
      </c>
      <c r="AD76" s="16" t="n">
        <v>1050000</v>
      </c>
      <c r="AE76" s="16" t="n">
        <v>81480000</v>
      </c>
      <c r="AF76" s="16" t="n">
        <v>1360000</v>
      </c>
      <c r="AG76" s="16" t="n">
        <v>93746588.676478</v>
      </c>
      <c r="AH76" s="16" t="n">
        <v>8823189.63870378</v>
      </c>
    </row>
    <row r="77" customFormat="false" ht="15.75" hidden="false" customHeight="false" outlineLevel="0" collapsed="false">
      <c r="A77" s="27" t="n">
        <v>36843</v>
      </c>
      <c r="B77" s="16" t="n">
        <v>1250000</v>
      </c>
      <c r="C77" s="16" t="n">
        <v>4563600</v>
      </c>
      <c r="D77" s="16" t="n">
        <v>2136334</v>
      </c>
      <c r="E77" s="16" t="n">
        <v>429975</v>
      </c>
      <c r="F77" s="16" t="n">
        <v>0</v>
      </c>
      <c r="G77" s="16" t="n">
        <v>116115000</v>
      </c>
      <c r="H77" s="16" t="n">
        <v>1663000</v>
      </c>
      <c r="I77" s="16" t="n">
        <v>12878050</v>
      </c>
      <c r="J77" s="16" t="n">
        <v>1012500</v>
      </c>
      <c r="K77" s="16" t="n">
        <v>23507915.0000001</v>
      </c>
      <c r="L77" s="16" t="n">
        <v>10372212</v>
      </c>
      <c r="M77" s="16" t="n">
        <v>1302980</v>
      </c>
      <c r="N77" s="16" t="n">
        <v>3486752</v>
      </c>
      <c r="O77" s="16" t="n">
        <v>429210</v>
      </c>
      <c r="P77" s="16" t="n">
        <v>470790</v>
      </c>
      <c r="Q77" s="16" t="n">
        <v>27082500</v>
      </c>
      <c r="R77" s="16" t="n">
        <v>7121810</v>
      </c>
      <c r="S77" s="16" t="n">
        <v>5644007</v>
      </c>
      <c r="T77" s="16" t="n">
        <v>20916875</v>
      </c>
      <c r="U77" s="16" t="n">
        <v>2560525</v>
      </c>
      <c r="V77" s="16" t="n">
        <v>4774950</v>
      </c>
      <c r="W77" s="16" t="n">
        <v>2013591.65998389</v>
      </c>
      <c r="X77" s="16" t="n">
        <v>1374750</v>
      </c>
      <c r="Y77" s="16" t="n">
        <v>1803840</v>
      </c>
      <c r="Z77" s="16" t="n">
        <v>2300803</v>
      </c>
      <c r="AA77" s="16" t="n">
        <v>7483750</v>
      </c>
      <c r="AB77" s="16" t="n">
        <v>2343750</v>
      </c>
      <c r="AC77" s="16" t="n">
        <v>16316247</v>
      </c>
      <c r="AD77" s="16" t="n">
        <v>1050000</v>
      </c>
      <c r="AE77" s="16" t="n">
        <v>81480000</v>
      </c>
      <c r="AF77" s="16" t="n">
        <v>1360000</v>
      </c>
      <c r="AG77" s="16" t="n">
        <v>93746588.676478</v>
      </c>
      <c r="AH77" s="16" t="n">
        <v>8973660.9168634</v>
      </c>
    </row>
    <row r="78" customFormat="false" ht="15.75" hidden="false" customHeight="false" outlineLevel="0" collapsed="false">
      <c r="A78" s="27" t="n">
        <v>36844</v>
      </c>
      <c r="B78" s="16" t="n">
        <v>1250000</v>
      </c>
      <c r="C78" s="16" t="n">
        <v>4563600</v>
      </c>
      <c r="D78" s="16" t="n">
        <v>2136334</v>
      </c>
      <c r="E78" s="16" t="n">
        <v>429975</v>
      </c>
      <c r="F78" s="16" t="n">
        <v>0</v>
      </c>
      <c r="G78" s="16" t="n">
        <v>116115000</v>
      </c>
      <c r="H78" s="16" t="n">
        <v>1663000</v>
      </c>
      <c r="I78" s="16" t="n">
        <v>12878050</v>
      </c>
      <c r="J78" s="16" t="n">
        <v>1012500</v>
      </c>
      <c r="K78" s="16" t="n">
        <v>23507915.0000001</v>
      </c>
      <c r="L78" s="16" t="n">
        <v>10372212</v>
      </c>
      <c r="M78" s="16" t="n">
        <v>1302980</v>
      </c>
      <c r="N78" s="16" t="n">
        <v>3486752</v>
      </c>
      <c r="O78" s="16" t="n">
        <v>429210</v>
      </c>
      <c r="P78" s="16" t="n">
        <v>470790</v>
      </c>
      <c r="Q78" s="16" t="n">
        <v>27082500</v>
      </c>
      <c r="R78" s="16" t="n">
        <v>7121810</v>
      </c>
      <c r="S78" s="16" t="n">
        <v>5644007</v>
      </c>
      <c r="T78" s="16" t="n">
        <v>20916875</v>
      </c>
      <c r="U78" s="16" t="n">
        <v>2560525</v>
      </c>
      <c r="V78" s="16" t="n">
        <v>4774950</v>
      </c>
      <c r="W78" s="16" t="n">
        <v>2013591.65998389</v>
      </c>
      <c r="X78" s="16" t="n">
        <v>1374750</v>
      </c>
      <c r="Y78" s="16" t="n">
        <v>1803840</v>
      </c>
      <c r="Z78" s="16" t="n">
        <v>2300803</v>
      </c>
      <c r="AA78" s="16" t="n">
        <v>7483750</v>
      </c>
      <c r="AB78" s="16" t="n">
        <v>2343750</v>
      </c>
      <c r="AC78" s="16" t="n">
        <v>16316247</v>
      </c>
      <c r="AD78" s="16" t="n">
        <v>1050000</v>
      </c>
      <c r="AE78" s="16" t="n">
        <v>81480000</v>
      </c>
      <c r="AF78" s="16" t="n">
        <v>1360000</v>
      </c>
      <c r="AG78" s="16" t="n">
        <v>93746588.676478</v>
      </c>
      <c r="AH78" s="16" t="n">
        <v>8817231.48356695</v>
      </c>
    </row>
    <row r="79" customFormat="false" ht="15.75" hidden="false" customHeight="false" outlineLevel="0" collapsed="false">
      <c r="A79" s="27" t="n">
        <v>36845</v>
      </c>
      <c r="B79" s="16" t="n">
        <v>1250000</v>
      </c>
      <c r="C79" s="16" t="n">
        <v>4563600</v>
      </c>
      <c r="D79" s="16" t="n">
        <v>2136334</v>
      </c>
      <c r="E79" s="16" t="n">
        <v>429975</v>
      </c>
      <c r="F79" s="16" t="n">
        <v>0</v>
      </c>
      <c r="G79" s="16" t="n">
        <v>116115000</v>
      </c>
      <c r="H79" s="16" t="n">
        <v>1663000</v>
      </c>
      <c r="I79" s="16" t="n">
        <v>12878050</v>
      </c>
      <c r="J79" s="16" t="n">
        <v>1012500</v>
      </c>
      <c r="K79" s="16" t="n">
        <v>23507915.0000001</v>
      </c>
      <c r="L79" s="16" t="n">
        <v>10372212</v>
      </c>
      <c r="M79" s="16" t="n">
        <v>1302980</v>
      </c>
      <c r="N79" s="16" t="n">
        <v>3486752</v>
      </c>
      <c r="O79" s="16" t="n">
        <v>429210</v>
      </c>
      <c r="P79" s="16" t="n">
        <v>470790</v>
      </c>
      <c r="Q79" s="16" t="n">
        <v>27082500</v>
      </c>
      <c r="R79" s="16" t="n">
        <v>7121810</v>
      </c>
      <c r="S79" s="16" t="n">
        <v>5644007</v>
      </c>
      <c r="T79" s="16" t="n">
        <v>20916875</v>
      </c>
      <c r="U79" s="16" t="n">
        <v>2560525</v>
      </c>
      <c r="V79" s="16" t="n">
        <v>4774950</v>
      </c>
      <c r="W79" s="16" t="n">
        <v>2013591.65998389</v>
      </c>
      <c r="X79" s="16" t="n">
        <v>1374750</v>
      </c>
      <c r="Y79" s="16" t="n">
        <v>1803840</v>
      </c>
      <c r="Z79" s="16" t="n">
        <v>2300803</v>
      </c>
      <c r="AA79" s="16" t="n">
        <v>7483750</v>
      </c>
      <c r="AB79" s="16" t="n">
        <v>2343750</v>
      </c>
      <c r="AC79" s="16" t="n">
        <v>16316247</v>
      </c>
      <c r="AD79" s="16" t="n">
        <v>1050000</v>
      </c>
      <c r="AE79" s="16" t="n">
        <v>81480000</v>
      </c>
      <c r="AF79" s="16" t="n">
        <v>1360000</v>
      </c>
      <c r="AG79" s="16" t="n">
        <v>93746588.676478</v>
      </c>
      <c r="AH79" s="16" t="n">
        <v>8849448.66490046</v>
      </c>
    </row>
    <row r="80" customFormat="false" ht="15.75" hidden="false" customHeight="false" outlineLevel="0" collapsed="false">
      <c r="A80" s="27" t="n">
        <v>36846</v>
      </c>
      <c r="B80" s="16" t="n">
        <v>1250000</v>
      </c>
      <c r="C80" s="16" t="n">
        <v>4563600</v>
      </c>
      <c r="D80" s="16" t="n">
        <v>2136334</v>
      </c>
      <c r="E80" s="16" t="n">
        <v>429975</v>
      </c>
      <c r="F80" s="16" t="n">
        <v>0</v>
      </c>
      <c r="G80" s="16" t="n">
        <v>116115000</v>
      </c>
      <c r="H80" s="16" t="n">
        <v>1663000</v>
      </c>
      <c r="I80" s="16" t="n">
        <v>12878050</v>
      </c>
      <c r="J80" s="16" t="n">
        <v>1012500</v>
      </c>
      <c r="K80" s="16" t="n">
        <v>23507915.0000001</v>
      </c>
      <c r="L80" s="16" t="n">
        <v>10372212</v>
      </c>
      <c r="M80" s="16" t="n">
        <v>1302980</v>
      </c>
      <c r="N80" s="16" t="n">
        <v>3486752</v>
      </c>
      <c r="O80" s="16" t="n">
        <v>429210</v>
      </c>
      <c r="P80" s="16" t="n">
        <v>470790</v>
      </c>
      <c r="Q80" s="16" t="n">
        <v>27082500</v>
      </c>
      <c r="R80" s="16" t="n">
        <v>7121810</v>
      </c>
      <c r="S80" s="16" t="n">
        <v>5644007</v>
      </c>
      <c r="T80" s="16" t="n">
        <v>20916875</v>
      </c>
      <c r="U80" s="16" t="n">
        <v>2560525</v>
      </c>
      <c r="V80" s="16" t="n">
        <v>4774950</v>
      </c>
      <c r="W80" s="16" t="n">
        <v>2013591.65998389</v>
      </c>
      <c r="X80" s="16" t="n">
        <v>1374750</v>
      </c>
      <c r="Y80" s="16" t="n">
        <v>1803840</v>
      </c>
      <c r="Z80" s="16" t="n">
        <v>2300803</v>
      </c>
      <c r="AA80" s="16" t="n">
        <v>7483750</v>
      </c>
      <c r="AB80" s="16" t="n">
        <v>2343750</v>
      </c>
      <c r="AC80" s="16" t="n">
        <v>16316247</v>
      </c>
      <c r="AD80" s="16" t="n">
        <v>1050000</v>
      </c>
      <c r="AE80" s="16" t="n">
        <v>81480000</v>
      </c>
      <c r="AF80" s="16" t="n">
        <v>1360000</v>
      </c>
      <c r="AG80" s="16" t="n">
        <v>93746588.676478</v>
      </c>
      <c r="AH80" s="16" t="n">
        <v>8848191.44147192</v>
      </c>
    </row>
    <row r="81" customFormat="false" ht="15.75" hidden="false" customHeight="false" outlineLevel="0" collapsed="false">
      <c r="A81" s="27" t="n">
        <v>36847</v>
      </c>
      <c r="B81" s="16" t="n">
        <v>1250000</v>
      </c>
      <c r="C81" s="16" t="n">
        <v>4563600</v>
      </c>
      <c r="D81" s="16" t="n">
        <v>2136334</v>
      </c>
      <c r="E81" s="16" t="n">
        <v>429975</v>
      </c>
      <c r="F81" s="16" t="n">
        <v>0</v>
      </c>
      <c r="G81" s="16" t="n">
        <v>116115000</v>
      </c>
      <c r="H81" s="16" t="n">
        <v>1663000</v>
      </c>
      <c r="I81" s="16" t="n">
        <v>12878050</v>
      </c>
      <c r="J81" s="16" t="n">
        <v>1012500</v>
      </c>
      <c r="K81" s="16" t="n">
        <v>23507915.0000001</v>
      </c>
      <c r="L81" s="16" t="n">
        <v>10372212</v>
      </c>
      <c r="M81" s="16" t="n">
        <v>1302980</v>
      </c>
      <c r="N81" s="16" t="n">
        <v>3486752</v>
      </c>
      <c r="O81" s="16" t="n">
        <v>429210</v>
      </c>
      <c r="P81" s="16" t="n">
        <v>470790</v>
      </c>
      <c r="Q81" s="16" t="n">
        <v>27082500</v>
      </c>
      <c r="R81" s="16" t="n">
        <v>7121810</v>
      </c>
      <c r="S81" s="16" t="n">
        <v>5644007</v>
      </c>
      <c r="T81" s="16" t="n">
        <v>20916875</v>
      </c>
      <c r="U81" s="16" t="n">
        <v>2560525</v>
      </c>
      <c r="V81" s="16" t="n">
        <v>4774950</v>
      </c>
      <c r="W81" s="16" t="n">
        <v>2013591.65998389</v>
      </c>
      <c r="X81" s="16" t="n">
        <v>1374750</v>
      </c>
      <c r="Y81" s="16" t="n">
        <v>1803840</v>
      </c>
      <c r="Z81" s="16" t="n">
        <v>2300803</v>
      </c>
      <c r="AA81" s="16" t="n">
        <v>7483750</v>
      </c>
      <c r="AB81" s="16" t="n">
        <v>2343750</v>
      </c>
      <c r="AC81" s="16" t="n">
        <v>16316247</v>
      </c>
      <c r="AD81" s="16" t="n">
        <v>1050000</v>
      </c>
      <c r="AE81" s="16" t="n">
        <v>81480000</v>
      </c>
      <c r="AF81" s="16" t="n">
        <v>1360000</v>
      </c>
      <c r="AG81" s="16" t="n">
        <v>93746588.676478</v>
      </c>
      <c r="AH81" s="16" t="n">
        <v>8906864.52249279</v>
      </c>
    </row>
    <row r="82" customFormat="false" ht="15.75" hidden="false" customHeight="false" outlineLevel="0" collapsed="false">
      <c r="A82" s="27" t="n">
        <v>36850</v>
      </c>
      <c r="B82" s="16" t="n">
        <v>1250000</v>
      </c>
      <c r="C82" s="16" t="n">
        <v>4563600</v>
      </c>
      <c r="D82" s="16" t="n">
        <v>2136334</v>
      </c>
      <c r="E82" s="16" t="n">
        <v>429975</v>
      </c>
      <c r="F82" s="16" t="n">
        <v>0</v>
      </c>
      <c r="G82" s="16" t="n">
        <v>116115000</v>
      </c>
      <c r="H82" s="16" t="n">
        <v>1663000</v>
      </c>
      <c r="I82" s="16" t="n">
        <v>12878050</v>
      </c>
      <c r="J82" s="16" t="n">
        <v>1012500</v>
      </c>
      <c r="K82" s="16" t="n">
        <v>23507915.0000001</v>
      </c>
      <c r="L82" s="16" t="n">
        <v>10372212</v>
      </c>
      <c r="M82" s="16" t="n">
        <v>1302980</v>
      </c>
      <c r="N82" s="16" t="n">
        <v>3486752</v>
      </c>
      <c r="O82" s="16" t="n">
        <v>429210</v>
      </c>
      <c r="P82" s="16" t="n">
        <v>470790</v>
      </c>
      <c r="Q82" s="16" t="n">
        <v>27082500</v>
      </c>
      <c r="R82" s="16" t="n">
        <v>7121810</v>
      </c>
      <c r="S82" s="16" t="n">
        <v>5644007</v>
      </c>
      <c r="T82" s="16" t="n">
        <v>20916875</v>
      </c>
      <c r="U82" s="16" t="n">
        <v>2560525</v>
      </c>
      <c r="V82" s="16" t="n">
        <v>4774950</v>
      </c>
      <c r="W82" s="16" t="n">
        <v>2013591.65998389</v>
      </c>
      <c r="X82" s="16" t="n">
        <v>1374750</v>
      </c>
      <c r="Y82" s="16" t="n">
        <v>1803840</v>
      </c>
      <c r="Z82" s="16" t="n">
        <v>2300803</v>
      </c>
      <c r="AA82" s="16" t="n">
        <v>7483750</v>
      </c>
      <c r="AB82" s="16" t="n">
        <v>2343750</v>
      </c>
      <c r="AC82" s="16" t="n">
        <v>16316247</v>
      </c>
      <c r="AD82" s="16" t="n">
        <v>1050000</v>
      </c>
      <c r="AE82" s="16" t="n">
        <v>81480000</v>
      </c>
      <c r="AF82" s="16" t="n">
        <v>1360000</v>
      </c>
      <c r="AG82" s="16" t="n">
        <v>93746588.676478</v>
      </c>
      <c r="AH82" s="16" t="n">
        <v>8909411.43876664</v>
      </c>
    </row>
    <row r="83" customFormat="false" ht="15.75" hidden="false" customHeight="false" outlineLevel="0" collapsed="false">
      <c r="A83" s="27" t="n">
        <v>36851</v>
      </c>
      <c r="B83" s="16" t="n">
        <v>1250000</v>
      </c>
      <c r="C83" s="16" t="n">
        <v>4563600</v>
      </c>
      <c r="D83" s="16" t="n">
        <v>2136334</v>
      </c>
      <c r="E83" s="16" t="n">
        <v>429975</v>
      </c>
      <c r="F83" s="16" t="n">
        <v>0</v>
      </c>
      <c r="G83" s="16" t="n">
        <v>116115000</v>
      </c>
      <c r="H83" s="16" t="n">
        <v>1663000</v>
      </c>
      <c r="I83" s="16" t="n">
        <v>12878050</v>
      </c>
      <c r="J83" s="16" t="n">
        <v>1012500</v>
      </c>
      <c r="K83" s="16" t="n">
        <v>23507915.0000001</v>
      </c>
      <c r="L83" s="16" t="n">
        <v>10372212</v>
      </c>
      <c r="M83" s="16" t="n">
        <v>1302980</v>
      </c>
      <c r="N83" s="16" t="n">
        <v>3486752</v>
      </c>
      <c r="O83" s="16" t="n">
        <v>429210</v>
      </c>
      <c r="P83" s="16" t="n">
        <v>470790</v>
      </c>
      <c r="Q83" s="16" t="n">
        <v>27082500</v>
      </c>
      <c r="R83" s="16" t="n">
        <v>7121810</v>
      </c>
      <c r="S83" s="16" t="n">
        <v>5644007</v>
      </c>
      <c r="T83" s="16" t="n">
        <v>20916875</v>
      </c>
      <c r="U83" s="16" t="n">
        <v>2560525</v>
      </c>
      <c r="V83" s="16" t="n">
        <v>4774950</v>
      </c>
      <c r="W83" s="16" t="n">
        <v>2013591.65998389</v>
      </c>
      <c r="X83" s="16" t="n">
        <v>1374750</v>
      </c>
      <c r="Y83" s="16" t="n">
        <v>1803840</v>
      </c>
      <c r="Z83" s="16" t="n">
        <v>2300803</v>
      </c>
      <c r="AA83" s="16" t="n">
        <v>7483750</v>
      </c>
      <c r="AB83" s="16" t="n">
        <v>2343750</v>
      </c>
      <c r="AC83" s="16" t="n">
        <v>16316247</v>
      </c>
      <c r="AD83" s="16" t="n">
        <v>1050000</v>
      </c>
      <c r="AE83" s="16" t="n">
        <v>81480000</v>
      </c>
      <c r="AF83" s="16" t="n">
        <v>1360000</v>
      </c>
      <c r="AG83" s="16" t="n">
        <v>93746588.676478</v>
      </c>
      <c r="AH83" s="16" t="n">
        <v>8723586.90666351</v>
      </c>
    </row>
    <row r="84" customFormat="false" ht="15.75" hidden="false" customHeight="false" outlineLevel="0" collapsed="false">
      <c r="A84" s="27" t="n">
        <v>36852</v>
      </c>
      <c r="B84" s="16" t="n">
        <v>1250000</v>
      </c>
      <c r="C84" s="16" t="n">
        <v>4563600</v>
      </c>
      <c r="D84" s="16" t="n">
        <v>2136334</v>
      </c>
      <c r="E84" s="16" t="n">
        <v>429975</v>
      </c>
      <c r="F84" s="16" t="n">
        <v>0</v>
      </c>
      <c r="G84" s="16" t="n">
        <v>116115000</v>
      </c>
      <c r="H84" s="16" t="n">
        <v>1663000</v>
      </c>
      <c r="I84" s="16" t="n">
        <v>12878050</v>
      </c>
      <c r="J84" s="16" t="n">
        <v>1012500</v>
      </c>
      <c r="K84" s="16" t="n">
        <v>23507915.0000001</v>
      </c>
      <c r="L84" s="16" t="n">
        <v>10372212</v>
      </c>
      <c r="M84" s="16" t="n">
        <v>1302980</v>
      </c>
      <c r="N84" s="16" t="n">
        <v>3486752</v>
      </c>
      <c r="O84" s="16" t="n">
        <v>429210</v>
      </c>
      <c r="P84" s="16" t="n">
        <v>470790</v>
      </c>
      <c r="Q84" s="16" t="n">
        <v>27082500</v>
      </c>
      <c r="R84" s="16" t="n">
        <v>7121810</v>
      </c>
      <c r="S84" s="16" t="n">
        <v>5644007</v>
      </c>
      <c r="T84" s="16" t="n">
        <v>20916875</v>
      </c>
      <c r="U84" s="16" t="n">
        <v>2560525</v>
      </c>
      <c r="V84" s="16" t="n">
        <v>4774950</v>
      </c>
      <c r="W84" s="16" t="n">
        <v>2013591.65998389</v>
      </c>
      <c r="X84" s="16" t="n">
        <v>1374750</v>
      </c>
      <c r="Y84" s="16" t="n">
        <v>1803840</v>
      </c>
      <c r="Z84" s="16" t="n">
        <v>2300803</v>
      </c>
      <c r="AA84" s="16" t="n">
        <v>7483750</v>
      </c>
      <c r="AB84" s="16" t="n">
        <v>2343750</v>
      </c>
      <c r="AC84" s="16" t="n">
        <v>16316247</v>
      </c>
      <c r="AD84" s="16" t="n">
        <v>1050000</v>
      </c>
      <c r="AE84" s="16" t="n">
        <v>81480000</v>
      </c>
      <c r="AF84" s="16" t="n">
        <v>1360000</v>
      </c>
      <c r="AG84" s="16" t="n">
        <v>93746588.676478</v>
      </c>
      <c r="AH84" s="16" t="n">
        <v>8786138.53425314</v>
      </c>
    </row>
    <row r="85" customFormat="false" ht="15.75" hidden="false" customHeight="false" outlineLevel="0" collapsed="false">
      <c r="A85" s="27" t="n">
        <v>36854</v>
      </c>
      <c r="B85" s="16" t="n">
        <v>1250000</v>
      </c>
      <c r="C85" s="16" t="n">
        <v>4563600</v>
      </c>
      <c r="D85" s="16" t="n">
        <v>2136334</v>
      </c>
      <c r="E85" s="16" t="n">
        <v>429975</v>
      </c>
      <c r="F85" s="16" t="n">
        <v>0</v>
      </c>
      <c r="G85" s="16" t="n">
        <v>116115000</v>
      </c>
      <c r="H85" s="16" t="n">
        <v>1663000</v>
      </c>
      <c r="I85" s="16" t="n">
        <v>12878050</v>
      </c>
      <c r="J85" s="16" t="n">
        <v>1012500</v>
      </c>
      <c r="K85" s="16" t="n">
        <v>23507915.0000001</v>
      </c>
      <c r="L85" s="16" t="n">
        <v>10372212</v>
      </c>
      <c r="M85" s="16" t="n">
        <v>1302980</v>
      </c>
      <c r="N85" s="16" t="n">
        <v>3486752</v>
      </c>
      <c r="O85" s="16" t="n">
        <v>429210</v>
      </c>
      <c r="P85" s="16" t="n">
        <v>470790</v>
      </c>
      <c r="Q85" s="16" t="n">
        <v>27082500</v>
      </c>
      <c r="R85" s="16" t="n">
        <v>7121810</v>
      </c>
      <c r="S85" s="16" t="n">
        <v>5644007</v>
      </c>
      <c r="T85" s="16" t="n">
        <v>20916875</v>
      </c>
      <c r="U85" s="16" t="n">
        <v>2560525</v>
      </c>
      <c r="V85" s="16" t="n">
        <v>4774950</v>
      </c>
      <c r="W85" s="16" t="n">
        <v>2013591.65998389</v>
      </c>
      <c r="X85" s="16" t="n">
        <v>1374750</v>
      </c>
      <c r="Y85" s="16" t="n">
        <v>1803840</v>
      </c>
      <c r="Z85" s="16" t="n">
        <v>2300803</v>
      </c>
      <c r="AA85" s="16" t="n">
        <v>7483750</v>
      </c>
      <c r="AB85" s="16" t="n">
        <v>2343750</v>
      </c>
      <c r="AC85" s="16" t="n">
        <v>16316247</v>
      </c>
      <c r="AD85" s="16" t="n">
        <v>1050000</v>
      </c>
      <c r="AE85" s="16" t="n">
        <v>81480000</v>
      </c>
      <c r="AF85" s="16" t="n">
        <v>1360000</v>
      </c>
      <c r="AG85" s="16" t="n">
        <v>93746588.676478</v>
      </c>
      <c r="AH85" s="16" t="n">
        <v>8924597.46629116</v>
      </c>
    </row>
    <row r="86" customFormat="false" ht="15.75" hidden="false" customHeight="false" outlineLevel="0" collapsed="false">
      <c r="A86" s="27" t="n">
        <v>36857</v>
      </c>
      <c r="B86" s="16" t="n">
        <v>1250000</v>
      </c>
      <c r="C86" s="16" t="n">
        <v>4563600</v>
      </c>
      <c r="D86" s="16" t="n">
        <v>2136334</v>
      </c>
      <c r="E86" s="16" t="n">
        <v>429975</v>
      </c>
      <c r="F86" s="16" t="n">
        <v>0</v>
      </c>
      <c r="G86" s="16" t="n">
        <v>116115000</v>
      </c>
      <c r="H86" s="16" t="n">
        <v>1663000</v>
      </c>
      <c r="I86" s="16" t="n">
        <v>12878050</v>
      </c>
      <c r="J86" s="16" t="n">
        <v>1012500</v>
      </c>
      <c r="K86" s="16" t="n">
        <v>23507915.0000001</v>
      </c>
      <c r="L86" s="16" t="n">
        <v>10372212</v>
      </c>
      <c r="M86" s="16" t="n">
        <v>1302980</v>
      </c>
      <c r="N86" s="16" t="n">
        <v>3486752</v>
      </c>
      <c r="O86" s="16" t="n">
        <v>429210</v>
      </c>
      <c r="P86" s="16" t="n">
        <v>470790</v>
      </c>
      <c r="Q86" s="16" t="n">
        <v>27082500</v>
      </c>
      <c r="R86" s="16" t="n">
        <v>7121810</v>
      </c>
      <c r="S86" s="16" t="n">
        <v>5644007</v>
      </c>
      <c r="T86" s="16" t="n">
        <v>20916875</v>
      </c>
      <c r="U86" s="16" t="n">
        <v>2560525</v>
      </c>
      <c r="V86" s="16" t="n">
        <v>4774950</v>
      </c>
      <c r="W86" s="16" t="n">
        <v>2013591.65998389</v>
      </c>
      <c r="X86" s="16" t="n">
        <v>1374750</v>
      </c>
      <c r="Y86" s="16" t="n">
        <v>1803840</v>
      </c>
      <c r="Z86" s="16" t="n">
        <v>2300803</v>
      </c>
      <c r="AA86" s="16" t="n">
        <v>7483750</v>
      </c>
      <c r="AB86" s="16" t="n">
        <v>2343750</v>
      </c>
      <c r="AC86" s="16" t="n">
        <v>16316247</v>
      </c>
      <c r="AD86" s="16" t="n">
        <v>1050000</v>
      </c>
      <c r="AE86" s="16" t="n">
        <v>81480000</v>
      </c>
      <c r="AF86" s="16" t="n">
        <v>1360000</v>
      </c>
      <c r="AG86" s="16" t="n">
        <v>93746588.676478</v>
      </c>
      <c r="AH86" s="16" t="n">
        <v>8924243.64061459</v>
      </c>
    </row>
    <row r="87" customFormat="false" ht="15.75" hidden="false" customHeight="false" outlineLevel="0" collapsed="false">
      <c r="A87" s="27" t="n">
        <v>36858</v>
      </c>
      <c r="B87" s="16" t="n">
        <v>1250000</v>
      </c>
      <c r="C87" s="16" t="n">
        <v>4563600</v>
      </c>
      <c r="D87" s="16" t="n">
        <v>2136334</v>
      </c>
      <c r="E87" s="16" t="n">
        <v>429975</v>
      </c>
      <c r="F87" s="16" t="n">
        <v>0</v>
      </c>
      <c r="G87" s="16" t="n">
        <v>116115000</v>
      </c>
      <c r="H87" s="16" t="n">
        <v>1663000</v>
      </c>
      <c r="I87" s="16" t="n">
        <v>12878050</v>
      </c>
      <c r="J87" s="16" t="n">
        <v>1012500</v>
      </c>
      <c r="K87" s="16" t="n">
        <v>23507915.0000001</v>
      </c>
      <c r="L87" s="16" t="n">
        <v>10372212</v>
      </c>
      <c r="M87" s="16" t="n">
        <v>1302980</v>
      </c>
      <c r="N87" s="16" t="n">
        <v>3486752</v>
      </c>
      <c r="O87" s="16" t="n">
        <v>429210</v>
      </c>
      <c r="P87" s="16" t="n">
        <v>470790</v>
      </c>
      <c r="Q87" s="16" t="n">
        <v>27082500</v>
      </c>
      <c r="R87" s="16" t="n">
        <v>7121810</v>
      </c>
      <c r="S87" s="16" t="n">
        <v>5644007</v>
      </c>
      <c r="T87" s="16" t="n">
        <v>20916875</v>
      </c>
      <c r="U87" s="16" t="n">
        <v>2560525</v>
      </c>
      <c r="V87" s="16" t="n">
        <v>4774950</v>
      </c>
      <c r="W87" s="16" t="n">
        <v>2013591.65998389</v>
      </c>
      <c r="X87" s="16" t="n">
        <v>1374750</v>
      </c>
      <c r="Y87" s="16" t="n">
        <v>1803840</v>
      </c>
      <c r="Z87" s="16" t="n">
        <v>2300803</v>
      </c>
      <c r="AA87" s="16" t="n">
        <v>7483750</v>
      </c>
      <c r="AB87" s="16" t="n">
        <v>2343750</v>
      </c>
      <c r="AC87" s="16" t="n">
        <v>16316247</v>
      </c>
      <c r="AD87" s="16" t="n">
        <v>1050000</v>
      </c>
      <c r="AE87" s="16" t="n">
        <v>81480000</v>
      </c>
      <c r="AF87" s="16" t="n">
        <v>1360000</v>
      </c>
      <c r="AG87" s="16" t="n">
        <v>93746588.676478</v>
      </c>
      <c r="AH87" s="16" t="n">
        <v>8712096.96430994</v>
      </c>
    </row>
    <row r="88" customFormat="false" ht="15.75" hidden="false" customHeight="false" outlineLevel="0" collapsed="false">
      <c r="A88" s="27" t="n">
        <v>36859</v>
      </c>
      <c r="B88" s="16" t="n">
        <v>1250000</v>
      </c>
      <c r="C88" s="16" t="n">
        <v>4563600</v>
      </c>
      <c r="D88" s="16" t="n">
        <v>2136334</v>
      </c>
      <c r="E88" s="16" t="n">
        <v>429975</v>
      </c>
      <c r="F88" s="16" t="n">
        <v>0</v>
      </c>
      <c r="G88" s="16" t="n">
        <v>116115000</v>
      </c>
      <c r="H88" s="16" t="n">
        <v>1663000</v>
      </c>
      <c r="I88" s="16" t="n">
        <v>12878050</v>
      </c>
      <c r="J88" s="16" t="n">
        <v>1012500</v>
      </c>
      <c r="K88" s="16" t="n">
        <v>23507915.0000001</v>
      </c>
      <c r="L88" s="16" t="n">
        <v>10372212</v>
      </c>
      <c r="M88" s="16" t="n">
        <v>1302980</v>
      </c>
      <c r="N88" s="16" t="n">
        <v>3486752</v>
      </c>
      <c r="O88" s="16" t="n">
        <v>429210</v>
      </c>
      <c r="P88" s="16" t="n">
        <v>470790</v>
      </c>
      <c r="Q88" s="16" t="n">
        <v>27082500</v>
      </c>
      <c r="R88" s="16" t="n">
        <v>7121810</v>
      </c>
      <c r="S88" s="16" t="n">
        <v>5644007</v>
      </c>
      <c r="T88" s="16" t="n">
        <v>20916875</v>
      </c>
      <c r="U88" s="16" t="n">
        <v>2560525</v>
      </c>
      <c r="V88" s="16" t="n">
        <v>4774950</v>
      </c>
      <c r="W88" s="16" t="n">
        <v>2013591.65998389</v>
      </c>
      <c r="X88" s="16" t="n">
        <v>1374750</v>
      </c>
      <c r="Y88" s="16" t="n">
        <v>1803840</v>
      </c>
      <c r="Z88" s="16" t="n">
        <v>2300803</v>
      </c>
      <c r="AA88" s="16" t="n">
        <v>7483750</v>
      </c>
      <c r="AB88" s="16" t="n">
        <v>2343750</v>
      </c>
      <c r="AC88" s="16" t="n">
        <v>16316247</v>
      </c>
      <c r="AD88" s="16" t="n">
        <v>1050000</v>
      </c>
      <c r="AE88" s="16" t="n">
        <v>81480000</v>
      </c>
      <c r="AF88" s="16" t="n">
        <v>1360000</v>
      </c>
      <c r="AG88" s="16" t="n">
        <v>93746588.676478</v>
      </c>
      <c r="AH88" s="16" t="n">
        <v>8605391.93341949</v>
      </c>
    </row>
    <row r="89" customFormat="false" ht="15.75" hidden="false" customHeight="false" outlineLevel="0" collapsed="false">
      <c r="A89" s="27" t="n">
        <v>36860</v>
      </c>
      <c r="B89" s="16" t="n">
        <v>1250000</v>
      </c>
      <c r="C89" s="16" t="n">
        <v>4563600</v>
      </c>
      <c r="D89" s="16" t="n">
        <v>2136334</v>
      </c>
      <c r="E89" s="16" t="n">
        <v>429975</v>
      </c>
      <c r="F89" s="16" t="n">
        <v>0</v>
      </c>
      <c r="G89" s="16" t="n">
        <v>116115000</v>
      </c>
      <c r="H89" s="16" t="n">
        <v>1663000</v>
      </c>
      <c r="I89" s="16" t="n">
        <v>12878050</v>
      </c>
      <c r="J89" s="16" t="n">
        <v>1012500</v>
      </c>
      <c r="K89" s="16" t="n">
        <v>23507915.0000001</v>
      </c>
      <c r="L89" s="16" t="n">
        <v>10372212</v>
      </c>
      <c r="M89" s="16" t="n">
        <v>1302980</v>
      </c>
      <c r="N89" s="16" t="n">
        <v>3486752</v>
      </c>
      <c r="O89" s="16" t="n">
        <v>429210</v>
      </c>
      <c r="P89" s="16" t="n">
        <v>470790</v>
      </c>
      <c r="Q89" s="16" t="n">
        <v>27082500</v>
      </c>
      <c r="R89" s="16" t="n">
        <v>7121810</v>
      </c>
      <c r="S89" s="16" t="n">
        <v>5644007</v>
      </c>
      <c r="T89" s="16" t="n">
        <v>20916875</v>
      </c>
      <c r="U89" s="16" t="n">
        <v>2560525</v>
      </c>
      <c r="V89" s="16" t="n">
        <v>4774950</v>
      </c>
      <c r="W89" s="16" t="n">
        <v>2013591.65998389</v>
      </c>
      <c r="X89" s="16" t="n">
        <v>1374750</v>
      </c>
      <c r="Y89" s="16" t="n">
        <v>1803840</v>
      </c>
      <c r="Z89" s="16" t="n">
        <v>2300803</v>
      </c>
      <c r="AA89" s="16" t="n">
        <v>7483750</v>
      </c>
      <c r="AB89" s="16" t="n">
        <v>2343750</v>
      </c>
      <c r="AC89" s="16" t="n">
        <v>16316247</v>
      </c>
      <c r="AD89" s="16" t="n">
        <v>1050000</v>
      </c>
      <c r="AE89" s="16" t="n">
        <v>81480000</v>
      </c>
      <c r="AF89" s="16" t="n">
        <v>1360000</v>
      </c>
      <c r="AG89" s="16" t="n">
        <v>93746588.676478</v>
      </c>
      <c r="AH89" s="16" t="n">
        <v>8573749.42487455</v>
      </c>
    </row>
    <row r="90" customFormat="false" ht="15.75" hidden="false" customHeight="false" outlineLevel="0" collapsed="false">
      <c r="A90" s="27" t="n">
        <v>36861</v>
      </c>
      <c r="B90" s="16" t="n">
        <v>1250000</v>
      </c>
      <c r="C90" s="16" t="n">
        <v>4563600</v>
      </c>
      <c r="D90" s="16" t="n">
        <v>2136334</v>
      </c>
      <c r="E90" s="16" t="n">
        <v>429975</v>
      </c>
      <c r="F90" s="16" t="n">
        <v>0</v>
      </c>
      <c r="G90" s="16" t="n">
        <v>116115000</v>
      </c>
      <c r="H90" s="16" t="n">
        <v>1663000</v>
      </c>
      <c r="I90" s="16" t="n">
        <v>12878050</v>
      </c>
      <c r="J90" s="16" t="n">
        <v>1012500</v>
      </c>
      <c r="K90" s="16" t="n">
        <v>23507915.0000001</v>
      </c>
      <c r="L90" s="16" t="n">
        <v>10372212</v>
      </c>
      <c r="M90" s="16" t="n">
        <v>1302980</v>
      </c>
      <c r="N90" s="16" t="n">
        <v>3486752</v>
      </c>
      <c r="O90" s="16" t="n">
        <v>429210</v>
      </c>
      <c r="P90" s="16" t="n">
        <v>470790</v>
      </c>
      <c r="Q90" s="16" t="n">
        <v>27082500</v>
      </c>
      <c r="R90" s="16" t="n">
        <v>7121810</v>
      </c>
      <c r="S90" s="16" t="n">
        <v>5644007</v>
      </c>
      <c r="T90" s="16" t="n">
        <v>20916875</v>
      </c>
      <c r="U90" s="16" t="n">
        <v>2560525</v>
      </c>
      <c r="V90" s="16" t="n">
        <v>4774950</v>
      </c>
      <c r="W90" s="16" t="n">
        <v>2013591.65998389</v>
      </c>
      <c r="X90" s="16" t="n">
        <v>1374750</v>
      </c>
      <c r="Y90" s="16" t="n">
        <v>1803840</v>
      </c>
      <c r="Z90" s="16" t="n">
        <v>2300803</v>
      </c>
      <c r="AA90" s="16" t="n">
        <v>7483750</v>
      </c>
      <c r="AB90" s="16" t="n">
        <v>2343750</v>
      </c>
      <c r="AC90" s="16" t="n">
        <v>16316247</v>
      </c>
      <c r="AD90" s="16" t="n">
        <v>1050000</v>
      </c>
      <c r="AE90" s="16" t="n">
        <v>81480000</v>
      </c>
      <c r="AF90" s="16" t="n">
        <v>1360000</v>
      </c>
      <c r="AG90" s="16" t="n">
        <v>93746588.676478</v>
      </c>
      <c r="AH90" s="16" t="n">
        <v>8492852.41302654</v>
      </c>
    </row>
    <row r="91" customFormat="false" ht="15.75" hidden="false" customHeight="false" outlineLevel="0" collapsed="false">
      <c r="A91" s="27" t="n">
        <v>36864</v>
      </c>
      <c r="B91" s="16" t="n">
        <v>1250000</v>
      </c>
      <c r="C91" s="16" t="n">
        <v>4563600</v>
      </c>
      <c r="D91" s="16" t="n">
        <v>2136334</v>
      </c>
      <c r="E91" s="16" t="n">
        <v>429975</v>
      </c>
      <c r="F91" s="16" t="n">
        <v>0</v>
      </c>
      <c r="G91" s="16" t="n">
        <v>116115000</v>
      </c>
      <c r="H91" s="16" t="n">
        <v>1663000</v>
      </c>
      <c r="I91" s="16" t="n">
        <v>12878050</v>
      </c>
      <c r="J91" s="16" t="n">
        <v>1012500</v>
      </c>
      <c r="K91" s="16" t="n">
        <v>23507915.0000001</v>
      </c>
      <c r="L91" s="16" t="n">
        <v>10372212</v>
      </c>
      <c r="M91" s="16" t="n">
        <v>1302980</v>
      </c>
      <c r="N91" s="16" t="n">
        <v>3486752</v>
      </c>
      <c r="O91" s="16" t="n">
        <v>429210</v>
      </c>
      <c r="P91" s="16" t="n">
        <v>470790</v>
      </c>
      <c r="Q91" s="16" t="n">
        <v>27082500</v>
      </c>
      <c r="R91" s="16" t="n">
        <v>7121810</v>
      </c>
      <c r="S91" s="16" t="n">
        <v>5644007</v>
      </c>
      <c r="T91" s="16" t="n">
        <v>20916875</v>
      </c>
      <c r="U91" s="16" t="n">
        <v>2560525</v>
      </c>
      <c r="V91" s="16" t="n">
        <v>4774950</v>
      </c>
      <c r="W91" s="16" t="n">
        <v>2013591.65998389</v>
      </c>
      <c r="X91" s="16" t="n">
        <v>1374750</v>
      </c>
      <c r="Y91" s="16" t="n">
        <v>1803840</v>
      </c>
      <c r="Z91" s="16" t="n">
        <v>2300803</v>
      </c>
      <c r="AA91" s="16" t="n">
        <v>7483750</v>
      </c>
      <c r="AB91" s="16" t="n">
        <v>2343750</v>
      </c>
      <c r="AC91" s="16" t="n">
        <v>16316247</v>
      </c>
      <c r="AD91" s="16" t="n">
        <v>1050000</v>
      </c>
      <c r="AE91" s="16" t="n">
        <v>81480000</v>
      </c>
      <c r="AF91" s="16" t="n">
        <v>1360000</v>
      </c>
      <c r="AG91" s="16" t="n">
        <v>93746588.676478</v>
      </c>
      <c r="AH91" s="16" t="n">
        <v>8406451.74260164</v>
      </c>
    </row>
    <row r="92" customFormat="false" ht="15.75" hidden="false" customHeight="false" outlineLevel="0" collapsed="false">
      <c r="A92" s="27" t="n">
        <v>36865</v>
      </c>
      <c r="B92" s="16" t="n">
        <v>1250000</v>
      </c>
      <c r="C92" s="16" t="n">
        <v>4563600</v>
      </c>
      <c r="D92" s="16" t="n">
        <v>2136334</v>
      </c>
      <c r="E92" s="16" t="n">
        <v>429975</v>
      </c>
      <c r="F92" s="16" t="n">
        <v>0</v>
      </c>
      <c r="G92" s="16" t="n">
        <v>116115000</v>
      </c>
      <c r="H92" s="16" t="n">
        <v>1663000</v>
      </c>
      <c r="I92" s="16" t="n">
        <v>12878050</v>
      </c>
      <c r="J92" s="16" t="n">
        <v>1012500</v>
      </c>
      <c r="K92" s="16" t="n">
        <v>23507915.0000002</v>
      </c>
      <c r="L92" s="16" t="n">
        <v>10372212</v>
      </c>
      <c r="M92" s="16" t="n">
        <v>1302980</v>
      </c>
      <c r="N92" s="16" t="n">
        <v>3486752</v>
      </c>
      <c r="O92" s="16" t="n">
        <v>429210</v>
      </c>
      <c r="P92" s="16" t="n">
        <v>470790</v>
      </c>
      <c r="Q92" s="16" t="n">
        <v>27082500</v>
      </c>
      <c r="R92" s="16" t="n">
        <v>7121810</v>
      </c>
      <c r="S92" s="16" t="n">
        <v>5644007</v>
      </c>
      <c r="T92" s="16" t="n">
        <v>20916875</v>
      </c>
      <c r="U92" s="16" t="n">
        <v>2560525</v>
      </c>
      <c r="V92" s="16" t="n">
        <v>4774950</v>
      </c>
      <c r="W92" s="16" t="n">
        <v>2013591.65998389</v>
      </c>
      <c r="X92" s="16" t="n">
        <v>1374750</v>
      </c>
      <c r="Y92" s="16" t="n">
        <v>1803840</v>
      </c>
      <c r="Z92" s="16" t="n">
        <v>2300803</v>
      </c>
      <c r="AA92" s="16" t="n">
        <v>7483750</v>
      </c>
      <c r="AB92" s="16" t="n">
        <v>2343750</v>
      </c>
      <c r="AC92" s="16" t="n">
        <v>16316247</v>
      </c>
      <c r="AD92" s="16" t="n">
        <v>1050000</v>
      </c>
      <c r="AE92" s="16" t="n">
        <v>81480000</v>
      </c>
      <c r="AF92" s="16" t="n">
        <v>1360000</v>
      </c>
      <c r="AG92" s="16" t="n">
        <v>93746588.676478</v>
      </c>
      <c r="AH92" s="16" t="n">
        <v>8659412.44178301</v>
      </c>
    </row>
    <row r="93" customFormat="false" ht="15.75" hidden="false" customHeight="false" outlineLevel="0" collapsed="false">
      <c r="A93" s="27" t="n">
        <v>36866</v>
      </c>
      <c r="B93" s="16" t="n">
        <v>1250000</v>
      </c>
      <c r="C93" s="16" t="n">
        <v>4563600</v>
      </c>
      <c r="D93" s="16" t="n">
        <v>2136334</v>
      </c>
      <c r="E93" s="16" t="n">
        <v>429975</v>
      </c>
      <c r="F93" s="16" t="n">
        <v>0</v>
      </c>
      <c r="G93" s="16" t="n">
        <v>116115000</v>
      </c>
      <c r="H93" s="16" t="n">
        <v>1663000</v>
      </c>
      <c r="I93" s="16" t="n">
        <v>12878050</v>
      </c>
      <c r="J93" s="16" t="n">
        <v>1012500</v>
      </c>
      <c r="K93" s="16" t="n">
        <v>23507915.0000002</v>
      </c>
      <c r="L93" s="16" t="n">
        <v>10372212</v>
      </c>
      <c r="M93" s="16" t="n">
        <v>1302980</v>
      </c>
      <c r="N93" s="16" t="n">
        <v>3486752</v>
      </c>
      <c r="O93" s="16" t="n">
        <v>429210</v>
      </c>
      <c r="P93" s="16" t="n">
        <v>470790</v>
      </c>
      <c r="Q93" s="16" t="n">
        <v>27082500</v>
      </c>
      <c r="R93" s="16" t="n">
        <v>7121810</v>
      </c>
      <c r="S93" s="16" t="n">
        <v>5644007</v>
      </c>
      <c r="T93" s="16" t="n">
        <v>20916875</v>
      </c>
      <c r="U93" s="16" t="n">
        <v>2560525</v>
      </c>
      <c r="V93" s="16" t="n">
        <v>4774950</v>
      </c>
      <c r="W93" s="16" t="n">
        <v>2013591.65998389</v>
      </c>
      <c r="X93" s="16" t="n">
        <v>1374750</v>
      </c>
      <c r="Y93" s="16" t="n">
        <v>1803840</v>
      </c>
      <c r="Z93" s="16" t="n">
        <v>2300803</v>
      </c>
      <c r="AA93" s="16" t="n">
        <v>7483750</v>
      </c>
      <c r="AB93" s="16" t="n">
        <v>2343750</v>
      </c>
      <c r="AC93" s="16" t="n">
        <v>16316247</v>
      </c>
      <c r="AD93" s="16" t="n">
        <v>1050000</v>
      </c>
      <c r="AE93" s="16" t="n">
        <v>81480000</v>
      </c>
      <c r="AF93" s="16" t="n">
        <v>1360000</v>
      </c>
      <c r="AG93" s="16" t="n">
        <v>93746588.676478</v>
      </c>
      <c r="AH93" s="16" t="n">
        <v>8546289.93037885</v>
      </c>
    </row>
    <row r="94" customFormat="false" ht="15.75" hidden="false" customHeight="false" outlineLevel="0" collapsed="false">
      <c r="A94" s="27" t="n">
        <v>36867</v>
      </c>
      <c r="B94" s="16" t="n">
        <v>1250000</v>
      </c>
      <c r="C94" s="16" t="n">
        <v>4563600</v>
      </c>
      <c r="D94" s="16" t="n">
        <v>2136334</v>
      </c>
      <c r="E94" s="16" t="n">
        <v>429975</v>
      </c>
      <c r="F94" s="16" t="n">
        <v>0</v>
      </c>
      <c r="G94" s="16" t="n">
        <v>116115000</v>
      </c>
      <c r="H94" s="16" t="n">
        <v>1663000</v>
      </c>
      <c r="I94" s="16" t="n">
        <v>12878050</v>
      </c>
      <c r="J94" s="16" t="n">
        <v>1012500</v>
      </c>
      <c r="K94" s="16" t="n">
        <v>23507915.0000002</v>
      </c>
      <c r="L94" s="16" t="n">
        <v>10372212</v>
      </c>
      <c r="M94" s="16" t="n">
        <v>1302980</v>
      </c>
      <c r="N94" s="16" t="n">
        <v>3486752</v>
      </c>
      <c r="O94" s="16" t="n">
        <v>429210</v>
      </c>
      <c r="P94" s="16" t="n">
        <v>470790</v>
      </c>
      <c r="Q94" s="16" t="n">
        <v>27082500</v>
      </c>
      <c r="R94" s="16" t="n">
        <v>7121810</v>
      </c>
      <c r="S94" s="16" t="n">
        <v>5644007</v>
      </c>
      <c r="T94" s="16" t="n">
        <v>20916875</v>
      </c>
      <c r="U94" s="16" t="n">
        <v>2560525</v>
      </c>
      <c r="V94" s="16" t="n">
        <v>4774950</v>
      </c>
      <c r="W94" s="16" t="n">
        <v>2013591.65998389</v>
      </c>
      <c r="X94" s="16" t="n">
        <v>1374750</v>
      </c>
      <c r="Y94" s="16" t="n">
        <v>1803840</v>
      </c>
      <c r="Z94" s="16" t="n">
        <v>2300803</v>
      </c>
      <c r="AA94" s="16" t="n">
        <v>7483750</v>
      </c>
      <c r="AB94" s="16" t="n">
        <v>2343750</v>
      </c>
      <c r="AC94" s="16" t="n">
        <v>16316247</v>
      </c>
      <c r="AD94" s="16" t="n">
        <v>1050000</v>
      </c>
      <c r="AE94" s="16" t="n">
        <v>81480000</v>
      </c>
      <c r="AF94" s="16" t="n">
        <v>1360000</v>
      </c>
      <c r="AG94" s="16" t="n">
        <v>93746588.676478</v>
      </c>
      <c r="AH94" s="16" t="n">
        <v>8366894.53358909</v>
      </c>
    </row>
    <row r="95" customFormat="false" ht="15.75" hidden="false" customHeight="false" outlineLevel="0" collapsed="false">
      <c r="A95" s="27" t="n">
        <v>36868</v>
      </c>
      <c r="B95" s="16" t="n">
        <v>1250000</v>
      </c>
      <c r="C95" s="16" t="n">
        <v>4563600</v>
      </c>
      <c r="D95" s="16" t="n">
        <v>2136334</v>
      </c>
      <c r="E95" s="16" t="n">
        <v>429975</v>
      </c>
      <c r="F95" s="16" t="n">
        <v>0</v>
      </c>
      <c r="G95" s="16" t="n">
        <v>116115000</v>
      </c>
      <c r="H95" s="16" t="n">
        <v>1663000</v>
      </c>
      <c r="I95" s="16" t="n">
        <v>12878050</v>
      </c>
      <c r="J95" s="16" t="n">
        <v>1012500</v>
      </c>
      <c r="K95" s="16" t="n">
        <v>23507915.0000002</v>
      </c>
      <c r="L95" s="16" t="n">
        <v>10372212</v>
      </c>
      <c r="M95" s="16" t="n">
        <v>1302980</v>
      </c>
      <c r="N95" s="16" t="n">
        <v>3486752</v>
      </c>
      <c r="O95" s="16" t="n">
        <v>429210</v>
      </c>
      <c r="P95" s="16" t="n">
        <v>470790</v>
      </c>
      <c r="Q95" s="16" t="n">
        <v>26054801.25</v>
      </c>
      <c r="R95" s="16" t="n">
        <v>7121810</v>
      </c>
      <c r="S95" s="16" t="n">
        <v>5644007</v>
      </c>
      <c r="T95" s="16" t="n">
        <v>20984932.99</v>
      </c>
      <c r="U95" s="16" t="n">
        <v>2560525</v>
      </c>
      <c r="V95" s="16" t="n">
        <v>4923475.66</v>
      </c>
      <c r="W95" s="16" t="n">
        <v>2013591.65998389</v>
      </c>
      <c r="X95" s="16" t="n">
        <v>1374750</v>
      </c>
      <c r="Y95" s="16" t="n">
        <v>1803840</v>
      </c>
      <c r="Z95" s="16" t="n">
        <v>2300803</v>
      </c>
      <c r="AA95" s="16" t="n">
        <v>7463158.74</v>
      </c>
      <c r="AB95" s="16" t="n">
        <v>2343750</v>
      </c>
      <c r="AC95" s="16" t="n">
        <v>16316247</v>
      </c>
      <c r="AD95" s="16" t="n">
        <v>1050000</v>
      </c>
      <c r="AE95" s="16" t="n">
        <v>80687584.61</v>
      </c>
      <c r="AF95" s="16" t="n">
        <v>1360000</v>
      </c>
      <c r="AG95" s="16" t="n">
        <v>93746588.676478</v>
      </c>
      <c r="AH95" s="16" t="n">
        <v>8370485.94426522</v>
      </c>
    </row>
    <row r="96" customFormat="false" ht="15.75" hidden="false" customHeight="false" outlineLevel="0" collapsed="false">
      <c r="A96" s="27" t="n">
        <v>36871</v>
      </c>
      <c r="B96" s="16" t="n">
        <v>1250000</v>
      </c>
      <c r="C96" s="16" t="n">
        <v>4563600</v>
      </c>
      <c r="D96" s="16" t="n">
        <v>2136334</v>
      </c>
      <c r="E96" s="16" t="n">
        <v>429975</v>
      </c>
      <c r="F96" s="16" t="n">
        <v>0</v>
      </c>
      <c r="G96" s="16" t="n">
        <v>60600021</v>
      </c>
      <c r="H96" s="16" t="n">
        <v>1663000</v>
      </c>
      <c r="I96" s="16" t="n">
        <v>12878050</v>
      </c>
      <c r="J96" s="16" t="n">
        <v>1012500</v>
      </c>
      <c r="K96" s="16" t="n">
        <v>23507915.0000002</v>
      </c>
      <c r="L96" s="16" t="n">
        <v>10372212</v>
      </c>
      <c r="M96" s="16" t="n">
        <v>1302980</v>
      </c>
      <c r="N96" s="16" t="n">
        <v>3486752</v>
      </c>
      <c r="O96" s="16" t="n">
        <v>429210</v>
      </c>
      <c r="P96" s="16" t="n">
        <v>470790</v>
      </c>
      <c r="Q96" s="16" t="n">
        <v>26054801.25</v>
      </c>
      <c r="R96" s="16" t="n">
        <v>7121810</v>
      </c>
      <c r="S96" s="16" t="n">
        <v>5644007</v>
      </c>
      <c r="T96" s="16" t="n">
        <v>20984932.99</v>
      </c>
      <c r="U96" s="16" t="n">
        <v>2560525</v>
      </c>
      <c r="V96" s="16" t="n">
        <v>4923475.66</v>
      </c>
      <c r="W96" s="16" t="n">
        <v>2013591.65998389</v>
      </c>
      <c r="X96" s="16" t="n">
        <v>1374750</v>
      </c>
      <c r="Y96" s="16" t="n">
        <v>1803840</v>
      </c>
      <c r="Z96" s="16" t="n">
        <v>2300803</v>
      </c>
      <c r="AA96" s="16" t="n">
        <v>7463158.74</v>
      </c>
      <c r="AB96" s="16" t="n">
        <v>2343750</v>
      </c>
      <c r="AC96" s="16" t="n">
        <v>16316247</v>
      </c>
      <c r="AD96" s="16" t="n">
        <v>1050000</v>
      </c>
      <c r="AE96" s="16" t="n">
        <v>80687584.61</v>
      </c>
      <c r="AF96" s="16" t="n">
        <v>1360000</v>
      </c>
      <c r="AG96" s="16" t="n">
        <v>93746588.676478</v>
      </c>
      <c r="AH96" s="16" t="n">
        <v>8428534.36376994</v>
      </c>
    </row>
    <row r="97" customFormat="false" ht="15.75" hidden="false" customHeight="false" outlineLevel="0" collapsed="false">
      <c r="A97" s="27" t="n">
        <v>36872</v>
      </c>
      <c r="B97" s="16" t="n">
        <v>1250000</v>
      </c>
      <c r="C97" s="16" t="n">
        <v>4563600</v>
      </c>
      <c r="D97" s="16" t="n">
        <v>2136334</v>
      </c>
      <c r="E97" s="16" t="n">
        <v>429975</v>
      </c>
      <c r="F97" s="16" t="n">
        <v>0</v>
      </c>
      <c r="G97" s="16" t="n">
        <v>60600021</v>
      </c>
      <c r="H97" s="16" t="n">
        <v>1663000</v>
      </c>
      <c r="I97" s="16" t="n">
        <v>12878050</v>
      </c>
      <c r="J97" s="16" t="n">
        <v>1012500</v>
      </c>
      <c r="K97" s="16" t="n">
        <v>23507915.0000002</v>
      </c>
      <c r="L97" s="16" t="n">
        <v>10372212</v>
      </c>
      <c r="M97" s="16" t="n">
        <v>1302980</v>
      </c>
      <c r="N97" s="16" t="n">
        <v>3486752</v>
      </c>
      <c r="O97" s="16" t="n">
        <v>429210</v>
      </c>
      <c r="P97" s="16" t="n">
        <v>470790</v>
      </c>
      <c r="Q97" s="16" t="n">
        <v>26054801.25</v>
      </c>
      <c r="R97" s="16" t="n">
        <v>7121810</v>
      </c>
      <c r="S97" s="16" t="n">
        <v>5644007</v>
      </c>
      <c r="T97" s="16" t="n">
        <v>20984932.99</v>
      </c>
      <c r="U97" s="16" t="n">
        <v>2560525</v>
      </c>
      <c r="V97" s="16" t="n">
        <v>4923475.66</v>
      </c>
      <c r="W97" s="16" t="n">
        <v>2013591.65998389</v>
      </c>
      <c r="X97" s="16" t="n">
        <v>1374750</v>
      </c>
      <c r="Y97" s="16" t="n">
        <v>1803840</v>
      </c>
      <c r="Z97" s="16" t="n">
        <v>2300803</v>
      </c>
      <c r="AA97" s="16" t="n">
        <v>7463158.74</v>
      </c>
      <c r="AB97" s="16" t="n">
        <v>2343750</v>
      </c>
      <c r="AC97" s="16" t="n">
        <v>16316247</v>
      </c>
      <c r="AD97" s="16" t="n">
        <v>1050000</v>
      </c>
      <c r="AE97" s="16" t="n">
        <v>80687584.61</v>
      </c>
      <c r="AF97" s="16" t="n">
        <v>1360000</v>
      </c>
      <c r="AG97" s="16" t="n">
        <v>93746588.676478</v>
      </c>
      <c r="AH97" s="16" t="n">
        <v>8677813.47775479</v>
      </c>
    </row>
    <row r="98" customFormat="false" ht="15.75" hidden="false" customHeight="false" outlineLevel="0" collapsed="false">
      <c r="A98" s="27" t="n">
        <v>36873</v>
      </c>
      <c r="B98" s="16" t="n">
        <v>1250000</v>
      </c>
      <c r="C98" s="16" t="n">
        <v>4563600</v>
      </c>
      <c r="D98" s="16" t="n">
        <v>2136334</v>
      </c>
      <c r="E98" s="16" t="n">
        <v>429975</v>
      </c>
      <c r="F98" s="16" t="n">
        <v>0</v>
      </c>
      <c r="G98" s="16" t="n">
        <v>60600021</v>
      </c>
      <c r="H98" s="16" t="n">
        <v>1663000</v>
      </c>
      <c r="I98" s="16" t="n">
        <v>12878050</v>
      </c>
      <c r="J98" s="16" t="n">
        <v>1012500</v>
      </c>
      <c r="K98" s="16" t="n">
        <v>23507915.0000002</v>
      </c>
      <c r="L98" s="16" t="n">
        <v>10372212</v>
      </c>
      <c r="M98" s="16" t="n">
        <v>1302980</v>
      </c>
      <c r="N98" s="16" t="n">
        <v>3486752</v>
      </c>
      <c r="O98" s="16" t="n">
        <v>429210</v>
      </c>
      <c r="P98" s="16" t="n">
        <v>470790</v>
      </c>
      <c r="Q98" s="16" t="n">
        <v>26054801.25</v>
      </c>
      <c r="R98" s="16" t="n">
        <v>7121810</v>
      </c>
      <c r="S98" s="16" t="n">
        <v>5644007</v>
      </c>
      <c r="T98" s="16" t="n">
        <v>20984932.99</v>
      </c>
      <c r="U98" s="16" t="n">
        <v>2560525</v>
      </c>
      <c r="V98" s="16" t="n">
        <v>4923475.66</v>
      </c>
      <c r="W98" s="16" t="n">
        <v>2013591.65998389</v>
      </c>
      <c r="X98" s="16" t="n">
        <v>1374750</v>
      </c>
      <c r="Y98" s="16" t="n">
        <v>1803840</v>
      </c>
      <c r="Z98" s="16" t="n">
        <v>2300803</v>
      </c>
      <c r="AA98" s="16" t="n">
        <v>7463158.74</v>
      </c>
      <c r="AB98" s="16" t="n">
        <v>2343750</v>
      </c>
      <c r="AC98" s="16" t="n">
        <v>16316247</v>
      </c>
      <c r="AD98" s="16" t="n">
        <v>1050000</v>
      </c>
      <c r="AE98" s="16" t="n">
        <v>80687584.61</v>
      </c>
      <c r="AF98" s="16" t="n">
        <v>1360000</v>
      </c>
      <c r="AG98" s="16" t="n">
        <v>93746588.676478</v>
      </c>
      <c r="AH98" s="16" t="n">
        <v>8555666.26940225</v>
      </c>
    </row>
    <row r="99" customFormat="false" ht="15.75" hidden="false" customHeight="false" outlineLevel="0" collapsed="false">
      <c r="A99" s="27" t="n">
        <v>36874</v>
      </c>
      <c r="B99" s="16" t="n">
        <v>1250000</v>
      </c>
      <c r="C99" s="16" t="n">
        <v>4563600</v>
      </c>
      <c r="D99" s="16" t="n">
        <v>2136334</v>
      </c>
      <c r="E99" s="16" t="n">
        <v>429975</v>
      </c>
      <c r="F99" s="16" t="n">
        <v>0</v>
      </c>
      <c r="G99" s="16" t="n">
        <v>0</v>
      </c>
      <c r="H99" s="16" t="n">
        <v>1663000</v>
      </c>
      <c r="I99" s="16" t="n">
        <v>12878050</v>
      </c>
      <c r="J99" s="16" t="n">
        <v>1012500</v>
      </c>
      <c r="K99" s="16" t="n">
        <v>23507915.0000002</v>
      </c>
      <c r="L99" s="16" t="n">
        <v>10372212</v>
      </c>
      <c r="M99" s="16" t="n">
        <v>1302980</v>
      </c>
      <c r="N99" s="16" t="n">
        <v>3486752</v>
      </c>
      <c r="O99" s="16" t="n">
        <v>429210</v>
      </c>
      <c r="P99" s="16" t="n">
        <v>470790</v>
      </c>
      <c r="Q99" s="16" t="n">
        <v>26054801.25</v>
      </c>
      <c r="R99" s="16" t="n">
        <v>7121810</v>
      </c>
      <c r="S99" s="16" t="n">
        <v>5644007</v>
      </c>
      <c r="T99" s="16" t="n">
        <v>20984932.99</v>
      </c>
      <c r="U99" s="16" t="n">
        <v>2560525</v>
      </c>
      <c r="V99" s="16" t="n">
        <v>4923475.66</v>
      </c>
      <c r="W99" s="16" t="n">
        <v>2013591.65998389</v>
      </c>
      <c r="X99" s="16" t="n">
        <v>1374750</v>
      </c>
      <c r="Y99" s="16" t="n">
        <v>1803840</v>
      </c>
      <c r="Z99" s="16" t="n">
        <v>2300803</v>
      </c>
      <c r="AA99" s="16" t="n">
        <v>7463158.74</v>
      </c>
      <c r="AB99" s="16" t="n">
        <v>2343750</v>
      </c>
      <c r="AC99" s="16" t="n">
        <v>16316247</v>
      </c>
      <c r="AD99" s="16" t="n">
        <v>1050000</v>
      </c>
      <c r="AE99" s="16" t="n">
        <v>80687584.61</v>
      </c>
      <c r="AF99" s="16" t="n">
        <v>1360000</v>
      </c>
      <c r="AG99" s="16" t="n">
        <v>93746588.676478</v>
      </c>
      <c r="AH99" s="16" t="n">
        <v>8486611.15383671</v>
      </c>
    </row>
    <row r="100" customFormat="false" ht="15.75" hidden="false" customHeight="false" outlineLevel="0" collapsed="false">
      <c r="A100" s="27" t="n">
        <v>36875</v>
      </c>
      <c r="B100" s="16" t="n">
        <v>1250000</v>
      </c>
      <c r="C100" s="16" t="n">
        <v>4563600</v>
      </c>
      <c r="D100" s="16" t="n">
        <v>2136334</v>
      </c>
      <c r="E100" s="16" t="n">
        <v>429975</v>
      </c>
      <c r="F100" s="16" t="n">
        <v>0</v>
      </c>
      <c r="G100" s="16" t="n">
        <v>0</v>
      </c>
      <c r="H100" s="16" t="n">
        <v>1663000</v>
      </c>
      <c r="I100" s="16" t="n">
        <v>12878050</v>
      </c>
      <c r="J100" s="16" t="n">
        <v>1012500</v>
      </c>
      <c r="K100" s="16" t="n">
        <v>23507915.0000002</v>
      </c>
      <c r="L100" s="16" t="n">
        <v>10372212</v>
      </c>
      <c r="M100" s="16" t="n">
        <v>1302980</v>
      </c>
      <c r="N100" s="16" t="n">
        <v>3486752</v>
      </c>
      <c r="O100" s="16" t="n">
        <v>429210</v>
      </c>
      <c r="P100" s="16" t="n">
        <v>470790</v>
      </c>
      <c r="Q100" s="16" t="n">
        <v>26054801.25</v>
      </c>
      <c r="R100" s="16" t="n">
        <v>7121810</v>
      </c>
      <c r="S100" s="16" t="n">
        <v>5644007</v>
      </c>
      <c r="T100" s="16" t="n">
        <v>20984932.99</v>
      </c>
      <c r="U100" s="16" t="n">
        <v>2560525</v>
      </c>
      <c r="V100" s="16" t="n">
        <v>4923475.66</v>
      </c>
      <c r="W100" s="16" t="n">
        <v>2013591.65998389</v>
      </c>
      <c r="X100" s="16" t="n">
        <v>1374750</v>
      </c>
      <c r="Y100" s="16" t="n">
        <v>1803840</v>
      </c>
      <c r="Z100" s="16" t="n">
        <v>2300803</v>
      </c>
      <c r="AA100" s="16" t="n">
        <v>7463158.74</v>
      </c>
      <c r="AB100" s="16" t="n">
        <v>2343750</v>
      </c>
      <c r="AC100" s="16" t="n">
        <v>16316247</v>
      </c>
      <c r="AD100" s="16" t="n">
        <v>1050000</v>
      </c>
      <c r="AE100" s="16" t="n">
        <v>80687584.61</v>
      </c>
      <c r="AF100" s="16" t="n">
        <v>1360000</v>
      </c>
      <c r="AG100" s="16" t="n">
        <v>93746588.676478</v>
      </c>
      <c r="AH100" s="16" t="n">
        <v>8464768.02991726</v>
      </c>
    </row>
    <row r="101" customFormat="false" ht="15.75" hidden="false" customHeight="false" outlineLevel="0" collapsed="false">
      <c r="A101" s="27" t="n">
        <v>36878</v>
      </c>
      <c r="B101" s="16" t="n">
        <v>1250000</v>
      </c>
      <c r="C101" s="16" t="n">
        <v>4563600</v>
      </c>
      <c r="D101" s="16" t="n">
        <v>2136334</v>
      </c>
      <c r="E101" s="16" t="n">
        <v>429975</v>
      </c>
      <c r="F101" s="16" t="n">
        <v>0</v>
      </c>
      <c r="G101" s="16" t="n">
        <v>0</v>
      </c>
      <c r="H101" s="16" t="n">
        <v>1663000</v>
      </c>
      <c r="I101" s="16" t="n">
        <v>12878050</v>
      </c>
      <c r="J101" s="16" t="n">
        <v>1012500</v>
      </c>
      <c r="K101" s="16" t="n">
        <v>23507915.0000002</v>
      </c>
      <c r="L101" s="16" t="n">
        <v>10372212</v>
      </c>
      <c r="M101" s="16" t="n">
        <v>1302980</v>
      </c>
      <c r="N101" s="16" t="n">
        <v>3486752</v>
      </c>
      <c r="O101" s="16" t="n">
        <v>429210</v>
      </c>
      <c r="P101" s="16" t="n">
        <v>470790</v>
      </c>
      <c r="Q101" s="16" t="n">
        <v>26054801.25</v>
      </c>
      <c r="R101" s="16" t="n">
        <v>7121810</v>
      </c>
      <c r="S101" s="16" t="n">
        <v>5644007</v>
      </c>
      <c r="T101" s="16" t="n">
        <v>20984932.99</v>
      </c>
      <c r="U101" s="16" t="n">
        <v>2560525</v>
      </c>
      <c r="V101" s="16" t="n">
        <v>4923475.66</v>
      </c>
      <c r="W101" s="16" t="n">
        <v>2013591.65998389</v>
      </c>
      <c r="X101" s="16" t="n">
        <v>1374750</v>
      </c>
      <c r="Y101" s="16" t="n">
        <v>1803840</v>
      </c>
      <c r="Z101" s="16" t="n">
        <v>2300803</v>
      </c>
      <c r="AA101" s="16" t="n">
        <v>7463158.74</v>
      </c>
      <c r="AB101" s="16" t="n">
        <v>2343750</v>
      </c>
      <c r="AC101" s="16" t="n">
        <v>16316247</v>
      </c>
      <c r="AD101" s="16" t="n">
        <v>1050000</v>
      </c>
      <c r="AE101" s="16" t="n">
        <v>80687584.61</v>
      </c>
      <c r="AF101" s="16" t="n">
        <v>1360000</v>
      </c>
      <c r="AG101" s="16" t="n">
        <v>93746588.676478</v>
      </c>
      <c r="AH101" s="16" t="n">
        <v>8488763.73228816</v>
      </c>
    </row>
    <row r="102" customFormat="false" ht="15.75" hidden="false" customHeight="false" outlineLevel="0" collapsed="false">
      <c r="A102" s="27" t="n">
        <v>36879</v>
      </c>
      <c r="B102" s="16" t="n">
        <v>1250000</v>
      </c>
      <c r="C102" s="16" t="n">
        <v>4563600</v>
      </c>
      <c r="D102" s="16" t="n">
        <v>2136334</v>
      </c>
      <c r="E102" s="16" t="n">
        <v>429975</v>
      </c>
      <c r="F102" s="16" t="n">
        <v>0</v>
      </c>
      <c r="G102" s="16" t="n">
        <v>0</v>
      </c>
      <c r="H102" s="16" t="n">
        <v>1663000</v>
      </c>
      <c r="I102" s="16" t="n">
        <v>12878050</v>
      </c>
      <c r="J102" s="16" t="n">
        <v>1012500</v>
      </c>
      <c r="K102" s="16" t="n">
        <v>23507915.0000002</v>
      </c>
      <c r="L102" s="16" t="n">
        <v>10372212</v>
      </c>
      <c r="M102" s="16" t="n">
        <v>1302980</v>
      </c>
      <c r="N102" s="16" t="n">
        <v>3486752</v>
      </c>
      <c r="O102" s="16" t="n">
        <v>429210</v>
      </c>
      <c r="P102" s="16" t="n">
        <v>470790</v>
      </c>
      <c r="Q102" s="16" t="n">
        <v>26054801.25</v>
      </c>
      <c r="R102" s="16" t="n">
        <v>7121810</v>
      </c>
      <c r="S102" s="16" t="n">
        <v>5644007</v>
      </c>
      <c r="T102" s="16" t="n">
        <v>20984932.99</v>
      </c>
      <c r="U102" s="16" t="n">
        <v>2560525</v>
      </c>
      <c r="V102" s="16" t="n">
        <v>4923475.66</v>
      </c>
      <c r="W102" s="16" t="n">
        <v>2013591.65998389</v>
      </c>
      <c r="X102" s="16" t="n">
        <v>1374750</v>
      </c>
      <c r="Y102" s="16" t="n">
        <v>1803840</v>
      </c>
      <c r="Z102" s="16" t="n">
        <v>2300803</v>
      </c>
      <c r="AA102" s="16" t="n">
        <v>7463158.74</v>
      </c>
      <c r="AB102" s="16" t="n">
        <v>2343750</v>
      </c>
      <c r="AC102" s="16" t="n">
        <v>16316247</v>
      </c>
      <c r="AD102" s="16" t="n">
        <v>1050000</v>
      </c>
      <c r="AE102" s="16" t="n">
        <v>80687584.61</v>
      </c>
      <c r="AF102" s="16" t="n">
        <v>1360000</v>
      </c>
      <c r="AG102" s="16" t="n">
        <v>93746588.676478</v>
      </c>
      <c r="AH102" s="16" t="n">
        <v>8522624.0681299</v>
      </c>
    </row>
    <row r="103" customFormat="false" ht="15.75" hidden="false" customHeight="false" outlineLevel="0" collapsed="false">
      <c r="A103" s="27" t="n">
        <v>36880</v>
      </c>
      <c r="B103" s="16" t="n">
        <v>1250000</v>
      </c>
      <c r="C103" s="16" t="n">
        <v>4563600</v>
      </c>
      <c r="D103" s="16" t="n">
        <v>2136334</v>
      </c>
      <c r="E103" s="16" t="n">
        <v>429975</v>
      </c>
      <c r="F103" s="16" t="n">
        <v>0</v>
      </c>
      <c r="G103" s="16" t="n">
        <v>0</v>
      </c>
      <c r="H103" s="16" t="n">
        <v>1663000</v>
      </c>
      <c r="I103" s="16" t="n">
        <v>12878050</v>
      </c>
      <c r="J103" s="16" t="n">
        <v>1012500</v>
      </c>
      <c r="K103" s="16" t="n">
        <v>23507915.0000002</v>
      </c>
      <c r="L103" s="16" t="n">
        <v>10372212</v>
      </c>
      <c r="M103" s="16" t="n">
        <v>1302980</v>
      </c>
      <c r="N103" s="16" t="n">
        <v>3486752</v>
      </c>
      <c r="O103" s="16" t="n">
        <v>429210</v>
      </c>
      <c r="P103" s="16" t="n">
        <v>470790</v>
      </c>
      <c r="Q103" s="16" t="n">
        <v>26054801.25</v>
      </c>
      <c r="R103" s="16" t="n">
        <v>7121810</v>
      </c>
      <c r="S103" s="16" t="n">
        <v>5644007</v>
      </c>
      <c r="T103" s="16" t="n">
        <v>20984932.99</v>
      </c>
      <c r="U103" s="16" t="n">
        <v>2560525</v>
      </c>
      <c r="V103" s="16" t="n">
        <v>4923475.66</v>
      </c>
      <c r="W103" s="16" t="n">
        <v>2013591.65998389</v>
      </c>
      <c r="X103" s="16" t="n">
        <v>1374750</v>
      </c>
      <c r="Y103" s="16" t="n">
        <v>1803840</v>
      </c>
      <c r="Z103" s="16" t="n">
        <v>2300803</v>
      </c>
      <c r="AA103" s="16" t="n">
        <v>7463158.74</v>
      </c>
      <c r="AB103" s="16" t="n">
        <v>2343750</v>
      </c>
      <c r="AC103" s="16" t="n">
        <v>16316247</v>
      </c>
      <c r="AD103" s="16" t="n">
        <v>1050000</v>
      </c>
      <c r="AE103" s="16" t="n">
        <v>80687584.61</v>
      </c>
      <c r="AF103" s="16" t="n">
        <v>1360000</v>
      </c>
      <c r="AG103" s="16" t="n">
        <v>93746588.676478</v>
      </c>
      <c r="AH103" s="16" t="n">
        <v>7750581.30689082</v>
      </c>
    </row>
    <row r="104" customFormat="false" ht="15.75" hidden="false" customHeight="false" outlineLevel="0" collapsed="false">
      <c r="A104" s="27" t="n">
        <v>36881</v>
      </c>
      <c r="B104" s="16" t="n">
        <v>1250000</v>
      </c>
      <c r="C104" s="16" t="n">
        <v>4563600</v>
      </c>
      <c r="D104" s="16" t="n">
        <v>1247943.5</v>
      </c>
      <c r="E104" s="16" t="n">
        <v>429975</v>
      </c>
      <c r="F104" s="16" t="n">
        <v>0</v>
      </c>
      <c r="G104" s="16" t="n">
        <v>0</v>
      </c>
      <c r="H104" s="16" t="n">
        <v>1663000</v>
      </c>
      <c r="I104" s="16" t="n">
        <v>0</v>
      </c>
      <c r="J104" s="16" t="n">
        <v>1012500</v>
      </c>
      <c r="K104" s="16" t="n">
        <v>23507915.0000002</v>
      </c>
      <c r="L104" s="16" t="n">
        <v>10372212</v>
      </c>
      <c r="M104" s="16" t="n">
        <v>1302980</v>
      </c>
      <c r="N104" s="16" t="n">
        <v>3486752</v>
      </c>
      <c r="O104" s="16" t="n">
        <v>429210</v>
      </c>
      <c r="P104" s="16" t="n">
        <v>470790</v>
      </c>
      <c r="Q104" s="16" t="n">
        <v>26054801.25</v>
      </c>
      <c r="R104" s="16" t="n">
        <v>7121810</v>
      </c>
      <c r="S104" s="16" t="n">
        <v>5644007</v>
      </c>
      <c r="T104" s="16" t="n">
        <v>20984932.99</v>
      </c>
      <c r="U104" s="16" t="n">
        <v>2560525</v>
      </c>
      <c r="V104" s="16" t="n">
        <v>4923475.66</v>
      </c>
      <c r="W104" s="16" t="n">
        <v>2013591.65998389</v>
      </c>
      <c r="X104" s="16" t="n">
        <v>1374750</v>
      </c>
      <c r="Y104" s="16" t="n">
        <v>1803840</v>
      </c>
      <c r="Z104" s="16" t="n">
        <v>2300803</v>
      </c>
      <c r="AA104" s="16" t="n">
        <v>7463158.74</v>
      </c>
      <c r="AB104" s="16" t="n">
        <v>2343750</v>
      </c>
      <c r="AC104" s="16" t="n">
        <v>16316247</v>
      </c>
      <c r="AD104" s="16" t="n">
        <v>1050000</v>
      </c>
      <c r="AE104" s="16" t="n">
        <v>80687584.61</v>
      </c>
      <c r="AF104" s="16" t="n">
        <v>1360000</v>
      </c>
      <c r="AG104" s="16" t="n">
        <v>93746588.676478</v>
      </c>
      <c r="AH104" s="16" t="n">
        <v>7754384.31649932</v>
      </c>
    </row>
    <row r="105" customFormat="false" ht="15.75" hidden="false" customHeight="false" outlineLevel="0" collapsed="false">
      <c r="A105" s="27" t="n">
        <v>36882</v>
      </c>
      <c r="B105" s="16" t="n">
        <v>1250000</v>
      </c>
      <c r="C105" s="16" t="n">
        <v>4563600</v>
      </c>
      <c r="D105" s="16" t="n">
        <v>1247943.5</v>
      </c>
      <c r="E105" s="16" t="n">
        <v>429975</v>
      </c>
      <c r="F105" s="16" t="n">
        <v>0</v>
      </c>
      <c r="G105" s="16" t="n">
        <v>0</v>
      </c>
      <c r="H105" s="16" t="n">
        <v>1663000</v>
      </c>
      <c r="I105" s="16" t="n">
        <v>0</v>
      </c>
      <c r="J105" s="16" t="n">
        <v>1012500</v>
      </c>
      <c r="K105" s="16" t="n">
        <v>23507915.0000002</v>
      </c>
      <c r="L105" s="16" t="n">
        <v>10372212</v>
      </c>
      <c r="M105" s="16" t="n">
        <v>1302980</v>
      </c>
      <c r="N105" s="16" t="n">
        <v>3486752</v>
      </c>
      <c r="O105" s="16" t="n">
        <v>429210</v>
      </c>
      <c r="P105" s="16" t="n">
        <v>470790</v>
      </c>
      <c r="Q105" s="16" t="n">
        <v>26054801.25</v>
      </c>
      <c r="R105" s="16" t="n">
        <v>7121810</v>
      </c>
      <c r="S105" s="16" t="n">
        <v>5644007</v>
      </c>
      <c r="T105" s="16" t="n">
        <v>20984932.99</v>
      </c>
      <c r="U105" s="16" t="n">
        <v>2560525</v>
      </c>
      <c r="V105" s="16" t="n">
        <v>4923475.66</v>
      </c>
      <c r="W105" s="16" t="n">
        <v>2013591.65998389</v>
      </c>
      <c r="X105" s="16" t="n">
        <v>1374750</v>
      </c>
      <c r="Y105" s="16" t="n">
        <v>1803840</v>
      </c>
      <c r="Z105" s="16" t="n">
        <v>2300803</v>
      </c>
      <c r="AA105" s="16" t="n">
        <v>7463158.74</v>
      </c>
      <c r="AB105" s="16" t="n">
        <v>2343750</v>
      </c>
      <c r="AC105" s="16" t="n">
        <v>16316247</v>
      </c>
      <c r="AD105" s="16" t="n">
        <v>1050000</v>
      </c>
      <c r="AE105" s="16" t="n">
        <v>80687584.61</v>
      </c>
      <c r="AF105" s="16" t="n">
        <v>1360000</v>
      </c>
      <c r="AG105" s="16" t="n">
        <v>93746588.676478</v>
      </c>
      <c r="AH105" s="16" t="n">
        <v>7686239.17439063</v>
      </c>
    </row>
    <row r="106" customFormat="false" ht="15.75" hidden="false" customHeight="false" outlineLevel="0" collapsed="false">
      <c r="A106" s="27" t="n">
        <v>36886</v>
      </c>
      <c r="B106" s="16" t="n">
        <v>1250000</v>
      </c>
      <c r="C106" s="16" t="n">
        <v>4563600</v>
      </c>
      <c r="D106" s="16" t="n">
        <v>1247943.5</v>
      </c>
      <c r="E106" s="16" t="n">
        <v>429975</v>
      </c>
      <c r="F106" s="16" t="n">
        <v>0</v>
      </c>
      <c r="G106" s="16" t="n">
        <v>0</v>
      </c>
      <c r="H106" s="16" t="n">
        <v>1663000</v>
      </c>
      <c r="I106" s="16" t="n">
        <v>0</v>
      </c>
      <c r="J106" s="16" t="n">
        <v>1012500</v>
      </c>
      <c r="K106" s="16" t="n">
        <v>23507915.0000002</v>
      </c>
      <c r="L106" s="16" t="n">
        <v>10372212</v>
      </c>
      <c r="M106" s="16" t="n">
        <v>1302980</v>
      </c>
      <c r="N106" s="16" t="n">
        <v>3486752</v>
      </c>
      <c r="O106" s="16" t="n">
        <v>429210</v>
      </c>
      <c r="P106" s="16" t="n">
        <v>470790</v>
      </c>
      <c r="Q106" s="16" t="n">
        <v>26054801.25</v>
      </c>
      <c r="R106" s="16" t="n">
        <v>7121810</v>
      </c>
      <c r="S106" s="16" t="n">
        <v>5644007</v>
      </c>
      <c r="T106" s="16" t="n">
        <v>20984932.99</v>
      </c>
      <c r="U106" s="16" t="n">
        <v>2560525</v>
      </c>
      <c r="V106" s="16" t="n">
        <v>4923475.66</v>
      </c>
      <c r="W106" s="16" t="n">
        <v>2013591.65998389</v>
      </c>
      <c r="X106" s="16" t="n">
        <v>1374750</v>
      </c>
      <c r="Y106" s="16" t="n">
        <v>1803840</v>
      </c>
      <c r="Z106" s="16" t="n">
        <v>2300803</v>
      </c>
      <c r="AA106" s="16" t="n">
        <v>7463158.74</v>
      </c>
      <c r="AB106" s="16" t="n">
        <v>2343750</v>
      </c>
      <c r="AC106" s="16" t="n">
        <v>16316247</v>
      </c>
      <c r="AD106" s="16" t="n">
        <v>1050000</v>
      </c>
      <c r="AE106" s="16" t="n">
        <v>80687584.61</v>
      </c>
      <c r="AF106" s="16" t="n">
        <v>1360000</v>
      </c>
      <c r="AG106" s="16" t="n">
        <v>93746588.676478</v>
      </c>
      <c r="AH106" s="16" t="n">
        <v>7874660.04542786</v>
      </c>
    </row>
    <row r="107" customFormat="false" ht="15.75" hidden="false" customHeight="false" outlineLevel="0" collapsed="false">
      <c r="A107" s="27" t="n">
        <v>36887</v>
      </c>
      <c r="B107" s="16" t="n">
        <v>1250000</v>
      </c>
      <c r="C107" s="16" t="n">
        <v>4563600</v>
      </c>
      <c r="D107" s="16" t="n">
        <v>1247943.5</v>
      </c>
      <c r="E107" s="16" t="n">
        <v>429975</v>
      </c>
      <c r="F107" s="16" t="n">
        <v>0</v>
      </c>
      <c r="G107" s="16" t="n">
        <v>0</v>
      </c>
      <c r="H107" s="16" t="n">
        <v>1663000</v>
      </c>
      <c r="I107" s="16" t="n">
        <v>0</v>
      </c>
      <c r="J107" s="16" t="n">
        <v>1012500</v>
      </c>
      <c r="K107" s="16" t="n">
        <v>23507915.0000002</v>
      </c>
      <c r="L107" s="16" t="n">
        <v>10372212</v>
      </c>
      <c r="M107" s="16" t="n">
        <v>1302980</v>
      </c>
      <c r="N107" s="16" t="n">
        <v>3486752</v>
      </c>
      <c r="O107" s="16" t="n">
        <v>429210</v>
      </c>
      <c r="P107" s="16" t="n">
        <v>470790</v>
      </c>
      <c r="Q107" s="16" t="n">
        <v>26054801.25</v>
      </c>
      <c r="R107" s="16" t="n">
        <v>7121810</v>
      </c>
      <c r="S107" s="16" t="n">
        <v>5644007</v>
      </c>
      <c r="T107" s="16" t="n">
        <v>20984932.99</v>
      </c>
      <c r="U107" s="16" t="n">
        <v>2560525</v>
      </c>
      <c r="V107" s="16" t="n">
        <v>4923475.66</v>
      </c>
      <c r="W107" s="16" t="n">
        <v>2013591.65998389</v>
      </c>
      <c r="X107" s="16" t="n">
        <v>1374750</v>
      </c>
      <c r="Y107" s="16" t="n">
        <v>1803840</v>
      </c>
      <c r="Z107" s="16" t="n">
        <v>2300803</v>
      </c>
      <c r="AA107" s="16" t="n">
        <v>7463158.74</v>
      </c>
      <c r="AB107" s="16" t="n">
        <v>2343750</v>
      </c>
      <c r="AC107" s="16" t="n">
        <v>16316247</v>
      </c>
      <c r="AD107" s="16" t="n">
        <v>1050000</v>
      </c>
      <c r="AE107" s="16" t="n">
        <v>80687584.61</v>
      </c>
      <c r="AF107" s="16" t="n">
        <v>1360000</v>
      </c>
      <c r="AG107" s="16" t="n">
        <v>93746588.676478</v>
      </c>
      <c r="AH107" s="16" t="n">
        <v>7935513.81515418</v>
      </c>
    </row>
    <row r="108" customFormat="false" ht="15.75" hidden="false" customHeight="false" outlineLevel="0" collapsed="false">
      <c r="A108" s="27" t="n">
        <v>36888</v>
      </c>
      <c r="B108" s="16" t="n">
        <v>1250000</v>
      </c>
      <c r="C108" s="16" t="n">
        <v>4563600</v>
      </c>
      <c r="D108" s="16" t="n">
        <v>1247943.5</v>
      </c>
      <c r="E108" s="16" t="n">
        <v>429975</v>
      </c>
      <c r="F108" s="16" t="n">
        <v>0</v>
      </c>
      <c r="G108" s="16" t="n">
        <v>0</v>
      </c>
      <c r="H108" s="16" t="n">
        <v>1663000</v>
      </c>
      <c r="I108" s="16" t="n">
        <v>0</v>
      </c>
      <c r="J108" s="16" t="n">
        <v>1012500</v>
      </c>
      <c r="K108" s="16" t="n">
        <v>23507915.0000002</v>
      </c>
      <c r="L108" s="16" t="n">
        <v>10372212</v>
      </c>
      <c r="M108" s="16" t="n">
        <v>1302980</v>
      </c>
      <c r="N108" s="16" t="n">
        <v>3486752</v>
      </c>
      <c r="O108" s="16" t="n">
        <v>429210</v>
      </c>
      <c r="P108" s="16" t="n">
        <v>470790</v>
      </c>
      <c r="Q108" s="16" t="n">
        <v>26054801.25</v>
      </c>
      <c r="R108" s="16" t="n">
        <v>7121810</v>
      </c>
      <c r="S108" s="16" t="n">
        <v>5644007</v>
      </c>
      <c r="T108" s="16" t="n">
        <v>20984932.99</v>
      </c>
      <c r="U108" s="16" t="n">
        <v>2560525</v>
      </c>
      <c r="V108" s="16" t="n">
        <v>4923475.66</v>
      </c>
      <c r="W108" s="16" t="n">
        <v>2013591.65998389</v>
      </c>
      <c r="X108" s="16" t="n">
        <v>1374750</v>
      </c>
      <c r="Y108" s="16" t="n">
        <v>1803840</v>
      </c>
      <c r="Z108" s="16" t="n">
        <v>2300803</v>
      </c>
      <c r="AA108" s="16" t="n">
        <v>7463158.74</v>
      </c>
      <c r="AB108" s="16" t="n">
        <v>2343750</v>
      </c>
      <c r="AC108" s="16" t="n">
        <v>16316247</v>
      </c>
      <c r="AD108" s="16" t="n">
        <v>1050000</v>
      </c>
      <c r="AE108" s="16" t="n">
        <v>80687584.61</v>
      </c>
      <c r="AF108" s="16" t="n">
        <v>1360000</v>
      </c>
      <c r="AG108" s="16" t="n">
        <v>93746588.676478</v>
      </c>
      <c r="AH108" s="16" t="n">
        <v>7976721.09167986</v>
      </c>
    </row>
    <row r="109" customFormat="false" ht="15.75" hidden="false" customHeight="false" outlineLevel="0" collapsed="false">
      <c r="A109" s="27" t="n">
        <v>36889</v>
      </c>
      <c r="B109" s="16" t="n">
        <v>1250000</v>
      </c>
      <c r="C109" s="16" t="n">
        <v>4375178.69</v>
      </c>
      <c r="D109" s="16" t="n">
        <v>1247943.5</v>
      </c>
      <c r="E109" s="16"/>
      <c r="F109" s="16" t="n">
        <v>0</v>
      </c>
      <c r="G109" s="16"/>
      <c r="H109" s="16" t="n">
        <v>1663000</v>
      </c>
      <c r="I109" s="16" t="n">
        <v>0</v>
      </c>
      <c r="J109" s="16"/>
      <c r="K109" s="16" t="n">
        <v>23507915.0000002</v>
      </c>
      <c r="L109" s="16" t="n">
        <v>10372212</v>
      </c>
      <c r="M109" s="16" t="n">
        <v>1302980</v>
      </c>
      <c r="N109" s="16" t="n">
        <v>3486752</v>
      </c>
      <c r="O109" s="16" t="n">
        <v>429210</v>
      </c>
      <c r="P109" s="16" t="n">
        <v>470790</v>
      </c>
      <c r="Q109" s="16" t="n">
        <v>23513434.5</v>
      </c>
      <c r="R109" s="16" t="n">
        <v>7121810</v>
      </c>
      <c r="S109" s="16" t="n">
        <v>5644007</v>
      </c>
      <c r="T109" s="16" t="n">
        <v>20999559.86</v>
      </c>
      <c r="U109" s="16" t="n">
        <v>2560525</v>
      </c>
      <c r="V109" s="16"/>
      <c r="W109" s="16" t="n">
        <v>2013591.65998389</v>
      </c>
      <c r="X109" s="16" t="n">
        <v>1374750</v>
      </c>
      <c r="Y109" s="16" t="n">
        <v>1803840</v>
      </c>
      <c r="Z109" s="16" t="n">
        <v>2300803</v>
      </c>
      <c r="AA109" s="16" t="n">
        <v>8551988.34</v>
      </c>
      <c r="AB109" s="16" t="n">
        <v>2343750</v>
      </c>
      <c r="AC109" s="16" t="n">
        <v>16316247</v>
      </c>
      <c r="AD109" s="16" t="n">
        <v>1050000</v>
      </c>
      <c r="AE109" s="16" t="n">
        <v>80202486.48</v>
      </c>
      <c r="AF109" s="16" t="n">
        <v>1360000</v>
      </c>
      <c r="AG109" s="16" t="n">
        <v>93746588.676478</v>
      </c>
      <c r="AH109" s="16" t="n">
        <v>8557084.52796019</v>
      </c>
    </row>
    <row r="110" customFormat="false" ht="15.75" hidden="false" customHeight="false" outlineLevel="0" collapsed="false">
      <c r="A110" s="27" t="n">
        <v>36893</v>
      </c>
      <c r="B110" s="16" t="n">
        <v>1250000</v>
      </c>
      <c r="C110" s="16" t="n">
        <v>4375178.69</v>
      </c>
      <c r="D110" s="16" t="n">
        <v>1247943.5</v>
      </c>
      <c r="E110" s="16"/>
      <c r="F110" s="16" t="n">
        <v>0</v>
      </c>
      <c r="G110" s="16"/>
      <c r="H110" s="16" t="n">
        <v>1663000</v>
      </c>
      <c r="I110" s="16" t="n">
        <v>0</v>
      </c>
      <c r="J110" s="16"/>
      <c r="K110" s="16" t="n">
        <v>23507915.0000002</v>
      </c>
      <c r="L110" s="16" t="n">
        <v>10372212</v>
      </c>
      <c r="M110" s="16" t="n">
        <v>1302980</v>
      </c>
      <c r="N110" s="16" t="n">
        <v>3486752</v>
      </c>
      <c r="O110" s="16" t="n">
        <v>429210</v>
      </c>
      <c r="P110" s="16" t="n">
        <v>470790</v>
      </c>
      <c r="Q110" s="16" t="n">
        <v>23513434.5</v>
      </c>
      <c r="R110" s="16" t="n">
        <v>7121810</v>
      </c>
      <c r="S110" s="16" t="n">
        <v>5644007</v>
      </c>
      <c r="T110" s="16" t="n">
        <v>20999559.86</v>
      </c>
      <c r="U110" s="16" t="n">
        <v>2560525</v>
      </c>
      <c r="V110" s="16"/>
      <c r="W110" s="16" t="n">
        <v>2013591.65998389</v>
      </c>
      <c r="X110" s="16" t="n">
        <v>1374750</v>
      </c>
      <c r="Y110" s="16" t="n">
        <v>1803840</v>
      </c>
      <c r="Z110" s="16" t="n">
        <v>2300803</v>
      </c>
      <c r="AA110" s="16" t="n">
        <v>8551988.34</v>
      </c>
      <c r="AB110" s="16" t="n">
        <v>2343750</v>
      </c>
      <c r="AC110" s="16" t="n">
        <v>16316247</v>
      </c>
      <c r="AD110" s="16" t="n">
        <v>1050000</v>
      </c>
      <c r="AE110" s="16" t="n">
        <v>80202486.48</v>
      </c>
      <c r="AF110" s="16" t="n">
        <v>1360000</v>
      </c>
      <c r="AG110" s="16" t="n">
        <v>93746588.676478</v>
      </c>
      <c r="AH110" s="16" t="n">
        <v>8479385.65489237</v>
      </c>
    </row>
    <row r="111" customFormat="false" ht="15.75" hidden="false" customHeight="false" outlineLevel="0" collapsed="false">
      <c r="A111" s="27" t="n">
        <v>36894</v>
      </c>
      <c r="B111" s="16" t="n">
        <v>1250000</v>
      </c>
      <c r="C111" s="16" t="n">
        <v>4375178.69</v>
      </c>
      <c r="D111" s="16" t="n">
        <v>1247943.5</v>
      </c>
      <c r="E111" s="16"/>
      <c r="F111" s="16" t="n">
        <v>0</v>
      </c>
      <c r="G111" s="16"/>
      <c r="H111" s="16" t="n">
        <v>1663000</v>
      </c>
      <c r="I111" s="16" t="n">
        <v>0</v>
      </c>
      <c r="J111" s="16"/>
      <c r="K111" s="16" t="n">
        <v>23507915.0000002</v>
      </c>
      <c r="L111" s="16" t="n">
        <v>10372212</v>
      </c>
      <c r="M111" s="16" t="n">
        <v>1302980</v>
      </c>
      <c r="N111" s="16" t="n">
        <v>3486752</v>
      </c>
      <c r="O111" s="16" t="n">
        <v>429210</v>
      </c>
      <c r="P111" s="16" t="n">
        <v>470790</v>
      </c>
      <c r="Q111" s="16" t="n">
        <v>23513434.5</v>
      </c>
      <c r="R111" s="16" t="n">
        <v>7121810</v>
      </c>
      <c r="S111" s="16" t="n">
        <v>5644007</v>
      </c>
      <c r="T111" s="16" t="n">
        <v>20999559.86</v>
      </c>
      <c r="U111" s="16" t="n">
        <v>2560525</v>
      </c>
      <c r="V111" s="16"/>
      <c r="W111" s="16" t="n">
        <v>2013591.65998389</v>
      </c>
      <c r="X111" s="16" t="n">
        <v>1374750</v>
      </c>
      <c r="Y111" s="16" t="n">
        <v>1803840</v>
      </c>
      <c r="Z111" s="16" t="n">
        <v>2300803</v>
      </c>
      <c r="AA111" s="16" t="n">
        <v>8551988.34</v>
      </c>
      <c r="AB111" s="16" t="n">
        <v>2343750</v>
      </c>
      <c r="AC111" s="16" t="n">
        <v>16316247</v>
      </c>
      <c r="AD111" s="16" t="n">
        <v>1050000</v>
      </c>
      <c r="AE111" s="16" t="n">
        <v>80202486.48</v>
      </c>
      <c r="AF111" s="16" t="n">
        <v>1360000</v>
      </c>
      <c r="AG111" s="16" t="n">
        <v>93746588.676478</v>
      </c>
      <c r="AH111" s="16" t="n">
        <v>8833596.14226901</v>
      </c>
    </row>
    <row r="112" customFormat="false" ht="15.75" hidden="false" customHeight="false" outlineLevel="0" collapsed="false">
      <c r="A112" s="27" t="n">
        <v>36895</v>
      </c>
      <c r="B112" s="16" t="n">
        <v>1250000</v>
      </c>
      <c r="C112" s="16" t="n">
        <v>4375178.69</v>
      </c>
      <c r="D112" s="16" t="n">
        <v>1247943.5</v>
      </c>
      <c r="E112" s="16"/>
      <c r="F112" s="16" t="n">
        <v>0</v>
      </c>
      <c r="G112" s="16"/>
      <c r="H112" s="16" t="n">
        <v>1663000</v>
      </c>
      <c r="I112" s="16" t="n">
        <v>0</v>
      </c>
      <c r="J112" s="16"/>
      <c r="K112" s="16" t="n">
        <v>23507915.0000002</v>
      </c>
      <c r="L112" s="16" t="n">
        <v>10372212</v>
      </c>
      <c r="M112" s="16" t="n">
        <v>1302980</v>
      </c>
      <c r="N112" s="16" t="n">
        <v>3486752</v>
      </c>
      <c r="O112" s="16" t="n">
        <v>429210</v>
      </c>
      <c r="P112" s="16" t="n">
        <v>470790</v>
      </c>
      <c r="Q112" s="16" t="n">
        <v>23513434.5</v>
      </c>
      <c r="R112" s="16" t="n">
        <v>7121810</v>
      </c>
      <c r="S112" s="16" t="n">
        <v>5644007</v>
      </c>
      <c r="T112" s="16" t="n">
        <v>20999559.86</v>
      </c>
      <c r="U112" s="16" t="n">
        <v>2560525</v>
      </c>
      <c r="V112" s="16"/>
      <c r="W112" s="16" t="n">
        <v>2013591.65998389</v>
      </c>
      <c r="X112" s="16" t="n">
        <v>1374750</v>
      </c>
      <c r="Y112" s="16" t="n">
        <v>1803840</v>
      </c>
      <c r="Z112" s="16" t="n">
        <v>2300803</v>
      </c>
      <c r="AA112" s="16" t="n">
        <v>8551988.34</v>
      </c>
      <c r="AB112" s="16" t="n">
        <v>2343750</v>
      </c>
      <c r="AC112" s="16" t="n">
        <v>16316247</v>
      </c>
      <c r="AD112" s="16" t="n">
        <v>1050000</v>
      </c>
      <c r="AE112" s="16" t="n">
        <v>80202486.48</v>
      </c>
      <c r="AF112" s="16" t="n">
        <v>1360000</v>
      </c>
      <c r="AG112" s="16" t="n">
        <v>93746588.676478</v>
      </c>
      <c r="AH112" s="16" t="n">
        <v>8458919.07118152</v>
      </c>
    </row>
    <row r="113" customFormat="false" ht="15.75" hidden="false" customHeight="false" outlineLevel="0" collapsed="false">
      <c r="A113" s="27" t="n">
        <v>36896</v>
      </c>
      <c r="B113" s="16" t="n">
        <v>1250000</v>
      </c>
      <c r="C113" s="16" t="n">
        <v>4375178.69</v>
      </c>
      <c r="D113" s="16" t="n">
        <v>1247943.5</v>
      </c>
      <c r="E113" s="16"/>
      <c r="F113" s="16" t="n">
        <v>0</v>
      </c>
      <c r="G113" s="16"/>
      <c r="H113" s="16" t="n">
        <v>1663000</v>
      </c>
      <c r="I113" s="16" t="n">
        <v>0</v>
      </c>
      <c r="J113" s="16"/>
      <c r="K113" s="16" t="n">
        <v>23507915.0000002</v>
      </c>
      <c r="L113" s="16" t="n">
        <v>10372212</v>
      </c>
      <c r="M113" s="16" t="n">
        <v>1302980</v>
      </c>
      <c r="N113" s="16" t="n">
        <v>3486752</v>
      </c>
      <c r="O113" s="16" t="n">
        <v>429210</v>
      </c>
      <c r="P113" s="16" t="n">
        <v>470790</v>
      </c>
      <c r="Q113" s="16" t="n">
        <v>23513434.5</v>
      </c>
      <c r="R113" s="16" t="n">
        <v>7121810</v>
      </c>
      <c r="S113" s="16" t="n">
        <v>5644007</v>
      </c>
      <c r="T113" s="16" t="n">
        <v>20999559.86</v>
      </c>
      <c r="U113" s="16" t="n">
        <v>2560525</v>
      </c>
      <c r="V113" s="16"/>
      <c r="W113" s="16" t="n">
        <v>2013591.65998389</v>
      </c>
      <c r="X113" s="16" t="n">
        <v>1374750</v>
      </c>
      <c r="Y113" s="16" t="n">
        <v>1803840</v>
      </c>
      <c r="Z113" s="16" t="n">
        <v>2300803</v>
      </c>
      <c r="AA113" s="16" t="n">
        <v>8551988.34</v>
      </c>
      <c r="AB113" s="16" t="n">
        <v>2343750</v>
      </c>
      <c r="AC113" s="16" t="n">
        <v>16316247</v>
      </c>
      <c r="AD113" s="16" t="n">
        <v>1050000</v>
      </c>
      <c r="AE113" s="16" t="n">
        <v>80202486.48</v>
      </c>
      <c r="AF113" s="16" t="n">
        <v>1360000</v>
      </c>
      <c r="AG113" s="16" t="n">
        <v>93746588.676478</v>
      </c>
      <c r="AH113" s="16" t="n">
        <v>8456866.66561978</v>
      </c>
    </row>
    <row r="114" customFormat="false" ht="15.75" hidden="false" customHeight="false" outlineLevel="0" collapsed="false">
      <c r="A114" s="27" t="n">
        <v>36899</v>
      </c>
      <c r="B114" s="16" t="n">
        <v>1250000</v>
      </c>
      <c r="C114" s="16" t="n">
        <v>4375178.69</v>
      </c>
      <c r="D114" s="16" t="n">
        <v>1247943.5</v>
      </c>
      <c r="E114" s="16"/>
      <c r="F114" s="16" t="n">
        <v>0</v>
      </c>
      <c r="G114" s="16"/>
      <c r="H114" s="16" t="n">
        <v>1663000</v>
      </c>
      <c r="I114" s="16" t="n">
        <v>0</v>
      </c>
      <c r="J114" s="16"/>
      <c r="K114" s="16" t="n">
        <v>23507915.0000002</v>
      </c>
      <c r="L114" s="16" t="n">
        <v>10372212</v>
      </c>
      <c r="M114" s="16" t="n">
        <v>1302980</v>
      </c>
      <c r="N114" s="16" t="n">
        <v>3486752</v>
      </c>
      <c r="O114" s="16" t="n">
        <v>429210</v>
      </c>
      <c r="P114" s="16" t="n">
        <v>470790</v>
      </c>
      <c r="Q114" s="16" t="n">
        <v>23513434.5</v>
      </c>
      <c r="R114" s="16" t="n">
        <v>7121810</v>
      </c>
      <c r="S114" s="16" t="n">
        <v>5644007</v>
      </c>
      <c r="T114" s="16" t="n">
        <v>20999559.86</v>
      </c>
      <c r="U114" s="16" t="n">
        <v>2560525</v>
      </c>
      <c r="V114" s="16"/>
      <c r="W114" s="16" t="n">
        <v>2013591.65998389</v>
      </c>
      <c r="X114" s="16" t="n">
        <v>1374750</v>
      </c>
      <c r="Y114" s="16" t="n">
        <v>1803840</v>
      </c>
      <c r="Z114" s="16" t="n">
        <v>2300803</v>
      </c>
      <c r="AA114" s="16" t="n">
        <v>8551988.34</v>
      </c>
      <c r="AB114" s="16" t="n">
        <v>2343750</v>
      </c>
      <c r="AC114" s="16" t="n">
        <v>16316247</v>
      </c>
      <c r="AD114" s="16" t="n">
        <v>1050000</v>
      </c>
      <c r="AE114" s="16" t="n">
        <v>80202486.48</v>
      </c>
      <c r="AF114" s="16" t="n">
        <v>1360000</v>
      </c>
      <c r="AG114" s="16" t="n">
        <v>93746588.676478</v>
      </c>
      <c r="AH114" s="16" t="n">
        <v>8576132.7156719</v>
      </c>
    </row>
    <row r="115" customFormat="false" ht="15.75" hidden="false" customHeight="false" outlineLevel="0" collapsed="false">
      <c r="A115" s="27" t="n">
        <v>36900</v>
      </c>
      <c r="B115" s="16" t="n">
        <v>1250000</v>
      </c>
      <c r="C115" s="16" t="n">
        <v>4375178.69</v>
      </c>
      <c r="D115" s="16" t="n">
        <v>1247943.5</v>
      </c>
      <c r="E115" s="16"/>
      <c r="F115" s="16"/>
      <c r="G115" s="16"/>
      <c r="H115" s="16" t="n">
        <v>1663000</v>
      </c>
      <c r="I115" s="16" t="n">
        <v>0</v>
      </c>
      <c r="J115" s="16"/>
      <c r="K115" s="16" t="n">
        <v>23507915.0000002</v>
      </c>
      <c r="L115" s="16" t="n">
        <v>10372212</v>
      </c>
      <c r="M115" s="16" t="n">
        <v>1302980</v>
      </c>
      <c r="N115" s="16" t="n">
        <v>3486752</v>
      </c>
      <c r="O115" s="16" t="n">
        <v>429210</v>
      </c>
      <c r="P115" s="16" t="n">
        <v>470790</v>
      </c>
      <c r="Q115" s="16" t="n">
        <v>23513434.5</v>
      </c>
      <c r="R115" s="16" t="n">
        <v>7121810</v>
      </c>
      <c r="S115" s="16" t="n">
        <v>5644007</v>
      </c>
      <c r="T115" s="16" t="n">
        <v>20999559.86</v>
      </c>
      <c r="U115" s="16" t="n">
        <v>2560525</v>
      </c>
      <c r="V115" s="16"/>
      <c r="W115" s="16" t="n">
        <v>2013591.65998389</v>
      </c>
      <c r="X115" s="16" t="n">
        <v>1374750</v>
      </c>
      <c r="Y115" s="16" t="n">
        <v>1803840</v>
      </c>
      <c r="Z115" s="16" t="n">
        <v>2300803</v>
      </c>
      <c r="AA115" s="16" t="n">
        <v>8551988.34</v>
      </c>
      <c r="AB115" s="16" t="n">
        <v>2343750</v>
      </c>
      <c r="AC115" s="16" t="n">
        <v>16316247</v>
      </c>
      <c r="AD115" s="16" t="n">
        <v>1050000</v>
      </c>
      <c r="AE115" s="16" t="n">
        <v>80202486.48</v>
      </c>
      <c r="AF115" s="16" t="n">
        <v>1360000</v>
      </c>
      <c r="AG115" s="16" t="n">
        <v>93746588.676478</v>
      </c>
      <c r="AH115" s="16" t="n">
        <v>3071115.39362922</v>
      </c>
    </row>
    <row r="116" customFormat="false" ht="15.75" hidden="false" customHeight="false" outlineLevel="0" collapsed="false">
      <c r="A116" s="27" t="n">
        <v>36901</v>
      </c>
      <c r="B116" s="16" t="n">
        <v>1250000</v>
      </c>
      <c r="C116" s="16" t="n">
        <v>4375178.69</v>
      </c>
      <c r="D116" s="16" t="n">
        <v>1247943.5</v>
      </c>
      <c r="E116" s="16"/>
      <c r="F116" s="16"/>
      <c r="G116" s="16"/>
      <c r="H116" s="16" t="n">
        <v>1663000</v>
      </c>
      <c r="I116" s="16" t="n">
        <v>0</v>
      </c>
      <c r="J116" s="16"/>
      <c r="K116" s="16" t="n">
        <v>23507915.0000002</v>
      </c>
      <c r="L116" s="16" t="n">
        <v>10372212</v>
      </c>
      <c r="M116" s="16" t="n">
        <v>1302980</v>
      </c>
      <c r="N116" s="16" t="n">
        <v>3486752</v>
      </c>
      <c r="O116" s="16" t="n">
        <v>429210</v>
      </c>
      <c r="P116" s="16" t="n">
        <v>470790</v>
      </c>
      <c r="Q116" s="16" t="n">
        <v>23513434.5</v>
      </c>
      <c r="R116" s="16" t="n">
        <v>7121810</v>
      </c>
      <c r="S116" s="16" t="n">
        <v>5644007</v>
      </c>
      <c r="T116" s="16" t="n">
        <v>20999559.86</v>
      </c>
      <c r="U116" s="16" t="n">
        <v>2560525</v>
      </c>
      <c r="V116" s="16"/>
      <c r="W116" s="16" t="n">
        <v>2013591.65998389</v>
      </c>
      <c r="X116" s="16" t="n">
        <v>1374750</v>
      </c>
      <c r="Y116" s="16" t="n">
        <v>1803840</v>
      </c>
      <c r="Z116" s="16" t="n">
        <v>2300803</v>
      </c>
      <c r="AA116" s="16" t="n">
        <v>8551988.34</v>
      </c>
      <c r="AB116" s="16" t="n">
        <v>2343750</v>
      </c>
      <c r="AC116" s="16" t="n">
        <v>16316247</v>
      </c>
      <c r="AD116" s="16" t="n">
        <v>1050000</v>
      </c>
      <c r="AE116" s="16" t="n">
        <v>80202486.48</v>
      </c>
      <c r="AF116" s="16" t="n">
        <v>1360000</v>
      </c>
      <c r="AG116" s="16" t="n">
        <v>93746588.676478</v>
      </c>
      <c r="AH116" s="16" t="n">
        <v>3071115.39362922</v>
      </c>
    </row>
    <row r="117" customFormat="false" ht="15.75" hidden="false" customHeight="false" outlineLevel="0" collapsed="false">
      <c r="A117" s="27" t="n">
        <v>36902</v>
      </c>
      <c r="B117" s="16" t="n">
        <v>1250000</v>
      </c>
      <c r="C117" s="16" t="n">
        <v>4375178.69</v>
      </c>
      <c r="D117" s="16" t="n">
        <v>1247943.5</v>
      </c>
      <c r="E117" s="16"/>
      <c r="F117" s="16"/>
      <c r="G117" s="16"/>
      <c r="H117" s="16" t="n">
        <v>1663000</v>
      </c>
      <c r="I117" s="16" t="n">
        <v>0</v>
      </c>
      <c r="J117" s="16"/>
      <c r="K117" s="16" t="n">
        <v>23507915.0000002</v>
      </c>
      <c r="L117" s="16" t="n">
        <v>10372212</v>
      </c>
      <c r="M117" s="16" t="n">
        <v>1302980</v>
      </c>
      <c r="N117" s="16" t="n">
        <v>3486752</v>
      </c>
      <c r="O117" s="16" t="n">
        <v>429210</v>
      </c>
      <c r="P117" s="16" t="n">
        <v>470790</v>
      </c>
      <c r="Q117" s="16" t="n">
        <v>23513434.5</v>
      </c>
      <c r="R117" s="16" t="n">
        <v>7121810</v>
      </c>
      <c r="S117" s="16" t="n">
        <v>5644007</v>
      </c>
      <c r="T117" s="16" t="n">
        <v>20999559.86</v>
      </c>
      <c r="U117" s="16" t="n">
        <v>2560525</v>
      </c>
      <c r="V117" s="16"/>
      <c r="W117" s="16" t="n">
        <v>2013591.65998389</v>
      </c>
      <c r="X117" s="16" t="n">
        <v>1374750</v>
      </c>
      <c r="Y117" s="16" t="n">
        <v>1803840</v>
      </c>
      <c r="Z117" s="16" t="n">
        <v>2300803</v>
      </c>
      <c r="AA117" s="16" t="n">
        <v>8551988.34</v>
      </c>
      <c r="AB117" s="16" t="n">
        <v>2343750</v>
      </c>
      <c r="AC117" s="16" t="n">
        <v>16316247</v>
      </c>
      <c r="AD117" s="16" t="n">
        <v>1050000</v>
      </c>
      <c r="AE117" s="16" t="n">
        <v>80202486.48</v>
      </c>
      <c r="AF117" s="16" t="n">
        <v>1360000</v>
      </c>
      <c r="AG117" s="16" t="n">
        <v>93746588.676478</v>
      </c>
      <c r="AH117" s="16" t="n">
        <v>3073087.91031565</v>
      </c>
    </row>
    <row r="118" customFormat="false" ht="15.75" hidden="false" customHeight="false" outlineLevel="0" collapsed="false">
      <c r="A118" s="27" t="n">
        <v>36903</v>
      </c>
      <c r="B118" s="16" t="n">
        <v>1250000</v>
      </c>
      <c r="C118" s="16" t="n">
        <v>4375178.69</v>
      </c>
      <c r="D118" s="16" t="n">
        <v>1247943.5</v>
      </c>
      <c r="E118" s="16"/>
      <c r="F118" s="16"/>
      <c r="G118" s="16"/>
      <c r="H118" s="16" t="n">
        <v>1663000</v>
      </c>
      <c r="I118" s="16" t="n">
        <v>0</v>
      </c>
      <c r="J118" s="16"/>
      <c r="K118" s="16" t="n">
        <v>23507915.0000003</v>
      </c>
      <c r="L118" s="16" t="n">
        <v>10372212</v>
      </c>
      <c r="M118" s="16" t="n">
        <v>1302980</v>
      </c>
      <c r="N118" s="16" t="n">
        <v>3486752</v>
      </c>
      <c r="O118" s="16" t="n">
        <v>429210</v>
      </c>
      <c r="P118" s="16" t="n">
        <v>470790</v>
      </c>
      <c r="Q118" s="16" t="n">
        <v>23513434.5</v>
      </c>
      <c r="R118" s="16" t="n">
        <v>7121810</v>
      </c>
      <c r="S118" s="16" t="n">
        <v>5644007</v>
      </c>
      <c r="T118" s="16" t="n">
        <v>20999559.86</v>
      </c>
      <c r="U118" s="16" t="n">
        <v>2560525</v>
      </c>
      <c r="V118" s="16"/>
      <c r="W118" s="16" t="n">
        <v>2013591.65998389</v>
      </c>
      <c r="X118" s="16" t="n">
        <v>1374750</v>
      </c>
      <c r="Y118" s="16" t="n">
        <v>1803840</v>
      </c>
      <c r="Z118" s="16" t="n">
        <v>2300803</v>
      </c>
      <c r="AA118" s="16" t="n">
        <v>8551988.34</v>
      </c>
      <c r="AB118" s="16" t="n">
        <v>2343750</v>
      </c>
      <c r="AC118" s="16" t="n">
        <v>16316247</v>
      </c>
      <c r="AD118" s="16" t="n">
        <v>1050000</v>
      </c>
      <c r="AE118" s="16" t="n">
        <v>80202486.48</v>
      </c>
      <c r="AF118" s="16" t="n">
        <v>1360000</v>
      </c>
      <c r="AG118" s="16" t="n">
        <v>93746588.676478</v>
      </c>
      <c r="AH118" s="16" t="n">
        <v>3092752.80765864</v>
      </c>
    </row>
    <row r="119" customFormat="false" ht="15.75" hidden="false" customHeight="false" outlineLevel="0" collapsed="false">
      <c r="A119" s="27" t="n">
        <v>36907</v>
      </c>
      <c r="B119" s="16" t="n">
        <v>1250000</v>
      </c>
      <c r="C119" s="16" t="n">
        <v>4375178.69</v>
      </c>
      <c r="D119" s="16" t="n">
        <v>1247943.5</v>
      </c>
      <c r="E119" s="16"/>
      <c r="F119" s="16"/>
      <c r="G119" s="16"/>
      <c r="H119" s="16" t="n">
        <v>1663000</v>
      </c>
      <c r="I119" s="16" t="n">
        <v>0</v>
      </c>
      <c r="J119" s="16"/>
      <c r="K119" s="16" t="n">
        <v>23507915.0000003</v>
      </c>
      <c r="L119" s="16" t="n">
        <v>10372212</v>
      </c>
      <c r="M119" s="16" t="n">
        <v>1302980</v>
      </c>
      <c r="N119" s="16" t="n">
        <v>3486752</v>
      </c>
      <c r="O119" s="16" t="n">
        <v>429210</v>
      </c>
      <c r="P119" s="16" t="n">
        <v>470790</v>
      </c>
      <c r="Q119" s="16" t="n">
        <v>23513434.5</v>
      </c>
      <c r="R119" s="16" t="n">
        <v>7121810</v>
      </c>
      <c r="S119" s="16" t="n">
        <v>5644007</v>
      </c>
      <c r="T119" s="16" t="n">
        <v>20999559.86</v>
      </c>
      <c r="U119" s="16" t="n">
        <v>2560525</v>
      </c>
      <c r="V119" s="16"/>
      <c r="W119" s="16" t="n">
        <v>2013591.65998389</v>
      </c>
      <c r="X119" s="16" t="n">
        <v>1374750</v>
      </c>
      <c r="Y119" s="16" t="n">
        <v>1803840</v>
      </c>
      <c r="Z119" s="16" t="n">
        <v>2300803</v>
      </c>
      <c r="AA119" s="16" t="n">
        <v>8551988.34</v>
      </c>
      <c r="AB119" s="16" t="n">
        <v>2343750</v>
      </c>
      <c r="AC119" s="16" t="n">
        <v>16316247</v>
      </c>
      <c r="AD119" s="16" t="n">
        <v>1050000</v>
      </c>
      <c r="AE119" s="16" t="n">
        <v>80202486.48</v>
      </c>
      <c r="AF119" s="16" t="n">
        <v>1360000</v>
      </c>
      <c r="AG119" s="16" t="n">
        <v>93746588.676478</v>
      </c>
      <c r="AH119" s="16" t="n">
        <v>3094424.37360136</v>
      </c>
    </row>
    <row r="120" customFormat="false" ht="15.75" hidden="false" customHeight="false" outlineLevel="0" collapsed="false">
      <c r="A120" s="27" t="n">
        <v>36908</v>
      </c>
      <c r="B120" s="16" t="n">
        <v>1250000</v>
      </c>
      <c r="C120" s="16" t="n">
        <v>4375178.69</v>
      </c>
      <c r="D120" s="16" t="n">
        <v>1247943.5</v>
      </c>
      <c r="E120" s="16"/>
      <c r="F120" s="16"/>
      <c r="G120" s="16"/>
      <c r="H120" s="16" t="n">
        <v>1663000</v>
      </c>
      <c r="I120" s="16" t="n">
        <v>0</v>
      </c>
      <c r="J120" s="16"/>
      <c r="K120" s="16" t="n">
        <v>23507915.0000003</v>
      </c>
      <c r="L120" s="16" t="n">
        <v>10372212</v>
      </c>
      <c r="M120" s="16" t="n">
        <v>1302980</v>
      </c>
      <c r="N120" s="16" t="n">
        <v>3486752</v>
      </c>
      <c r="O120" s="16" t="n">
        <v>429210</v>
      </c>
      <c r="P120" s="16" t="n">
        <v>470790</v>
      </c>
      <c r="Q120" s="16" t="n">
        <v>23513434.5</v>
      </c>
      <c r="R120" s="16" t="n">
        <v>7121810</v>
      </c>
      <c r="S120" s="16" t="n">
        <v>5644007</v>
      </c>
      <c r="T120" s="16" t="n">
        <v>20999559.86</v>
      </c>
      <c r="U120" s="16" t="n">
        <v>2560525</v>
      </c>
      <c r="V120" s="16"/>
      <c r="W120" s="16" t="n">
        <v>2013591.65998389</v>
      </c>
      <c r="X120" s="16" t="n">
        <v>1374750</v>
      </c>
      <c r="Y120" s="16" t="n">
        <v>1803840</v>
      </c>
      <c r="Z120" s="16" t="n">
        <v>2300803</v>
      </c>
      <c r="AA120" s="16" t="n">
        <v>8551988.34</v>
      </c>
      <c r="AB120" s="16" t="n">
        <v>2343750</v>
      </c>
      <c r="AC120" s="16" t="n">
        <v>16316247</v>
      </c>
      <c r="AD120" s="16" t="n">
        <v>1050000</v>
      </c>
      <c r="AE120" s="16" t="n">
        <v>80202486.48</v>
      </c>
      <c r="AF120" s="16" t="n">
        <v>1360000</v>
      </c>
      <c r="AG120" s="16" t="n">
        <v>93746588.676478</v>
      </c>
      <c r="AH120" s="16" t="n">
        <v>3099905.07304316</v>
      </c>
    </row>
    <row r="121" customFormat="false" ht="15.75" hidden="false" customHeight="false" outlineLevel="0" collapsed="false">
      <c r="A121" s="27" t="n">
        <v>36909</v>
      </c>
      <c r="B121" s="16" t="n">
        <v>1250000</v>
      </c>
      <c r="C121" s="16" t="n">
        <v>4375178.69</v>
      </c>
      <c r="D121" s="16" t="n">
        <v>1247943.5</v>
      </c>
      <c r="E121" s="16"/>
      <c r="F121" s="16"/>
      <c r="G121" s="16"/>
      <c r="H121" s="16" t="n">
        <v>1663000</v>
      </c>
      <c r="I121" s="16" t="n">
        <v>0</v>
      </c>
      <c r="J121" s="16"/>
      <c r="K121" s="16" t="n">
        <v>23507915.0000003</v>
      </c>
      <c r="L121" s="16" t="n">
        <v>10372212</v>
      </c>
      <c r="M121" s="16" t="n">
        <v>1302980</v>
      </c>
      <c r="N121" s="16" t="n">
        <v>3486752</v>
      </c>
      <c r="O121" s="16" t="n">
        <v>429210</v>
      </c>
      <c r="P121" s="16" t="n">
        <v>470790</v>
      </c>
      <c r="Q121" s="16" t="n">
        <v>23513434.5</v>
      </c>
      <c r="R121" s="16" t="n">
        <v>7121810</v>
      </c>
      <c r="S121" s="16" t="n">
        <v>5644007</v>
      </c>
      <c r="T121" s="16" t="n">
        <v>20999559.86</v>
      </c>
      <c r="U121" s="16" t="n">
        <v>2560525</v>
      </c>
      <c r="V121" s="16"/>
      <c r="W121" s="16" t="n">
        <v>2013591.65998389</v>
      </c>
      <c r="X121" s="16" t="n">
        <v>1374750</v>
      </c>
      <c r="Y121" s="16" t="n">
        <v>1803840</v>
      </c>
      <c r="Z121" s="16" t="n">
        <v>2300803</v>
      </c>
      <c r="AA121" s="16" t="n">
        <v>8551988.34</v>
      </c>
      <c r="AB121" s="16" t="n">
        <v>2343750</v>
      </c>
      <c r="AC121" s="16" t="n">
        <v>16316247</v>
      </c>
      <c r="AD121" s="16" t="n">
        <v>1050000</v>
      </c>
      <c r="AE121" s="16" t="n">
        <v>80202486.48</v>
      </c>
      <c r="AF121" s="16" t="n">
        <v>1360000</v>
      </c>
      <c r="AG121" s="16" t="n">
        <v>93746588.676478</v>
      </c>
      <c r="AH121" s="16" t="n">
        <v>3064921.49618531</v>
      </c>
    </row>
    <row r="122" customFormat="false" ht="15.75" hidden="false" customHeight="false" outlineLevel="0" collapsed="false">
      <c r="A122" s="27" t="n">
        <v>36910</v>
      </c>
      <c r="B122" s="16" t="n">
        <v>1250000</v>
      </c>
      <c r="C122" s="16" t="n">
        <v>4375178.69</v>
      </c>
      <c r="D122" s="16" t="n">
        <v>1247943.5</v>
      </c>
      <c r="E122" s="16"/>
      <c r="F122" s="16"/>
      <c r="G122" s="16"/>
      <c r="H122" s="16" t="n">
        <v>1663000</v>
      </c>
      <c r="I122" s="16" t="n">
        <v>0</v>
      </c>
      <c r="J122" s="16"/>
      <c r="K122" s="16" t="n">
        <v>23507915.0000003</v>
      </c>
      <c r="L122" s="16" t="n">
        <v>10372212</v>
      </c>
      <c r="M122" s="16" t="n">
        <v>1302980</v>
      </c>
      <c r="N122" s="16" t="n">
        <v>3486752</v>
      </c>
      <c r="O122" s="16" t="n">
        <v>429210</v>
      </c>
      <c r="P122" s="16" t="n">
        <v>470790</v>
      </c>
      <c r="Q122" s="16" t="n">
        <v>23513434.5</v>
      </c>
      <c r="R122" s="16" t="n">
        <v>7121810</v>
      </c>
      <c r="S122" s="16" t="n">
        <v>5644007</v>
      </c>
      <c r="T122" s="16" t="n">
        <v>20999559.86</v>
      </c>
      <c r="U122" s="16" t="n">
        <v>2560525</v>
      </c>
      <c r="V122" s="16"/>
      <c r="W122" s="16" t="n">
        <v>2013591.65998389</v>
      </c>
      <c r="X122" s="16" t="n">
        <v>1374750</v>
      </c>
      <c r="Y122" s="16" t="n">
        <v>1803840</v>
      </c>
      <c r="Z122" s="16" t="n">
        <v>2300803</v>
      </c>
      <c r="AA122" s="16" t="n">
        <v>8551988.34</v>
      </c>
      <c r="AB122" s="16" t="n">
        <v>2343750</v>
      </c>
      <c r="AC122" s="16" t="n">
        <v>16316247</v>
      </c>
      <c r="AD122" s="16" t="n">
        <v>1050000</v>
      </c>
      <c r="AE122" s="16" t="n">
        <v>80202486.48</v>
      </c>
      <c r="AF122" s="16" t="n">
        <v>1360000</v>
      </c>
      <c r="AG122" s="16" t="n">
        <v>93746588.676478</v>
      </c>
      <c r="AH122" s="16" t="n">
        <v>3068247.68811999</v>
      </c>
    </row>
    <row r="123" customFormat="false" ht="15.75" hidden="false" customHeight="false" outlineLevel="0" collapsed="false">
      <c r="A123" s="27" t="n">
        <v>36913</v>
      </c>
      <c r="B123" s="16" t="n">
        <v>1250000</v>
      </c>
      <c r="C123" s="16" t="n">
        <v>4375178.69</v>
      </c>
      <c r="D123" s="16" t="n">
        <v>1247943.5</v>
      </c>
      <c r="E123" s="16"/>
      <c r="F123" s="16"/>
      <c r="G123" s="16"/>
      <c r="H123" s="16" t="n">
        <v>1663000</v>
      </c>
      <c r="I123" s="16" t="n">
        <v>0</v>
      </c>
      <c r="J123" s="16"/>
      <c r="K123" s="16" t="n">
        <v>23507915.0000003</v>
      </c>
      <c r="L123" s="16" t="n">
        <v>10372212</v>
      </c>
      <c r="M123" s="16" t="n">
        <v>1302980</v>
      </c>
      <c r="N123" s="16" t="n">
        <v>3486752</v>
      </c>
      <c r="O123" s="16" t="n">
        <v>429210</v>
      </c>
      <c r="P123" s="16" t="n">
        <v>470790</v>
      </c>
      <c r="Q123" s="16" t="n">
        <v>23513434.5</v>
      </c>
      <c r="R123" s="16" t="n">
        <v>7121810</v>
      </c>
      <c r="S123" s="16" t="n">
        <v>5644007</v>
      </c>
      <c r="T123" s="16" t="n">
        <v>20999559.86</v>
      </c>
      <c r="U123" s="16" t="n">
        <v>2560525</v>
      </c>
      <c r="V123" s="16"/>
      <c r="W123" s="16" t="n">
        <v>2013591.65998389</v>
      </c>
      <c r="X123" s="16" t="n">
        <v>1374750</v>
      </c>
      <c r="Y123" s="16" t="n">
        <v>1803840</v>
      </c>
      <c r="Z123" s="16" t="n">
        <v>2300803</v>
      </c>
      <c r="AA123" s="16" t="n">
        <v>8551988.34</v>
      </c>
      <c r="AB123" s="16" t="n">
        <v>2343750</v>
      </c>
      <c r="AC123" s="16" t="n">
        <v>16316247</v>
      </c>
      <c r="AD123" s="16" t="n">
        <v>1050000</v>
      </c>
      <c r="AE123" s="16" t="n">
        <v>80202486.48</v>
      </c>
      <c r="AF123" s="16" t="n">
        <v>1360000</v>
      </c>
      <c r="AG123" s="16" t="n">
        <v>93746588.676478</v>
      </c>
      <c r="AH123" s="16" t="n">
        <v>3060590.33101983</v>
      </c>
    </row>
    <row r="124" customFormat="false" ht="15.75" hidden="false" customHeight="false" outlineLevel="0" collapsed="false">
      <c r="A124" s="27" t="n">
        <v>36914</v>
      </c>
      <c r="B124" s="16" t="n">
        <v>1250000</v>
      </c>
      <c r="C124" s="16" t="n">
        <v>4375178.69</v>
      </c>
      <c r="D124" s="16" t="n">
        <v>1247943.5</v>
      </c>
      <c r="E124" s="16"/>
      <c r="F124" s="16"/>
      <c r="G124" s="16"/>
      <c r="H124" s="16" t="n">
        <v>1663000</v>
      </c>
      <c r="I124" s="16" t="n">
        <v>0</v>
      </c>
      <c r="J124" s="16"/>
      <c r="K124" s="16" t="n">
        <v>23507915.0000003</v>
      </c>
      <c r="L124" s="16" t="n">
        <v>10372212</v>
      </c>
      <c r="M124" s="16" t="n">
        <v>1302980</v>
      </c>
      <c r="N124" s="16" t="n">
        <v>3486752</v>
      </c>
      <c r="O124" s="16" t="n">
        <v>429210</v>
      </c>
      <c r="P124" s="16" t="n">
        <v>470790</v>
      </c>
      <c r="Q124" s="16" t="n">
        <v>23513434.5</v>
      </c>
      <c r="R124" s="16" t="n">
        <v>7121810</v>
      </c>
      <c r="S124" s="16" t="n">
        <v>5644007</v>
      </c>
      <c r="T124" s="16" t="n">
        <v>20999559.86</v>
      </c>
      <c r="U124" s="16" t="n">
        <v>2560525</v>
      </c>
      <c r="V124" s="16"/>
      <c r="W124" s="16" t="n">
        <v>2013591.65998389</v>
      </c>
      <c r="X124" s="16" t="n">
        <v>1374750</v>
      </c>
      <c r="Y124" s="16" t="n">
        <v>1803840</v>
      </c>
      <c r="Z124" s="16" t="n">
        <v>2300803</v>
      </c>
      <c r="AA124" s="16" t="n">
        <v>8551988.34</v>
      </c>
      <c r="AB124" s="16" t="n">
        <v>2343750</v>
      </c>
      <c r="AC124" s="16" t="n">
        <v>16316247</v>
      </c>
      <c r="AD124" s="16" t="n">
        <v>1050000</v>
      </c>
      <c r="AE124" s="16" t="n">
        <v>80202486.48</v>
      </c>
      <c r="AF124" s="16" t="n">
        <v>1360000</v>
      </c>
      <c r="AG124" s="16" t="n">
        <v>93746588.676478</v>
      </c>
      <c r="AH124" s="16" t="n">
        <v>3058479.17559562</v>
      </c>
    </row>
    <row r="125" customFormat="false" ht="15.75" hidden="false" customHeight="false" outlineLevel="0" collapsed="false">
      <c r="A125" s="27" t="n">
        <v>36915</v>
      </c>
      <c r="B125" s="16" t="n">
        <v>1250000</v>
      </c>
      <c r="C125" s="16" t="n">
        <v>4375178.69</v>
      </c>
      <c r="D125" s="16" t="n">
        <v>1247943.5</v>
      </c>
      <c r="E125" s="16"/>
      <c r="F125" s="16"/>
      <c r="G125" s="16"/>
      <c r="H125" s="16" t="n">
        <v>1663000</v>
      </c>
      <c r="I125" s="16" t="n">
        <v>0</v>
      </c>
      <c r="J125" s="16"/>
      <c r="K125" s="16" t="n">
        <v>23507915.0000003</v>
      </c>
      <c r="L125" s="16" t="n">
        <v>10372212</v>
      </c>
      <c r="M125" s="16" t="n">
        <v>1302980</v>
      </c>
      <c r="N125" s="16" t="n">
        <v>3486752</v>
      </c>
      <c r="O125" s="16" t="n">
        <v>429210</v>
      </c>
      <c r="P125" s="16" t="n">
        <v>470790</v>
      </c>
      <c r="Q125" s="16" t="n">
        <v>23513434.5</v>
      </c>
      <c r="R125" s="16" t="n">
        <v>7121810</v>
      </c>
      <c r="S125" s="16" t="n">
        <v>5644007</v>
      </c>
      <c r="T125" s="16" t="n">
        <v>20999559.86</v>
      </c>
      <c r="U125" s="16" t="n">
        <v>2560525</v>
      </c>
      <c r="V125" s="16"/>
      <c r="W125" s="16" t="n">
        <v>2013591.65998389</v>
      </c>
      <c r="X125" s="16" t="n">
        <v>1374750</v>
      </c>
      <c r="Y125" s="16" t="n">
        <v>1803840</v>
      </c>
      <c r="Z125" s="16" t="n">
        <v>2300803</v>
      </c>
      <c r="AA125" s="16" t="n">
        <v>8551988.34</v>
      </c>
      <c r="AB125" s="16" t="n">
        <v>2343750</v>
      </c>
      <c r="AC125" s="16" t="n">
        <v>16316247</v>
      </c>
      <c r="AD125" s="16" t="n">
        <v>1050000</v>
      </c>
      <c r="AE125" s="16" t="n">
        <v>80202486.48</v>
      </c>
      <c r="AF125" s="16" t="n">
        <v>1360000</v>
      </c>
      <c r="AG125" s="16" t="n">
        <v>93746588.676478</v>
      </c>
      <c r="AH125" s="16" t="n">
        <v>3056925.56471562</v>
      </c>
    </row>
    <row r="126" customFormat="false" ht="15.75" hidden="false" customHeight="false" outlineLevel="0" collapsed="false">
      <c r="A126" s="27" t="n">
        <v>36916</v>
      </c>
      <c r="B126" s="16" t="n">
        <v>1250000</v>
      </c>
      <c r="C126" s="16" t="n">
        <v>4375178.69</v>
      </c>
      <c r="D126" s="16" t="n">
        <v>1247943.5</v>
      </c>
      <c r="E126" s="16"/>
      <c r="F126" s="16"/>
      <c r="G126" s="16"/>
      <c r="H126" s="16" t="n">
        <v>1663000</v>
      </c>
      <c r="I126" s="16" t="n">
        <v>0</v>
      </c>
      <c r="J126" s="16"/>
      <c r="K126" s="16" t="n">
        <v>23507915.0000003</v>
      </c>
      <c r="L126" s="16" t="n">
        <v>10372212</v>
      </c>
      <c r="M126" s="16" t="n">
        <v>1302980</v>
      </c>
      <c r="N126" s="16" t="n">
        <v>3486752</v>
      </c>
      <c r="O126" s="16" t="n">
        <v>429210</v>
      </c>
      <c r="P126" s="16" t="n">
        <v>470790</v>
      </c>
      <c r="Q126" s="16" t="n">
        <v>23513434.5</v>
      </c>
      <c r="R126" s="16" t="n">
        <v>7121810</v>
      </c>
      <c r="S126" s="16" t="n">
        <v>5644007</v>
      </c>
      <c r="T126" s="16" t="n">
        <v>20999559.86</v>
      </c>
      <c r="U126" s="16" t="n">
        <v>2560525</v>
      </c>
      <c r="V126" s="16"/>
      <c r="W126" s="16" t="n">
        <v>2013591.65998389</v>
      </c>
      <c r="X126" s="16" t="n">
        <v>1374750</v>
      </c>
      <c r="Y126" s="16" t="n">
        <v>1803840</v>
      </c>
      <c r="Z126" s="16" t="n">
        <v>2300803</v>
      </c>
      <c r="AA126" s="16" t="n">
        <v>8551988.34</v>
      </c>
      <c r="AB126" s="16" t="n">
        <v>2343750</v>
      </c>
      <c r="AC126" s="16" t="n">
        <v>16316247</v>
      </c>
      <c r="AD126" s="16" t="n">
        <v>1050000</v>
      </c>
      <c r="AE126" s="16" t="n">
        <v>80202486.48</v>
      </c>
      <c r="AF126" s="16" t="n">
        <v>1360000</v>
      </c>
      <c r="AG126" s="16" t="n">
        <v>93746588.676478</v>
      </c>
      <c r="AH126" s="16" t="n">
        <v>3054546.41005931</v>
      </c>
    </row>
    <row r="127" customFormat="false" ht="15.75" hidden="false" customHeight="false" outlineLevel="0" collapsed="false">
      <c r="A127" s="27" t="n">
        <v>36917</v>
      </c>
      <c r="B127" s="16" t="n">
        <v>1250000</v>
      </c>
      <c r="C127" s="16" t="n">
        <v>4375178.69</v>
      </c>
      <c r="D127" s="16" t="n">
        <v>1247943.5</v>
      </c>
      <c r="E127" s="16"/>
      <c r="F127" s="16"/>
      <c r="G127" s="16"/>
      <c r="H127" s="16" t="n">
        <v>1663000</v>
      </c>
      <c r="I127" s="16" t="n">
        <v>0</v>
      </c>
      <c r="J127" s="16"/>
      <c r="K127" s="16" t="n">
        <v>23507915.0000003</v>
      </c>
      <c r="L127" s="16" t="n">
        <v>10372212</v>
      </c>
      <c r="M127" s="16" t="n">
        <v>1302980</v>
      </c>
      <c r="N127" s="16" t="n">
        <v>3486752</v>
      </c>
      <c r="O127" s="16" t="n">
        <v>429210</v>
      </c>
      <c r="P127" s="16" t="n">
        <v>470790</v>
      </c>
      <c r="Q127" s="16" t="n">
        <v>23513434.5</v>
      </c>
      <c r="R127" s="16" t="n">
        <v>7121810</v>
      </c>
      <c r="S127" s="16" t="n">
        <v>5644007</v>
      </c>
      <c r="T127" s="16" t="n">
        <v>20999559.86</v>
      </c>
      <c r="U127" s="16" t="n">
        <v>2560525</v>
      </c>
      <c r="V127" s="16"/>
      <c r="W127" s="16" t="n">
        <v>2013591.65998389</v>
      </c>
      <c r="X127" s="16" t="n">
        <v>1374750</v>
      </c>
      <c r="Y127" s="16" t="n">
        <v>1803840</v>
      </c>
      <c r="Z127" s="16" t="n">
        <v>2300803</v>
      </c>
      <c r="AA127" s="16" t="n">
        <v>8551988.34</v>
      </c>
      <c r="AB127" s="16" t="n">
        <v>2343750</v>
      </c>
      <c r="AC127" s="16" t="n">
        <v>16316247</v>
      </c>
      <c r="AD127" s="16" t="n">
        <v>1050000</v>
      </c>
      <c r="AE127" s="16" t="n">
        <v>80202486.48</v>
      </c>
      <c r="AF127" s="16" t="n">
        <v>1360000</v>
      </c>
      <c r="AG127" s="16" t="n">
        <v>93746588.676478</v>
      </c>
      <c r="AH127" s="16" t="n">
        <v>3055193.73879485</v>
      </c>
    </row>
    <row r="128" customFormat="false" ht="15.75" hidden="false" customHeight="false" outlineLevel="0" collapsed="false">
      <c r="A128" s="27" t="n">
        <v>36920</v>
      </c>
      <c r="B128" s="16" t="n">
        <v>1250000</v>
      </c>
      <c r="C128" s="16" t="n">
        <v>4375178.69</v>
      </c>
      <c r="D128" s="16" t="n">
        <v>1247943.5</v>
      </c>
      <c r="E128" s="16"/>
      <c r="F128" s="16"/>
      <c r="G128" s="16"/>
      <c r="H128" s="16" t="n">
        <v>1663000</v>
      </c>
      <c r="I128" s="16" t="n">
        <v>0</v>
      </c>
      <c r="J128" s="16"/>
      <c r="K128" s="16" t="n">
        <v>2.83122062683105E-007</v>
      </c>
      <c r="L128" s="16" t="n">
        <v>0</v>
      </c>
      <c r="M128" s="16" t="n">
        <v>137317.57</v>
      </c>
      <c r="N128" s="16" t="n">
        <v>0</v>
      </c>
      <c r="O128" s="16" t="n">
        <v>1000000</v>
      </c>
      <c r="P128" s="16" t="n">
        <v>0</v>
      </c>
      <c r="Q128" s="16" t="n">
        <v>23513434.5</v>
      </c>
      <c r="R128" s="16" t="n">
        <v>7121810</v>
      </c>
      <c r="S128" s="16" t="n">
        <v>5644007</v>
      </c>
      <c r="T128" s="16" t="n">
        <v>20999559.86</v>
      </c>
      <c r="U128" s="16" t="n">
        <v>2560525</v>
      </c>
      <c r="V128" s="16"/>
      <c r="W128" s="16" t="n">
        <v>2013591.65998389</v>
      </c>
      <c r="X128" s="16" t="n">
        <v>1374750</v>
      </c>
      <c r="Y128" s="16" t="n">
        <v>1803840</v>
      </c>
      <c r="Z128" s="16" t="n">
        <v>2300803</v>
      </c>
      <c r="AA128" s="16" t="n">
        <v>8551988.34</v>
      </c>
      <c r="AB128" s="16" t="n">
        <v>2343750</v>
      </c>
      <c r="AC128" s="16" t="n">
        <v>16316247</v>
      </c>
      <c r="AD128" s="16" t="n">
        <v>1050000</v>
      </c>
      <c r="AE128" s="16" t="n">
        <v>80202486.48</v>
      </c>
      <c r="AF128" s="16" t="n">
        <v>1360000</v>
      </c>
      <c r="AG128" s="16" t="n">
        <v>30637565.036478</v>
      </c>
      <c r="AH128" s="16" t="n">
        <v>2773749.76805293</v>
      </c>
    </row>
    <row r="129" customFormat="false" ht="15.75" hidden="false" customHeight="false" outlineLevel="0" collapsed="false">
      <c r="A129" s="27" t="n">
        <v>36921</v>
      </c>
      <c r="B129" s="16" t="n">
        <v>1250000</v>
      </c>
      <c r="C129" s="16" t="n">
        <v>4375178.69</v>
      </c>
      <c r="D129" s="16" t="n">
        <v>1247943.5</v>
      </c>
      <c r="E129" s="16"/>
      <c r="F129" s="16"/>
      <c r="G129" s="16"/>
      <c r="H129" s="16" t="n">
        <v>1663000</v>
      </c>
      <c r="I129" s="16" t="n">
        <v>0</v>
      </c>
      <c r="J129" s="16"/>
      <c r="K129" s="16" t="n">
        <v>2.83122062683105E-007</v>
      </c>
      <c r="L129" s="16" t="n">
        <v>0</v>
      </c>
      <c r="M129" s="16" t="n">
        <v>137317.57</v>
      </c>
      <c r="N129" s="16" t="n">
        <v>0</v>
      </c>
      <c r="O129" s="16" t="n">
        <v>1000000</v>
      </c>
      <c r="P129" s="16" t="n">
        <v>0</v>
      </c>
      <c r="Q129" s="16" t="n">
        <v>23513434.5</v>
      </c>
      <c r="R129" s="16" t="n">
        <v>7121810</v>
      </c>
      <c r="S129" s="16" t="n">
        <v>5644007</v>
      </c>
      <c r="T129" s="16" t="n">
        <v>20999559.86</v>
      </c>
      <c r="U129" s="16" t="n">
        <v>2560525</v>
      </c>
      <c r="V129" s="16"/>
      <c r="W129" s="16" t="n">
        <v>2013591.65998389</v>
      </c>
      <c r="X129" s="16" t="n">
        <v>1374750</v>
      </c>
      <c r="Y129" s="16" t="n">
        <v>1803840</v>
      </c>
      <c r="Z129" s="16" t="n">
        <v>2300803</v>
      </c>
      <c r="AA129" s="16" t="n">
        <v>8551988.34</v>
      </c>
      <c r="AB129" s="16" t="n">
        <v>2343750</v>
      </c>
      <c r="AC129" s="16" t="n">
        <v>16316247</v>
      </c>
      <c r="AD129" s="16" t="n">
        <v>1050000</v>
      </c>
      <c r="AE129" s="16" t="n">
        <v>80202486.48</v>
      </c>
      <c r="AF129" s="16" t="n">
        <v>1360000</v>
      </c>
      <c r="AG129" s="16" t="n">
        <v>30637565.036478</v>
      </c>
      <c r="AH129" s="16" t="n">
        <v>2776315.4209156</v>
      </c>
    </row>
    <row r="130" customFormat="false" ht="15.75" hidden="false" customHeight="false" outlineLevel="0" collapsed="false">
      <c r="A130" s="27" t="n">
        <v>36922</v>
      </c>
      <c r="B130" s="16" t="n">
        <v>1250000</v>
      </c>
      <c r="C130" s="16" t="n">
        <v>4375178.69</v>
      </c>
      <c r="D130" s="16" t="n">
        <v>1247943.5</v>
      </c>
      <c r="E130" s="16"/>
      <c r="F130" s="16"/>
      <c r="G130" s="16"/>
      <c r="H130" s="16" t="n">
        <v>1663000</v>
      </c>
      <c r="I130" s="16" t="n">
        <v>0</v>
      </c>
      <c r="J130" s="16"/>
      <c r="K130" s="16" t="n">
        <v>2.83122062683105E-007</v>
      </c>
      <c r="L130" s="16" t="n">
        <v>0</v>
      </c>
      <c r="M130" s="16" t="n">
        <v>137317.57</v>
      </c>
      <c r="N130" s="16" t="n">
        <v>0</v>
      </c>
      <c r="O130" s="16" t="n">
        <v>1000000</v>
      </c>
      <c r="P130" s="16" t="n">
        <v>0</v>
      </c>
      <c r="Q130" s="16" t="n">
        <v>23513434.5</v>
      </c>
      <c r="R130" s="16" t="n">
        <v>7121810</v>
      </c>
      <c r="S130" s="16" t="n">
        <v>5644007</v>
      </c>
      <c r="T130" s="16" t="n">
        <v>20999559.86</v>
      </c>
      <c r="U130" s="16" t="n">
        <v>2560525</v>
      </c>
      <c r="V130" s="16"/>
      <c r="W130" s="16" t="n">
        <v>2013591.65998389</v>
      </c>
      <c r="X130" s="16" t="n">
        <v>1374750</v>
      </c>
      <c r="Y130" s="16" t="n">
        <v>1803840</v>
      </c>
      <c r="Z130" s="16" t="n">
        <v>2300803</v>
      </c>
      <c r="AA130" s="16" t="n">
        <v>8551988.34</v>
      </c>
      <c r="AB130" s="16" t="n">
        <v>2343750</v>
      </c>
      <c r="AC130" s="16" t="n">
        <v>16316247</v>
      </c>
      <c r="AD130" s="16" t="n">
        <v>1050000</v>
      </c>
      <c r="AE130" s="16" t="n">
        <v>80202486.48</v>
      </c>
      <c r="AF130" s="16" t="n">
        <v>1360000</v>
      </c>
      <c r="AG130" s="16" t="n">
        <v>30637565.036478</v>
      </c>
      <c r="AH130" s="16" t="n">
        <v>2766234.06220348</v>
      </c>
    </row>
    <row r="131" customFormat="false" ht="15.75" hidden="false" customHeight="false" outlineLevel="0" collapsed="false">
      <c r="A131" s="27" t="n">
        <v>36923</v>
      </c>
      <c r="B131" s="16" t="n">
        <v>1250000</v>
      </c>
      <c r="C131" s="16" t="n">
        <v>4375178.69</v>
      </c>
      <c r="D131" s="16" t="n">
        <v>1247943.5</v>
      </c>
      <c r="E131" s="16"/>
      <c r="F131" s="16"/>
      <c r="G131" s="16"/>
      <c r="H131" s="16" t="n">
        <v>1663000</v>
      </c>
      <c r="I131" s="16" t="n">
        <v>0</v>
      </c>
      <c r="J131" s="16"/>
      <c r="K131" s="16" t="n">
        <v>2.83122062683105E-007</v>
      </c>
      <c r="L131" s="16" t="n">
        <v>0</v>
      </c>
      <c r="M131" s="16" t="n">
        <v>137317.57</v>
      </c>
      <c r="N131" s="16" t="n">
        <v>0</v>
      </c>
      <c r="O131" s="16" t="n">
        <v>1000000</v>
      </c>
      <c r="P131" s="16" t="n">
        <v>0</v>
      </c>
      <c r="Q131" s="16" t="n">
        <v>23513434.5</v>
      </c>
      <c r="R131" s="16" t="n">
        <v>7121810</v>
      </c>
      <c r="S131" s="16" t="n">
        <v>5644007</v>
      </c>
      <c r="T131" s="16" t="n">
        <v>20999559.86</v>
      </c>
      <c r="U131" s="16" t="n">
        <v>2560525</v>
      </c>
      <c r="V131" s="16"/>
      <c r="W131" s="16" t="n">
        <v>2013591.65998389</v>
      </c>
      <c r="X131" s="16" t="n">
        <v>1374750</v>
      </c>
      <c r="Y131" s="16" t="n">
        <v>1803840</v>
      </c>
      <c r="Z131" s="16" t="n">
        <v>2300803</v>
      </c>
      <c r="AA131" s="16" t="n">
        <v>8551988.34</v>
      </c>
      <c r="AB131" s="16" t="n">
        <v>2343750</v>
      </c>
      <c r="AC131" s="16" t="n">
        <v>16316247</v>
      </c>
      <c r="AD131" s="16" t="n">
        <v>1050000</v>
      </c>
      <c r="AE131" s="16" t="n">
        <v>80202486.48</v>
      </c>
      <c r="AF131" s="16" t="n">
        <v>1360000</v>
      </c>
      <c r="AG131" s="16" t="n">
        <v>30637565.036478</v>
      </c>
      <c r="AH131" s="16" t="n">
        <v>2785453.50479728</v>
      </c>
    </row>
    <row r="132" customFormat="false" ht="15.75" hidden="false" customHeight="false" outlineLevel="0" collapsed="false">
      <c r="A132" s="27" t="n">
        <v>36924</v>
      </c>
      <c r="B132" s="16" t="n">
        <v>1250000</v>
      </c>
      <c r="C132" s="16" t="n">
        <v>4375178.69</v>
      </c>
      <c r="D132" s="16" t="n">
        <v>1247943.5</v>
      </c>
      <c r="E132" s="16"/>
      <c r="F132" s="16"/>
      <c r="G132" s="16"/>
      <c r="H132" s="16" t="n">
        <v>1663000</v>
      </c>
      <c r="I132" s="16" t="n">
        <v>0</v>
      </c>
      <c r="J132" s="16"/>
      <c r="K132" s="16" t="n">
        <v>2.83122062683105E-007</v>
      </c>
      <c r="L132" s="16" t="n">
        <v>0</v>
      </c>
      <c r="M132" s="16" t="n">
        <v>137317.57</v>
      </c>
      <c r="N132" s="16" t="n">
        <v>0</v>
      </c>
      <c r="O132" s="16" t="n">
        <v>1000000</v>
      </c>
      <c r="P132" s="16" t="n">
        <v>0</v>
      </c>
      <c r="Q132" s="16" t="n">
        <v>23513434.5</v>
      </c>
      <c r="R132" s="16" t="n">
        <v>7121810</v>
      </c>
      <c r="S132" s="16" t="n">
        <v>5644007</v>
      </c>
      <c r="T132" s="16" t="n">
        <v>20999559.86</v>
      </c>
      <c r="U132" s="16" t="n">
        <v>2560525</v>
      </c>
      <c r="V132" s="16"/>
      <c r="W132" s="16" t="n">
        <v>2013591.65998389</v>
      </c>
      <c r="X132" s="16" t="n">
        <v>1374750</v>
      </c>
      <c r="Y132" s="16" t="n">
        <v>1803840</v>
      </c>
      <c r="Z132" s="16" t="n">
        <v>2300803</v>
      </c>
      <c r="AA132" s="16" t="n">
        <v>8551988.34</v>
      </c>
      <c r="AB132" s="16" t="n">
        <v>2343750</v>
      </c>
      <c r="AC132" s="16" t="n">
        <v>16316247</v>
      </c>
      <c r="AD132" s="16" t="n">
        <v>1050000</v>
      </c>
      <c r="AE132" s="16" t="n">
        <v>80202486.48</v>
      </c>
      <c r="AF132" s="16" t="n">
        <v>1360000</v>
      </c>
      <c r="AG132" s="16" t="n">
        <v>30637565.036478</v>
      </c>
      <c r="AH132" s="16" t="n">
        <v>2797853.30458327</v>
      </c>
    </row>
    <row r="133" customFormat="false" ht="15.75" hidden="false" customHeight="false" outlineLevel="0" collapsed="false">
      <c r="A133" s="27" t="n">
        <v>36927</v>
      </c>
      <c r="B133" s="16" t="n">
        <v>1250000</v>
      </c>
      <c r="C133" s="16" t="n">
        <v>4375178.69</v>
      </c>
      <c r="D133" s="16" t="n">
        <v>1247943.5</v>
      </c>
      <c r="E133" s="16"/>
      <c r="F133" s="16"/>
      <c r="G133" s="16"/>
      <c r="H133" s="16" t="n">
        <v>1663000</v>
      </c>
      <c r="I133" s="16" t="n">
        <v>0</v>
      </c>
      <c r="J133" s="16"/>
      <c r="K133" s="16" t="n">
        <v>2.83122062683105E-007</v>
      </c>
      <c r="L133" s="16" t="n">
        <v>0</v>
      </c>
      <c r="M133" s="16" t="n">
        <v>137317.57</v>
      </c>
      <c r="N133" s="16" t="n">
        <v>0</v>
      </c>
      <c r="O133" s="16" t="n">
        <v>1000000</v>
      </c>
      <c r="P133" s="16" t="n">
        <v>0</v>
      </c>
      <c r="Q133" s="16" t="n">
        <v>23513434.5</v>
      </c>
      <c r="R133" s="16" t="n">
        <v>7121810</v>
      </c>
      <c r="S133" s="16" t="n">
        <v>5644007</v>
      </c>
      <c r="T133" s="16" t="n">
        <v>20999559.86</v>
      </c>
      <c r="U133" s="16" t="n">
        <v>2560525</v>
      </c>
      <c r="V133" s="16"/>
      <c r="W133" s="16" t="n">
        <v>2013591.65998389</v>
      </c>
      <c r="X133" s="16" t="n">
        <v>1374750</v>
      </c>
      <c r="Y133" s="16" t="n">
        <v>1803840</v>
      </c>
      <c r="Z133" s="16" t="n">
        <v>2300803</v>
      </c>
      <c r="AA133" s="16" t="n">
        <v>8551988.34</v>
      </c>
      <c r="AB133" s="16" t="n">
        <v>2343750</v>
      </c>
      <c r="AC133" s="16" t="n">
        <v>16316247</v>
      </c>
      <c r="AD133" s="16" t="n">
        <v>1050000</v>
      </c>
      <c r="AE133" s="16" t="n">
        <v>80202486.48</v>
      </c>
      <c r="AF133" s="16" t="n">
        <v>1360000</v>
      </c>
      <c r="AG133" s="16" t="n">
        <v>30637565.036478</v>
      </c>
      <c r="AH133" s="16" t="n">
        <v>2791967.46101802</v>
      </c>
    </row>
    <row r="134" customFormat="false" ht="15.75" hidden="false" customHeight="false" outlineLevel="0" collapsed="false">
      <c r="A134" s="27" t="n">
        <v>36928</v>
      </c>
      <c r="B134" s="16" t="n">
        <v>1250000</v>
      </c>
      <c r="C134" s="16" t="n">
        <v>4375178.69</v>
      </c>
      <c r="D134" s="16" t="n">
        <v>1247943.5</v>
      </c>
      <c r="E134" s="16"/>
      <c r="F134" s="16"/>
      <c r="G134" s="16"/>
      <c r="H134" s="16" t="n">
        <v>1663000</v>
      </c>
      <c r="I134" s="16" t="n">
        <v>0</v>
      </c>
      <c r="J134" s="16"/>
      <c r="K134" s="16" t="n">
        <v>2.83122062683105E-007</v>
      </c>
      <c r="L134" s="16" t="n">
        <v>0</v>
      </c>
      <c r="M134" s="16" t="n">
        <v>137317.57</v>
      </c>
      <c r="N134" s="16" t="n">
        <v>0</v>
      </c>
      <c r="O134" s="16" t="n">
        <v>1000000</v>
      </c>
      <c r="P134" s="16" t="n">
        <v>0</v>
      </c>
      <c r="Q134" s="16" t="n">
        <v>23513434.5</v>
      </c>
      <c r="R134" s="16" t="n">
        <v>7121810</v>
      </c>
      <c r="S134" s="16" t="n">
        <v>5644007</v>
      </c>
      <c r="T134" s="16" t="n">
        <v>20999559.86</v>
      </c>
      <c r="U134" s="16" t="n">
        <v>2560525</v>
      </c>
      <c r="V134" s="16"/>
      <c r="W134" s="16" t="n">
        <v>2013591.65998389</v>
      </c>
      <c r="X134" s="16" t="n">
        <v>1374750</v>
      </c>
      <c r="Y134" s="16" t="n">
        <v>1803840</v>
      </c>
      <c r="Z134" s="16" t="n">
        <v>2300803</v>
      </c>
      <c r="AA134" s="16" t="n">
        <v>8551988.34</v>
      </c>
      <c r="AB134" s="16" t="n">
        <v>2343750</v>
      </c>
      <c r="AC134" s="16" t="n">
        <v>16316247</v>
      </c>
      <c r="AD134" s="16" t="n">
        <v>1050000</v>
      </c>
      <c r="AE134" s="16" t="n">
        <v>80202486.48</v>
      </c>
      <c r="AF134" s="16" t="n">
        <v>1360000</v>
      </c>
      <c r="AG134" s="16" t="n">
        <v>30637565.036478</v>
      </c>
      <c r="AH134" s="16" t="n">
        <v>2797201.84635897</v>
      </c>
    </row>
    <row r="135" customFormat="false" ht="15.75" hidden="false" customHeight="false" outlineLevel="0" collapsed="false">
      <c r="A135" s="27" t="n">
        <v>36929</v>
      </c>
      <c r="B135" s="16" t="n">
        <v>1250000</v>
      </c>
      <c r="C135" s="16" t="n">
        <v>4375178.69</v>
      </c>
      <c r="D135" s="16" t="n">
        <v>1247943.5</v>
      </c>
      <c r="E135" s="16"/>
      <c r="F135" s="16"/>
      <c r="G135" s="16"/>
      <c r="H135" s="16" t="n">
        <v>1663000</v>
      </c>
      <c r="I135" s="16" t="n">
        <v>0</v>
      </c>
      <c r="J135" s="16"/>
      <c r="K135" s="16" t="n">
        <v>2.83122062683105E-007</v>
      </c>
      <c r="L135" s="16" t="n">
        <v>0</v>
      </c>
      <c r="M135" s="16" t="n">
        <v>137317.57</v>
      </c>
      <c r="N135" s="16" t="n">
        <v>0</v>
      </c>
      <c r="O135" s="16" t="n">
        <v>1000000</v>
      </c>
      <c r="P135" s="16" t="n">
        <v>0</v>
      </c>
      <c r="Q135" s="16" t="n">
        <v>23513434.5</v>
      </c>
      <c r="R135" s="16" t="n">
        <v>7121810</v>
      </c>
      <c r="S135" s="16" t="n">
        <v>5644007</v>
      </c>
      <c r="T135" s="16" t="n">
        <v>20999559.86</v>
      </c>
      <c r="U135" s="16" t="n">
        <v>2560525</v>
      </c>
      <c r="V135" s="16"/>
      <c r="W135" s="16" t="n">
        <v>2013591.65998389</v>
      </c>
      <c r="X135" s="16" t="n">
        <v>1374750</v>
      </c>
      <c r="Y135" s="16" t="n">
        <v>1803840</v>
      </c>
      <c r="Z135" s="16" t="n">
        <v>2300803</v>
      </c>
      <c r="AA135" s="16" t="n">
        <v>8551988.34</v>
      </c>
      <c r="AB135" s="16" t="n">
        <v>2343750</v>
      </c>
      <c r="AC135" s="16" t="n">
        <v>16316247</v>
      </c>
      <c r="AD135" s="16" t="n">
        <v>1050000</v>
      </c>
      <c r="AE135" s="16" t="n">
        <v>80202486.48</v>
      </c>
      <c r="AF135" s="16" t="n">
        <v>1360000</v>
      </c>
      <c r="AG135" s="16" t="n">
        <v>30637565.036478</v>
      </c>
      <c r="AH135" s="16" t="n">
        <v>2801706.63181157</v>
      </c>
    </row>
    <row r="136" customFormat="false" ht="15.75" hidden="false" customHeight="false" outlineLevel="0" collapsed="false">
      <c r="A136" s="27" t="n">
        <v>36930</v>
      </c>
      <c r="B136" s="16" t="n">
        <v>1250000</v>
      </c>
      <c r="C136" s="16" t="n">
        <v>4375178.69</v>
      </c>
      <c r="D136" s="16" t="n">
        <v>1247943.5</v>
      </c>
      <c r="E136" s="16"/>
      <c r="F136" s="16"/>
      <c r="G136" s="16"/>
      <c r="H136" s="16" t="n">
        <v>1663000</v>
      </c>
      <c r="I136" s="16" t="n">
        <v>0</v>
      </c>
      <c r="J136" s="16"/>
      <c r="K136" s="16" t="n">
        <v>2.83122062683105E-007</v>
      </c>
      <c r="L136" s="16" t="n">
        <v>0</v>
      </c>
      <c r="M136" s="16" t="n">
        <v>137317.57</v>
      </c>
      <c r="N136" s="16" t="n">
        <v>0</v>
      </c>
      <c r="O136" s="16" t="n">
        <v>1000000</v>
      </c>
      <c r="P136" s="16" t="n">
        <v>0</v>
      </c>
      <c r="Q136" s="16" t="n">
        <v>23513434.5</v>
      </c>
      <c r="R136" s="16" t="n">
        <v>7121810</v>
      </c>
      <c r="S136" s="16" t="n">
        <v>5644007</v>
      </c>
      <c r="T136" s="16" t="n">
        <v>20999559.86</v>
      </c>
      <c r="U136" s="16" t="n">
        <v>2560525</v>
      </c>
      <c r="V136" s="16"/>
      <c r="W136" s="16" t="n">
        <v>2013591.65998389</v>
      </c>
      <c r="X136" s="16" t="n">
        <v>1374750</v>
      </c>
      <c r="Y136" s="16" t="n">
        <v>1803840</v>
      </c>
      <c r="Z136" s="16" t="n">
        <v>2300803</v>
      </c>
      <c r="AA136" s="16" t="n">
        <v>8551988.34</v>
      </c>
      <c r="AB136" s="16" t="n">
        <v>2343750</v>
      </c>
      <c r="AC136" s="16" t="n">
        <v>16316247</v>
      </c>
      <c r="AD136" s="16" t="n">
        <v>1050000</v>
      </c>
      <c r="AE136" s="16" t="n">
        <v>80202486.48</v>
      </c>
      <c r="AF136" s="16" t="n">
        <v>1360000</v>
      </c>
      <c r="AG136" s="16" t="n">
        <v>30637565.036478</v>
      </c>
      <c r="AH136" s="16" t="n">
        <v>2805106.5632189</v>
      </c>
    </row>
    <row r="137" customFormat="false" ht="15.75" hidden="false" customHeight="false" outlineLevel="0" collapsed="false">
      <c r="A137" s="27" t="n">
        <v>36931</v>
      </c>
      <c r="B137" s="16" t="n">
        <v>1250000</v>
      </c>
      <c r="C137" s="16" t="n">
        <v>4375178.69</v>
      </c>
      <c r="D137" s="16" t="n">
        <v>1247943.5</v>
      </c>
      <c r="E137" s="16"/>
      <c r="F137" s="16"/>
      <c r="G137" s="16"/>
      <c r="H137" s="16" t="n">
        <v>1663000</v>
      </c>
      <c r="I137" s="16" t="n">
        <v>0</v>
      </c>
      <c r="J137" s="16"/>
      <c r="K137" s="16" t="n">
        <v>2.83122062683105E-007</v>
      </c>
      <c r="L137" s="16" t="n">
        <v>0</v>
      </c>
      <c r="M137" s="16" t="n">
        <v>137317.57</v>
      </c>
      <c r="N137" s="16" t="n">
        <v>0</v>
      </c>
      <c r="O137" s="16" t="n">
        <v>1000000</v>
      </c>
      <c r="P137" s="16" t="n">
        <v>0</v>
      </c>
      <c r="Q137" s="16" t="n">
        <v>23513434.5</v>
      </c>
      <c r="R137" s="16" t="n">
        <v>7121810</v>
      </c>
      <c r="S137" s="16" t="n">
        <v>5644007</v>
      </c>
      <c r="T137" s="16" t="n">
        <v>20999559.86</v>
      </c>
      <c r="U137" s="16" t="n">
        <v>2560525</v>
      </c>
      <c r="V137" s="16"/>
      <c r="W137" s="16" t="n">
        <v>2013591.65998389</v>
      </c>
      <c r="X137" s="16" t="n">
        <v>1374750</v>
      </c>
      <c r="Y137" s="16" t="n">
        <v>1803840</v>
      </c>
      <c r="Z137" s="16" t="n">
        <v>2300803</v>
      </c>
      <c r="AA137" s="16" t="n">
        <v>8551988.34</v>
      </c>
      <c r="AB137" s="16" t="n">
        <v>2343750</v>
      </c>
      <c r="AC137" s="16" t="n">
        <v>16316247</v>
      </c>
      <c r="AD137" s="16" t="n">
        <v>1050000</v>
      </c>
      <c r="AE137" s="16" t="n">
        <v>80202486.48</v>
      </c>
      <c r="AF137" s="16" t="n">
        <v>1360000</v>
      </c>
      <c r="AG137" s="16" t="n">
        <v>30637565.036478</v>
      </c>
      <c r="AH137" s="16" t="n">
        <v>2805055.31562556</v>
      </c>
    </row>
    <row r="138" customFormat="false" ht="15.75" hidden="false" customHeight="false" outlineLevel="0" collapsed="false">
      <c r="A138" s="27" t="n">
        <v>36934</v>
      </c>
      <c r="B138" s="16" t="n">
        <v>1250000</v>
      </c>
      <c r="C138" s="16" t="n">
        <v>4375178.69</v>
      </c>
      <c r="D138" s="16" t="n">
        <v>1247943.5</v>
      </c>
      <c r="E138" s="16"/>
      <c r="F138" s="16"/>
      <c r="G138" s="16"/>
      <c r="H138" s="16" t="n">
        <v>1663000</v>
      </c>
      <c r="I138" s="16" t="n">
        <v>0</v>
      </c>
      <c r="J138" s="16"/>
      <c r="K138" s="16" t="n">
        <v>2.83122062683105E-007</v>
      </c>
      <c r="L138" s="16" t="n">
        <v>0</v>
      </c>
      <c r="M138" s="16" t="n">
        <v>137317.57</v>
      </c>
      <c r="N138" s="16" t="n">
        <v>0</v>
      </c>
      <c r="O138" s="16" t="n">
        <v>1000000</v>
      </c>
      <c r="P138" s="16" t="n">
        <v>0</v>
      </c>
      <c r="Q138" s="16" t="n">
        <v>23513434.5</v>
      </c>
      <c r="R138" s="16" t="n">
        <v>7121810</v>
      </c>
      <c r="S138" s="16" t="n">
        <v>5644007</v>
      </c>
      <c r="T138" s="16" t="n">
        <v>20999559.86</v>
      </c>
      <c r="U138" s="16" t="n">
        <v>2560525</v>
      </c>
      <c r="V138" s="16"/>
      <c r="W138" s="16" t="n">
        <v>2013591.65998389</v>
      </c>
      <c r="X138" s="16" t="n">
        <v>1374750</v>
      </c>
      <c r="Y138" s="16" t="n">
        <v>1803840</v>
      </c>
      <c r="Z138" s="16" t="n">
        <v>2300803</v>
      </c>
      <c r="AA138" s="16" t="n">
        <v>8551988.34</v>
      </c>
      <c r="AB138" s="16" t="n">
        <v>2343750</v>
      </c>
      <c r="AC138" s="16" t="n">
        <v>16316247</v>
      </c>
      <c r="AD138" s="16" t="n">
        <v>1050000</v>
      </c>
      <c r="AE138" s="16" t="n">
        <v>80202486.48</v>
      </c>
      <c r="AF138" s="16" t="n">
        <v>1360000</v>
      </c>
      <c r="AG138" s="16" t="n">
        <v>30637565.036478</v>
      </c>
      <c r="AH138" s="16" t="n">
        <v>2808744.30498282</v>
      </c>
    </row>
    <row r="139" customFormat="false" ht="15.75" hidden="false" customHeight="false" outlineLevel="0" collapsed="false">
      <c r="A139" s="27" t="n">
        <v>36935</v>
      </c>
      <c r="B139" s="16" t="n">
        <v>1250000</v>
      </c>
      <c r="C139" s="16" t="n">
        <v>4375178.69</v>
      </c>
      <c r="D139" s="16" t="n">
        <v>1247943.5</v>
      </c>
      <c r="E139" s="16"/>
      <c r="F139" s="16"/>
      <c r="G139" s="16"/>
      <c r="H139" s="16" t="n">
        <v>1663000</v>
      </c>
      <c r="I139" s="16" t="n">
        <v>0</v>
      </c>
      <c r="J139" s="16"/>
      <c r="K139" s="16" t="n">
        <v>2.83122062683105E-007</v>
      </c>
      <c r="L139" s="16" t="n">
        <v>0</v>
      </c>
      <c r="M139" s="16" t="n">
        <v>137317.57</v>
      </c>
      <c r="N139" s="16" t="n">
        <v>0</v>
      </c>
      <c r="O139" s="16" t="n">
        <v>1000000</v>
      </c>
      <c r="P139" s="16" t="n">
        <v>0</v>
      </c>
      <c r="Q139" s="16" t="n">
        <v>23513434.5</v>
      </c>
      <c r="R139" s="16" t="n">
        <v>7121810</v>
      </c>
      <c r="S139" s="16" t="n">
        <v>5644007</v>
      </c>
      <c r="T139" s="16" t="n">
        <v>20999559.86</v>
      </c>
      <c r="U139" s="16" t="n">
        <v>2560525</v>
      </c>
      <c r="V139" s="16"/>
      <c r="W139" s="16" t="n">
        <v>2013591.65998389</v>
      </c>
      <c r="X139" s="16" t="n">
        <v>1374750</v>
      </c>
      <c r="Y139" s="16" t="n">
        <v>1803840</v>
      </c>
      <c r="Z139" s="16" t="n">
        <v>2300803</v>
      </c>
      <c r="AA139" s="16" t="n">
        <v>8551988.34</v>
      </c>
      <c r="AB139" s="16" t="n">
        <v>2343750</v>
      </c>
      <c r="AC139" s="16" t="n">
        <v>16316247</v>
      </c>
      <c r="AD139" s="16" t="n">
        <v>1050000</v>
      </c>
      <c r="AE139" s="16" t="n">
        <v>80202486.48</v>
      </c>
      <c r="AF139" s="16" t="n">
        <v>1360000</v>
      </c>
      <c r="AG139" s="16" t="n">
        <v>30637565.036478</v>
      </c>
      <c r="AH139" s="16" t="n">
        <v>2809191.2413907</v>
      </c>
    </row>
    <row r="140" customFormat="false" ht="15.75" hidden="false" customHeight="false" outlineLevel="0" collapsed="false">
      <c r="A140" s="27" t="n">
        <v>36936</v>
      </c>
      <c r="B140" s="16" t="n">
        <v>1250000</v>
      </c>
      <c r="C140" s="16" t="n">
        <v>4375178.69</v>
      </c>
      <c r="D140" s="16" t="n">
        <v>1247943.5</v>
      </c>
      <c r="E140" s="16"/>
      <c r="F140" s="16"/>
      <c r="G140" s="16"/>
      <c r="H140" s="16" t="n">
        <v>1663000</v>
      </c>
      <c r="I140" s="16" t="n">
        <v>0</v>
      </c>
      <c r="J140" s="16"/>
      <c r="K140" s="16" t="n">
        <v>2.83122062683105E-007</v>
      </c>
      <c r="L140" s="16" t="n">
        <v>0</v>
      </c>
      <c r="M140" s="16" t="n">
        <v>137317.57</v>
      </c>
      <c r="N140" s="16" t="n">
        <v>0</v>
      </c>
      <c r="O140" s="16" t="n">
        <v>1000000</v>
      </c>
      <c r="P140" s="16" t="n">
        <v>0</v>
      </c>
      <c r="Q140" s="16" t="n">
        <v>23513434.5</v>
      </c>
      <c r="R140" s="16" t="n">
        <v>7121810</v>
      </c>
      <c r="S140" s="16" t="n">
        <v>5644007</v>
      </c>
      <c r="T140" s="16" t="n">
        <v>20999559.86</v>
      </c>
      <c r="U140" s="16" t="n">
        <v>2560525</v>
      </c>
      <c r="V140" s="16"/>
      <c r="W140" s="16" t="n">
        <v>2013591.65998389</v>
      </c>
      <c r="X140" s="16" t="n">
        <v>1374750</v>
      </c>
      <c r="Y140" s="16" t="n">
        <v>1803840</v>
      </c>
      <c r="Z140" s="16" t="n">
        <v>2300803</v>
      </c>
      <c r="AA140" s="16" t="n">
        <v>8551988.34</v>
      </c>
      <c r="AB140" s="16" t="n">
        <v>2343750</v>
      </c>
      <c r="AC140" s="16" t="n">
        <v>16316247</v>
      </c>
      <c r="AD140" s="16" t="n">
        <v>1050000</v>
      </c>
      <c r="AE140" s="16" t="n">
        <v>80202486.48</v>
      </c>
      <c r="AF140" s="16" t="n">
        <v>1360000</v>
      </c>
      <c r="AG140" s="16" t="n">
        <v>30637565.036478</v>
      </c>
      <c r="AH140" s="16" t="n">
        <v>2821757.50634595</v>
      </c>
    </row>
    <row r="141" customFormat="false" ht="15.75" hidden="false" customHeight="false" outlineLevel="0" collapsed="false">
      <c r="A141" s="27" t="n">
        <v>36937</v>
      </c>
      <c r="B141" s="16" t="n">
        <v>1250000</v>
      </c>
      <c r="C141" s="16" t="n">
        <v>4375178.69</v>
      </c>
      <c r="D141" s="16" t="n">
        <v>1247943.5</v>
      </c>
      <c r="E141" s="16"/>
      <c r="F141" s="16"/>
      <c r="G141" s="16"/>
      <c r="H141" s="16" t="n">
        <v>1663000</v>
      </c>
      <c r="I141" s="16" t="n">
        <v>0</v>
      </c>
      <c r="J141" s="16"/>
      <c r="K141" s="16" t="n">
        <v>2.83122062683105E-007</v>
      </c>
      <c r="L141" s="16" t="n">
        <v>0</v>
      </c>
      <c r="M141" s="16" t="n">
        <v>137317.57</v>
      </c>
      <c r="N141" s="16" t="n">
        <v>0</v>
      </c>
      <c r="O141" s="16" t="n">
        <v>1000000</v>
      </c>
      <c r="P141" s="16" t="n">
        <v>0</v>
      </c>
      <c r="Q141" s="16" t="n">
        <v>23513434.5</v>
      </c>
      <c r="R141" s="16" t="n">
        <v>7121810</v>
      </c>
      <c r="S141" s="16" t="n">
        <v>5644007</v>
      </c>
      <c r="T141" s="16" t="n">
        <v>20999559.86</v>
      </c>
      <c r="U141" s="16" t="n">
        <v>2560525</v>
      </c>
      <c r="V141" s="16"/>
      <c r="W141" s="16" t="n">
        <v>2013591.65998389</v>
      </c>
      <c r="X141" s="16" t="n">
        <v>1374750</v>
      </c>
      <c r="Y141" s="16" t="n">
        <v>1803840</v>
      </c>
      <c r="Z141" s="16" t="n">
        <v>2300803</v>
      </c>
      <c r="AA141" s="16" t="n">
        <v>8551988.34</v>
      </c>
      <c r="AB141" s="16" t="n">
        <v>2343750</v>
      </c>
      <c r="AC141" s="16" t="n">
        <v>16316247</v>
      </c>
      <c r="AD141" s="16" t="n">
        <v>1050000</v>
      </c>
      <c r="AE141" s="16" t="n">
        <v>80202486.48</v>
      </c>
      <c r="AF141" s="16" t="n">
        <v>1360000</v>
      </c>
      <c r="AG141" s="16" t="n">
        <v>30637565.036478</v>
      </c>
      <c r="AH141" s="16" t="n">
        <v>2820522.30176308</v>
      </c>
    </row>
    <row r="142" customFormat="false" ht="15.75" hidden="false" customHeight="false" outlineLevel="0" collapsed="false">
      <c r="A142" s="27" t="n">
        <v>36938</v>
      </c>
      <c r="B142" s="16" t="n">
        <v>1250000</v>
      </c>
      <c r="C142" s="16" t="n">
        <v>4375178.69</v>
      </c>
      <c r="D142" s="16" t="n">
        <v>1247943.5</v>
      </c>
      <c r="E142" s="16"/>
      <c r="F142" s="16"/>
      <c r="G142" s="16"/>
      <c r="H142" s="16" t="n">
        <v>1663000</v>
      </c>
      <c r="I142" s="16" t="n">
        <v>0</v>
      </c>
      <c r="J142" s="16"/>
      <c r="K142" s="16" t="n">
        <v>2.83122062683105E-007</v>
      </c>
      <c r="L142" s="16" t="n">
        <v>0</v>
      </c>
      <c r="M142" s="16" t="n">
        <v>137317.57</v>
      </c>
      <c r="N142" s="16" t="n">
        <v>0</v>
      </c>
      <c r="O142" s="16" t="n">
        <v>1000000</v>
      </c>
      <c r="P142" s="16" t="n">
        <v>0</v>
      </c>
      <c r="Q142" s="16" t="n">
        <v>23513434.5</v>
      </c>
      <c r="R142" s="16" t="n">
        <v>7121810</v>
      </c>
      <c r="S142" s="16" t="n">
        <v>5644007</v>
      </c>
      <c r="T142" s="16" t="n">
        <v>20999559.86</v>
      </c>
      <c r="U142" s="16" t="n">
        <v>2560525</v>
      </c>
      <c r="V142" s="16"/>
      <c r="W142" s="16" t="n">
        <v>2013591.65998389</v>
      </c>
      <c r="X142" s="16" t="n">
        <v>1374750</v>
      </c>
      <c r="Y142" s="16" t="n">
        <v>1803840</v>
      </c>
      <c r="Z142" s="16" t="n">
        <v>2300803</v>
      </c>
      <c r="AA142" s="16" t="n">
        <v>8551988.34</v>
      </c>
      <c r="AB142" s="16" t="n">
        <v>2343750</v>
      </c>
      <c r="AC142" s="16" t="n">
        <v>16316247</v>
      </c>
      <c r="AD142" s="16" t="n">
        <v>1050000</v>
      </c>
      <c r="AE142" s="16" t="n">
        <v>80202486.48</v>
      </c>
      <c r="AF142" s="16" t="n">
        <v>1360000</v>
      </c>
      <c r="AG142" s="16" t="n">
        <v>30637565.036478</v>
      </c>
      <c r="AH142" s="16" t="n">
        <v>2813317.45567893</v>
      </c>
    </row>
    <row r="143" customFormat="false" ht="15.75" hidden="false" customHeight="false" outlineLevel="0" collapsed="false">
      <c r="A143" s="27" t="n">
        <v>36942</v>
      </c>
      <c r="B143" s="16" t="n">
        <v>1250000</v>
      </c>
      <c r="C143" s="16" t="n">
        <v>4375178.69</v>
      </c>
      <c r="D143" s="16" t="n">
        <v>1247943.5</v>
      </c>
      <c r="E143" s="16"/>
      <c r="F143" s="16"/>
      <c r="G143" s="16"/>
      <c r="H143" s="16" t="n">
        <v>1663000</v>
      </c>
      <c r="I143" s="16" t="n">
        <v>0</v>
      </c>
      <c r="J143" s="16"/>
      <c r="K143" s="16" t="n">
        <v>2.83122062683105E-007</v>
      </c>
      <c r="L143" s="16" t="n">
        <v>0</v>
      </c>
      <c r="M143" s="16" t="n">
        <v>137317.57</v>
      </c>
      <c r="N143" s="16" t="n">
        <v>0</v>
      </c>
      <c r="O143" s="16" t="n">
        <v>1000000</v>
      </c>
      <c r="P143" s="16" t="n">
        <v>0</v>
      </c>
      <c r="Q143" s="16" t="n">
        <v>23513434.5</v>
      </c>
      <c r="R143" s="16" t="n">
        <v>7121810</v>
      </c>
      <c r="S143" s="16" t="n">
        <v>5644007</v>
      </c>
      <c r="T143" s="16" t="n">
        <v>20999559.86</v>
      </c>
      <c r="U143" s="16" t="n">
        <v>2560525</v>
      </c>
      <c r="V143" s="16"/>
      <c r="W143" s="16" t="n">
        <v>2013591.65998389</v>
      </c>
      <c r="X143" s="16" t="n">
        <v>1374750</v>
      </c>
      <c r="Y143" s="16" t="n">
        <v>1803840</v>
      </c>
      <c r="Z143" s="16" t="n">
        <v>2300803</v>
      </c>
      <c r="AA143" s="16" t="n">
        <v>8551988.34</v>
      </c>
      <c r="AB143" s="16" t="n">
        <v>2343750</v>
      </c>
      <c r="AC143" s="16" t="n">
        <v>16316247</v>
      </c>
      <c r="AD143" s="16" t="n">
        <v>1050000</v>
      </c>
      <c r="AE143" s="16" t="n">
        <v>80202486.48</v>
      </c>
      <c r="AF143" s="16" t="n">
        <v>1360000</v>
      </c>
      <c r="AG143" s="16" t="n">
        <v>30637565.036478</v>
      </c>
      <c r="AH143" s="16" t="n">
        <v>2808953.4217411</v>
      </c>
    </row>
    <row r="144" customFormat="false" ht="15.75" hidden="false" customHeight="false" outlineLevel="0" collapsed="false">
      <c r="A144" s="27" t="n">
        <v>36943</v>
      </c>
      <c r="B144" s="16" t="n">
        <v>1250000</v>
      </c>
      <c r="C144" s="16" t="n">
        <v>4375178.69</v>
      </c>
      <c r="D144" s="16" t="n">
        <v>1247943.5</v>
      </c>
      <c r="E144" s="16"/>
      <c r="F144" s="16"/>
      <c r="G144" s="16"/>
      <c r="H144" s="16" t="n">
        <v>1663000</v>
      </c>
      <c r="I144" s="16" t="n">
        <v>0</v>
      </c>
      <c r="J144" s="16"/>
      <c r="K144" s="16" t="n">
        <v>2.83122062683105E-007</v>
      </c>
      <c r="L144" s="16" t="n">
        <v>0</v>
      </c>
      <c r="M144" s="16" t="n">
        <v>137317.57</v>
      </c>
      <c r="N144" s="16" t="n">
        <v>0</v>
      </c>
      <c r="O144" s="16" t="n">
        <v>1000000</v>
      </c>
      <c r="P144" s="16" t="n">
        <v>0</v>
      </c>
      <c r="Q144" s="16" t="n">
        <v>23513434.5</v>
      </c>
      <c r="R144" s="16" t="n">
        <v>7121810</v>
      </c>
      <c r="S144" s="16" t="n">
        <v>5644007</v>
      </c>
      <c r="T144" s="16" t="n">
        <v>20999559.86</v>
      </c>
      <c r="U144" s="16" t="n">
        <v>2560525</v>
      </c>
      <c r="V144" s="16"/>
      <c r="W144" s="16" t="n">
        <v>2013591.65998389</v>
      </c>
      <c r="X144" s="16" t="n">
        <v>1374750</v>
      </c>
      <c r="Y144" s="16" t="n">
        <v>1803840</v>
      </c>
      <c r="Z144" s="16" t="n">
        <v>2300803</v>
      </c>
      <c r="AA144" s="16" t="n">
        <v>8551988.34</v>
      </c>
      <c r="AB144" s="16" t="n">
        <v>2343750</v>
      </c>
      <c r="AC144" s="16" t="n">
        <v>16316247</v>
      </c>
      <c r="AD144" s="16" t="n">
        <v>1050000</v>
      </c>
      <c r="AE144" s="16" t="n">
        <v>80202486.48</v>
      </c>
      <c r="AF144" s="16" t="n">
        <v>1360000</v>
      </c>
      <c r="AG144" s="16" t="n">
        <v>30637565.036478</v>
      </c>
      <c r="AH144" s="16" t="n">
        <v>2797657.03683463</v>
      </c>
    </row>
    <row r="145" customFormat="false" ht="15.75" hidden="false" customHeight="false" outlineLevel="0" collapsed="false">
      <c r="A145" s="27" t="n">
        <v>36944</v>
      </c>
      <c r="B145" s="16" t="n">
        <v>1250000</v>
      </c>
      <c r="C145" s="16" t="n">
        <v>4375178.69</v>
      </c>
      <c r="D145" s="16" t="n">
        <v>1247943.5</v>
      </c>
      <c r="E145" s="16"/>
      <c r="F145" s="16"/>
      <c r="G145" s="16"/>
      <c r="H145" s="16" t="n">
        <v>1663000</v>
      </c>
      <c r="I145" s="16" t="n">
        <v>0</v>
      </c>
      <c r="J145" s="16"/>
      <c r="K145" s="16" t="n">
        <v>2.83122062683105E-007</v>
      </c>
      <c r="L145" s="16" t="n">
        <v>0</v>
      </c>
      <c r="M145" s="16" t="n">
        <v>137317.57</v>
      </c>
      <c r="N145" s="16" t="n">
        <v>0</v>
      </c>
      <c r="O145" s="16" t="n">
        <v>1000000</v>
      </c>
      <c r="P145" s="16" t="n">
        <v>0</v>
      </c>
      <c r="Q145" s="16" t="n">
        <v>23513434.5</v>
      </c>
      <c r="R145" s="16" t="n">
        <v>7121810</v>
      </c>
      <c r="S145" s="16" t="n">
        <v>5644007</v>
      </c>
      <c r="T145" s="16" t="n">
        <v>20999559.86</v>
      </c>
      <c r="U145" s="16" t="n">
        <v>2560525</v>
      </c>
      <c r="V145" s="16"/>
      <c r="W145" s="16" t="n">
        <v>2013591.65998389</v>
      </c>
      <c r="X145" s="16" t="n">
        <v>1374750</v>
      </c>
      <c r="Y145" s="16" t="n">
        <v>1803840</v>
      </c>
      <c r="Z145" s="16" t="n">
        <v>2300803</v>
      </c>
      <c r="AA145" s="16" t="n">
        <v>8551988.34</v>
      </c>
      <c r="AB145" s="16" t="n">
        <v>2343750</v>
      </c>
      <c r="AC145" s="16" t="n">
        <v>16316247</v>
      </c>
      <c r="AD145" s="16" t="n">
        <v>1050000</v>
      </c>
      <c r="AE145" s="16" t="n">
        <v>80202486.48</v>
      </c>
      <c r="AF145" s="16" t="n">
        <v>1360000</v>
      </c>
      <c r="AG145" s="16" t="n">
        <v>30637565.036478</v>
      </c>
      <c r="AH145" s="16" t="n">
        <v>2810418.27569535</v>
      </c>
    </row>
    <row r="146" customFormat="false" ht="15.75" hidden="false" customHeight="false" outlineLevel="0" collapsed="false">
      <c r="A146" s="27" t="n">
        <v>36945</v>
      </c>
      <c r="B146" s="16" t="n">
        <v>1250000</v>
      </c>
      <c r="C146" s="16" t="n">
        <v>4375178.69</v>
      </c>
      <c r="D146" s="16" t="n">
        <v>1247943.5</v>
      </c>
      <c r="E146" s="16"/>
      <c r="F146" s="16"/>
      <c r="G146" s="16"/>
      <c r="H146" s="16" t="n">
        <v>1663000</v>
      </c>
      <c r="I146" s="16" t="n">
        <v>0</v>
      </c>
      <c r="J146" s="16"/>
      <c r="K146" s="16" t="n">
        <v>2.83122062683105E-007</v>
      </c>
      <c r="L146" s="16" t="n">
        <v>0</v>
      </c>
      <c r="M146" s="16" t="n">
        <v>137317.57</v>
      </c>
      <c r="N146" s="16" t="n">
        <v>0</v>
      </c>
      <c r="O146" s="16" t="n">
        <v>1000000</v>
      </c>
      <c r="P146" s="16" t="n">
        <v>0</v>
      </c>
      <c r="Q146" s="16" t="n">
        <v>23513434.5</v>
      </c>
      <c r="R146" s="16" t="n">
        <v>7121810</v>
      </c>
      <c r="S146" s="16" t="n">
        <v>5644007</v>
      </c>
      <c r="T146" s="16" t="n">
        <v>20999559.86</v>
      </c>
      <c r="U146" s="16" t="n">
        <v>2560525</v>
      </c>
      <c r="V146" s="16"/>
      <c r="W146" s="16" t="n">
        <v>2013591.65998389</v>
      </c>
      <c r="X146" s="16" t="n">
        <v>1374750</v>
      </c>
      <c r="Y146" s="16" t="n">
        <v>1803840</v>
      </c>
      <c r="Z146" s="16" t="n">
        <v>2300803</v>
      </c>
      <c r="AA146" s="16" t="n">
        <v>8551988.34</v>
      </c>
      <c r="AB146" s="16" t="n">
        <v>2343750</v>
      </c>
      <c r="AC146" s="16" t="n">
        <v>16316247</v>
      </c>
      <c r="AD146" s="16" t="n">
        <v>1050000</v>
      </c>
      <c r="AE146" s="16" t="n">
        <v>80202486.48</v>
      </c>
      <c r="AF146" s="16" t="n">
        <v>1360000</v>
      </c>
      <c r="AG146" s="16" t="n">
        <v>30637565.036478</v>
      </c>
      <c r="AH146" s="16" t="n">
        <v>2807934.5343045</v>
      </c>
    </row>
    <row r="147" customFormat="false" ht="15.75" hidden="false" customHeight="false" outlineLevel="0" collapsed="false">
      <c r="A147" s="27" t="n">
        <v>36948</v>
      </c>
      <c r="B147" s="16" t="n">
        <v>1250000</v>
      </c>
      <c r="C147" s="16" t="n">
        <v>4375178.69</v>
      </c>
      <c r="D147" s="16" t="n">
        <v>1247943.5</v>
      </c>
      <c r="E147" s="16"/>
      <c r="F147" s="16"/>
      <c r="G147" s="16"/>
      <c r="H147" s="16" t="n">
        <v>1663000</v>
      </c>
      <c r="I147" s="16" t="n">
        <v>0</v>
      </c>
      <c r="J147" s="16"/>
      <c r="K147" s="16" t="n">
        <v>2.83122062683105E-007</v>
      </c>
      <c r="L147" s="16" t="n">
        <v>0</v>
      </c>
      <c r="M147" s="16" t="n">
        <v>137317.57</v>
      </c>
      <c r="N147" s="16" t="n">
        <v>0</v>
      </c>
      <c r="O147" s="16" t="n">
        <v>1000000</v>
      </c>
      <c r="P147" s="16" t="n">
        <v>0</v>
      </c>
      <c r="Q147" s="16" t="n">
        <v>23513434.5</v>
      </c>
      <c r="R147" s="16" t="n">
        <v>7121810</v>
      </c>
      <c r="S147" s="16" t="n">
        <v>5644007</v>
      </c>
      <c r="T147" s="16" t="n">
        <v>20999559.86</v>
      </c>
      <c r="U147" s="16" t="n">
        <v>2560525</v>
      </c>
      <c r="V147" s="16"/>
      <c r="W147" s="16" t="n">
        <v>2013591.65998389</v>
      </c>
      <c r="X147" s="16" t="n">
        <v>1374750</v>
      </c>
      <c r="Y147" s="16" t="n">
        <v>1803840</v>
      </c>
      <c r="Z147" s="16" t="n">
        <v>2300803</v>
      </c>
      <c r="AA147" s="16" t="n">
        <v>8551988.34</v>
      </c>
      <c r="AB147" s="16" t="n">
        <v>2343750</v>
      </c>
      <c r="AC147" s="16" t="n">
        <v>16316247</v>
      </c>
      <c r="AD147" s="16" t="n">
        <v>1050000</v>
      </c>
      <c r="AE147" s="16" t="n">
        <v>80202486.48</v>
      </c>
      <c r="AF147" s="16" t="n">
        <v>1360000</v>
      </c>
      <c r="AG147" s="16" t="n">
        <v>30637565.036478</v>
      </c>
      <c r="AH147" s="16" t="n">
        <v>2806059.36292112</v>
      </c>
    </row>
    <row r="148" customFormat="false" ht="15.75" hidden="false" customHeight="false" outlineLevel="0" collapsed="false">
      <c r="A148" s="27" t="n">
        <v>36949</v>
      </c>
      <c r="B148" s="16" t="n">
        <v>1250000</v>
      </c>
      <c r="C148" s="16" t="n">
        <v>4375178.69</v>
      </c>
      <c r="D148" s="16" t="n">
        <v>1247943.5</v>
      </c>
      <c r="E148" s="16"/>
      <c r="F148" s="16"/>
      <c r="G148" s="16"/>
      <c r="H148" s="16" t="n">
        <v>1663000</v>
      </c>
      <c r="I148" s="16" t="n">
        <v>0</v>
      </c>
      <c r="J148" s="16"/>
      <c r="K148" s="16" t="n">
        <v>2.83122062683105E-007</v>
      </c>
      <c r="L148" s="16" t="n">
        <v>0</v>
      </c>
      <c r="M148" s="16" t="n">
        <v>137317.57</v>
      </c>
      <c r="N148" s="16" t="n">
        <v>0</v>
      </c>
      <c r="O148" s="16" t="n">
        <v>1000000</v>
      </c>
      <c r="P148" s="16" t="n">
        <v>0</v>
      </c>
      <c r="Q148" s="16" t="n">
        <v>23513434.5</v>
      </c>
      <c r="R148" s="16" t="n">
        <v>7121810</v>
      </c>
      <c r="S148" s="16" t="n">
        <v>5644007</v>
      </c>
      <c r="T148" s="16" t="n">
        <v>20999559.86</v>
      </c>
      <c r="U148" s="16" t="n">
        <v>2560525</v>
      </c>
      <c r="V148" s="16"/>
      <c r="W148" s="16" t="n">
        <v>2013591.65998389</v>
      </c>
      <c r="X148" s="16" t="n">
        <v>1374750</v>
      </c>
      <c r="Y148" s="16" t="n">
        <v>1803840</v>
      </c>
      <c r="Z148" s="16" t="n">
        <v>2300803</v>
      </c>
      <c r="AA148" s="16" t="n">
        <v>8551988.34</v>
      </c>
      <c r="AB148" s="16" t="n">
        <v>2343750</v>
      </c>
      <c r="AC148" s="16" t="n">
        <v>16316247</v>
      </c>
      <c r="AD148" s="16" t="n">
        <v>1050000</v>
      </c>
      <c r="AE148" s="16" t="n">
        <v>80202486.48</v>
      </c>
      <c r="AF148" s="16" t="n">
        <v>1360000</v>
      </c>
      <c r="AG148" s="16" t="n">
        <v>30637565.036478</v>
      </c>
      <c r="AH148" s="16" t="n">
        <v>2776275.67169631</v>
      </c>
    </row>
    <row r="149" customFormat="false" ht="15.75" hidden="false" customHeight="false" outlineLevel="0" collapsed="false">
      <c r="A149" s="27" t="n">
        <v>36950</v>
      </c>
      <c r="B149" s="16" t="n">
        <v>1250000</v>
      </c>
      <c r="C149" s="16" t="n">
        <v>4375178.69</v>
      </c>
      <c r="D149" s="16" t="n">
        <v>1247943.5</v>
      </c>
      <c r="E149" s="16"/>
      <c r="F149" s="16"/>
      <c r="G149" s="16"/>
      <c r="H149" s="16" t="n">
        <v>1663000</v>
      </c>
      <c r="I149" s="16" t="n">
        <v>0</v>
      </c>
      <c r="J149" s="16"/>
      <c r="K149" s="16" t="n">
        <v>2.83122062683105E-007</v>
      </c>
      <c r="L149" s="16" t="n">
        <v>0</v>
      </c>
      <c r="M149" s="16" t="n">
        <v>137317.57</v>
      </c>
      <c r="N149" s="16" t="n">
        <v>0</v>
      </c>
      <c r="O149" s="16" t="n">
        <v>1000000</v>
      </c>
      <c r="P149" s="16" t="n">
        <v>0</v>
      </c>
      <c r="Q149" s="16" t="n">
        <v>23513434.5</v>
      </c>
      <c r="R149" s="16" t="n">
        <v>7121810</v>
      </c>
      <c r="S149" s="16" t="n">
        <v>5644007</v>
      </c>
      <c r="T149" s="16" t="n">
        <v>20999559.86</v>
      </c>
      <c r="U149" s="16" t="n">
        <v>2560525</v>
      </c>
      <c r="V149" s="16"/>
      <c r="W149" s="16" t="n">
        <v>2013591.65998389</v>
      </c>
      <c r="X149" s="16" t="n">
        <v>1374750</v>
      </c>
      <c r="Y149" s="16" t="n">
        <v>1803840</v>
      </c>
      <c r="Z149" s="16" t="n">
        <v>2300803</v>
      </c>
      <c r="AA149" s="16" t="n">
        <v>8551988.34</v>
      </c>
      <c r="AB149" s="16" t="n">
        <v>2343750</v>
      </c>
      <c r="AC149" s="16" t="n">
        <v>16316247</v>
      </c>
      <c r="AD149" s="16" t="n">
        <v>1050000</v>
      </c>
      <c r="AE149" s="16" t="n">
        <v>80202486.48</v>
      </c>
      <c r="AF149" s="16" t="n">
        <v>1360000</v>
      </c>
      <c r="AG149" s="16" t="n">
        <v>30637565.036478</v>
      </c>
      <c r="AH149" s="16" t="n">
        <v>2776190.2170763</v>
      </c>
    </row>
    <row r="150" customFormat="false" ht="15.75" hidden="false" customHeight="false" outlineLevel="0" collapsed="false">
      <c r="A150" s="27" t="n">
        <v>36951</v>
      </c>
      <c r="B150" s="16" t="n">
        <v>1250000</v>
      </c>
      <c r="C150" s="16" t="n">
        <v>4375178.69</v>
      </c>
      <c r="D150" s="16" t="n">
        <v>1247943.5</v>
      </c>
      <c r="E150" s="16"/>
      <c r="F150" s="16"/>
      <c r="G150" s="16"/>
      <c r="H150" s="16" t="n">
        <v>1663000</v>
      </c>
      <c r="I150" s="16" t="n">
        <v>0</v>
      </c>
      <c r="J150" s="16"/>
      <c r="K150" s="16" t="n">
        <v>2.83122062683105E-007</v>
      </c>
      <c r="L150" s="16" t="n">
        <v>0</v>
      </c>
      <c r="M150" s="16" t="n">
        <v>137317.57</v>
      </c>
      <c r="N150" s="16" t="n">
        <v>0</v>
      </c>
      <c r="O150" s="16" t="n">
        <v>1000000</v>
      </c>
      <c r="P150" s="16" t="n">
        <v>0</v>
      </c>
      <c r="Q150" s="16" t="n">
        <v>23513434.5</v>
      </c>
      <c r="R150" s="16" t="n">
        <v>7121810</v>
      </c>
      <c r="S150" s="16" t="n">
        <v>5644007</v>
      </c>
      <c r="T150" s="16" t="n">
        <v>20999559.86</v>
      </c>
      <c r="U150" s="16" t="n">
        <v>2560525</v>
      </c>
      <c r="V150" s="16"/>
      <c r="W150" s="16" t="n">
        <v>2013591.65998389</v>
      </c>
      <c r="X150" s="16" t="n">
        <v>1374750</v>
      </c>
      <c r="Y150" s="16" t="n">
        <v>1803840</v>
      </c>
      <c r="Z150" s="16" t="n">
        <v>2300803</v>
      </c>
      <c r="AA150" s="16" t="n">
        <v>8551988.34</v>
      </c>
      <c r="AB150" s="16" t="n">
        <v>2343750</v>
      </c>
      <c r="AC150" s="16" t="n">
        <v>16316247</v>
      </c>
      <c r="AD150" s="16" t="n">
        <v>1050000</v>
      </c>
      <c r="AE150" s="16" t="n">
        <v>80202486.48</v>
      </c>
      <c r="AF150" s="16" t="n">
        <v>1360000</v>
      </c>
      <c r="AG150" s="16" t="n">
        <v>30637565.036478</v>
      </c>
      <c r="AH150" s="16" t="n">
        <v>2780129.4059278</v>
      </c>
    </row>
    <row r="151" customFormat="false" ht="15.75" hidden="false" customHeight="false" outlineLevel="0" collapsed="false">
      <c r="A151" s="27" t="n">
        <v>36952</v>
      </c>
      <c r="B151" s="16" t="n">
        <v>1250000</v>
      </c>
      <c r="C151" s="16" t="n">
        <v>4375178.69</v>
      </c>
      <c r="D151" s="16" t="n">
        <v>1247943.5</v>
      </c>
      <c r="E151" s="16"/>
      <c r="F151" s="16"/>
      <c r="G151" s="16"/>
      <c r="H151" s="16" t="n">
        <v>1663000</v>
      </c>
      <c r="I151" s="16" t="n">
        <v>0</v>
      </c>
      <c r="J151" s="16"/>
      <c r="K151" s="16" t="n">
        <v>2.83122062683105E-007</v>
      </c>
      <c r="L151" s="16" t="n">
        <v>0</v>
      </c>
      <c r="M151" s="16" t="n">
        <v>137317.57</v>
      </c>
      <c r="N151" s="16" t="n">
        <v>0</v>
      </c>
      <c r="O151" s="16" t="n">
        <v>1000000</v>
      </c>
      <c r="P151" s="16" t="n">
        <v>0</v>
      </c>
      <c r="Q151" s="16" t="n">
        <v>23513434.5</v>
      </c>
      <c r="R151" s="16" t="n">
        <v>7121810</v>
      </c>
      <c r="S151" s="16" t="n">
        <v>5644007</v>
      </c>
      <c r="T151" s="16" t="n">
        <v>20999559.86</v>
      </c>
      <c r="U151" s="16" t="n">
        <v>2560525</v>
      </c>
      <c r="V151" s="16"/>
      <c r="W151" s="16" t="n">
        <v>2013591.65998389</v>
      </c>
      <c r="X151" s="16" t="n">
        <v>1374750</v>
      </c>
      <c r="Y151" s="16" t="n">
        <v>1803840</v>
      </c>
      <c r="Z151" s="16" t="n">
        <v>2300803</v>
      </c>
      <c r="AA151" s="16" t="n">
        <v>8551988.34</v>
      </c>
      <c r="AB151" s="16" t="n">
        <v>2343750</v>
      </c>
      <c r="AC151" s="16" t="n">
        <v>16316247</v>
      </c>
      <c r="AD151" s="16" t="n">
        <v>1050000</v>
      </c>
      <c r="AE151" s="16" t="n">
        <v>80202486.48</v>
      </c>
      <c r="AF151" s="16" t="n">
        <v>1360000</v>
      </c>
      <c r="AG151" s="16" t="n">
        <v>30637565.036478</v>
      </c>
      <c r="AH151" s="16" t="n">
        <v>2783287.50551763</v>
      </c>
    </row>
    <row r="152" customFormat="false" ht="15.75" hidden="false" customHeight="false" outlineLevel="0" collapsed="false">
      <c r="A152" s="27" t="n">
        <v>36955</v>
      </c>
      <c r="B152" s="16" t="n">
        <v>1250000</v>
      </c>
      <c r="C152" s="16" t="n">
        <v>4375178.69</v>
      </c>
      <c r="D152" s="16" t="n">
        <v>1247943.5</v>
      </c>
      <c r="E152" s="16"/>
      <c r="F152" s="16"/>
      <c r="G152" s="16"/>
      <c r="H152" s="16" t="n">
        <v>1663000</v>
      </c>
      <c r="I152" s="16" t="n">
        <v>0</v>
      </c>
      <c r="J152" s="16"/>
      <c r="K152" s="16" t="n">
        <v>2.83122062683105E-007</v>
      </c>
      <c r="L152" s="16" t="n">
        <v>0</v>
      </c>
      <c r="M152" s="16" t="n">
        <v>137317.57</v>
      </c>
      <c r="N152" s="16" t="n">
        <v>0</v>
      </c>
      <c r="O152" s="16" t="n">
        <v>1000000</v>
      </c>
      <c r="P152" s="16" t="n">
        <v>0</v>
      </c>
      <c r="Q152" s="16" t="n">
        <v>23513434.5</v>
      </c>
      <c r="R152" s="16" t="n">
        <v>7121810</v>
      </c>
      <c r="S152" s="16" t="n">
        <v>5644007</v>
      </c>
      <c r="T152" s="16" t="n">
        <v>20999559.86</v>
      </c>
      <c r="U152" s="16" t="n">
        <v>2560525</v>
      </c>
      <c r="V152" s="16"/>
      <c r="W152" s="16" t="n">
        <v>2013591.65998389</v>
      </c>
      <c r="X152" s="16" t="n">
        <v>1374750</v>
      </c>
      <c r="Y152" s="16" t="n">
        <v>1803840</v>
      </c>
      <c r="Z152" s="16" t="n">
        <v>2300803</v>
      </c>
      <c r="AA152" s="16" t="n">
        <v>8551988.34</v>
      </c>
      <c r="AB152" s="16" t="n">
        <v>2343750</v>
      </c>
      <c r="AC152" s="16" t="n">
        <v>16316247</v>
      </c>
      <c r="AD152" s="16" t="n">
        <v>1050000</v>
      </c>
      <c r="AE152" s="16" t="n">
        <v>80202486.48</v>
      </c>
      <c r="AF152" s="16" t="n">
        <v>1360000</v>
      </c>
      <c r="AG152" s="16" t="n">
        <v>30637565.036478</v>
      </c>
      <c r="AH152" s="16" t="n">
        <v>2799701.43637831</v>
      </c>
    </row>
    <row r="153" customFormat="false" ht="15.75" hidden="false" customHeight="false" outlineLevel="0" collapsed="false">
      <c r="A153" s="27" t="n">
        <v>36956</v>
      </c>
      <c r="B153" s="16" t="n">
        <v>1250000</v>
      </c>
      <c r="C153" s="16" t="n">
        <v>4375178.69</v>
      </c>
      <c r="D153" s="16" t="n">
        <v>1247943.5</v>
      </c>
      <c r="E153" s="16"/>
      <c r="F153" s="16"/>
      <c r="G153" s="16"/>
      <c r="H153" s="16" t="n">
        <v>1663000</v>
      </c>
      <c r="I153" s="16" t="n">
        <v>0</v>
      </c>
      <c r="J153" s="16"/>
      <c r="K153" s="16" t="n">
        <v>2.83122062683105E-007</v>
      </c>
      <c r="L153" s="16" t="n">
        <v>0</v>
      </c>
      <c r="M153" s="16" t="n">
        <v>137317.57</v>
      </c>
      <c r="N153" s="16" t="n">
        <v>0</v>
      </c>
      <c r="O153" s="16" t="n">
        <v>1000000</v>
      </c>
      <c r="P153" s="16" t="n">
        <v>0</v>
      </c>
      <c r="Q153" s="16" t="n">
        <v>23513434.5</v>
      </c>
      <c r="R153" s="16" t="n">
        <v>7121810</v>
      </c>
      <c r="S153" s="16" t="n">
        <v>5644007</v>
      </c>
      <c r="T153" s="16" t="n">
        <v>20999559.86</v>
      </c>
      <c r="U153" s="16" t="n">
        <v>2560525</v>
      </c>
      <c r="V153" s="16"/>
      <c r="W153" s="16" t="n">
        <v>2013591.65998389</v>
      </c>
      <c r="X153" s="16" t="n">
        <v>1374750</v>
      </c>
      <c r="Y153" s="16" t="n">
        <v>1803840</v>
      </c>
      <c r="Z153" s="16" t="n">
        <v>2300803</v>
      </c>
      <c r="AA153" s="16" t="n">
        <v>8551988.34</v>
      </c>
      <c r="AB153" s="16" t="n">
        <v>2343750</v>
      </c>
      <c r="AC153" s="16" t="n">
        <v>16316247</v>
      </c>
      <c r="AD153" s="16" t="n">
        <v>1050000</v>
      </c>
      <c r="AE153" s="16" t="n">
        <v>80202486.48</v>
      </c>
      <c r="AF153" s="16" t="n">
        <v>1360000</v>
      </c>
      <c r="AG153" s="16" t="n">
        <v>30637565.036478</v>
      </c>
      <c r="AH153" s="16" t="n">
        <v>2801715.41207773</v>
      </c>
    </row>
    <row r="154" customFormat="false" ht="15.75" hidden="false" customHeight="false" outlineLevel="0" collapsed="false">
      <c r="A154" s="27" t="n">
        <v>36957</v>
      </c>
      <c r="B154" s="16" t="n">
        <v>1250000</v>
      </c>
      <c r="C154" s="16" t="n">
        <v>4375178.69</v>
      </c>
      <c r="D154" s="16" t="n">
        <v>1247943.5</v>
      </c>
      <c r="E154" s="16"/>
      <c r="F154" s="16"/>
      <c r="G154" s="16"/>
      <c r="H154" s="16" t="n">
        <v>1663000</v>
      </c>
      <c r="I154" s="16" t="n">
        <v>0</v>
      </c>
      <c r="J154" s="16"/>
      <c r="K154" s="16" t="n">
        <v>2.83122062683105E-007</v>
      </c>
      <c r="L154" s="16" t="n">
        <v>0</v>
      </c>
      <c r="M154" s="16" t="n">
        <v>137317.57</v>
      </c>
      <c r="N154" s="16" t="n">
        <v>0</v>
      </c>
      <c r="O154" s="16" t="n">
        <v>1000000</v>
      </c>
      <c r="P154" s="16" t="n">
        <v>0</v>
      </c>
      <c r="Q154" s="16" t="n">
        <v>23513434.5</v>
      </c>
      <c r="R154" s="16" t="n">
        <v>7121810</v>
      </c>
      <c r="S154" s="16" t="n">
        <v>5644007</v>
      </c>
      <c r="T154" s="16" t="n">
        <v>20999559.86</v>
      </c>
      <c r="U154" s="16" t="n">
        <v>2560525</v>
      </c>
      <c r="V154" s="16"/>
      <c r="W154" s="16" t="n">
        <v>0</v>
      </c>
      <c r="X154" s="16" t="n">
        <v>0</v>
      </c>
      <c r="Y154" s="16" t="n">
        <v>1803840</v>
      </c>
      <c r="Z154" s="16" t="n">
        <v>2300803</v>
      </c>
      <c r="AA154" s="16" t="n">
        <v>8551988.34</v>
      </c>
      <c r="AB154" s="16" t="n">
        <v>2343750</v>
      </c>
      <c r="AC154" s="16" t="n">
        <v>16316247</v>
      </c>
      <c r="AD154" s="16" t="n">
        <v>1050000</v>
      </c>
      <c r="AE154" s="16" t="n">
        <v>80202486.48</v>
      </c>
      <c r="AF154" s="16" t="n">
        <v>1360000</v>
      </c>
      <c r="AG154" s="16" t="n">
        <v>30637565.036478</v>
      </c>
      <c r="AH154" s="16" t="n">
        <v>2801715.41207773</v>
      </c>
    </row>
    <row r="155" customFormat="false" ht="15.75" hidden="false" customHeight="false" outlineLevel="0" collapsed="false">
      <c r="A155" s="27" t="n">
        <v>36958</v>
      </c>
      <c r="B155" s="16" t="n">
        <v>1250000</v>
      </c>
      <c r="C155" s="16" t="n">
        <v>4375178.69</v>
      </c>
      <c r="D155" s="16" t="n">
        <v>1247943.5</v>
      </c>
      <c r="E155" s="16"/>
      <c r="F155" s="16"/>
      <c r="G155" s="16"/>
      <c r="H155" s="16" t="n">
        <v>1663000</v>
      </c>
      <c r="I155" s="16" t="n">
        <v>0</v>
      </c>
      <c r="J155" s="16"/>
      <c r="K155" s="16" t="n">
        <v>2.83122062683105E-007</v>
      </c>
      <c r="L155" s="16" t="n">
        <v>0</v>
      </c>
      <c r="M155" s="16" t="n">
        <v>137317.57</v>
      </c>
      <c r="N155" s="16" t="n">
        <v>0</v>
      </c>
      <c r="O155" s="16" t="n">
        <v>1000000</v>
      </c>
      <c r="P155" s="16" t="n">
        <v>0</v>
      </c>
      <c r="Q155" s="16" t="n">
        <v>23513434.5</v>
      </c>
      <c r="R155" s="16" t="n">
        <v>7121810</v>
      </c>
      <c r="S155" s="16" t="n">
        <v>5644007</v>
      </c>
      <c r="T155" s="16" t="n">
        <v>20999559.86</v>
      </c>
      <c r="U155" s="16" t="n">
        <v>2560525</v>
      </c>
      <c r="V155" s="16"/>
      <c r="W155" s="16" t="n">
        <v>0</v>
      </c>
      <c r="X155" s="16" t="n">
        <v>0</v>
      </c>
      <c r="Y155" s="16" t="n">
        <v>1803840</v>
      </c>
      <c r="Z155" s="16" t="n">
        <v>2300803</v>
      </c>
      <c r="AA155" s="16" t="n">
        <v>8551988.34</v>
      </c>
      <c r="AB155" s="16" t="n">
        <v>2343750</v>
      </c>
      <c r="AC155" s="16" t="n">
        <v>16316247</v>
      </c>
      <c r="AD155" s="16" t="n">
        <v>1050000</v>
      </c>
      <c r="AE155" s="16" t="n">
        <v>80202486.48</v>
      </c>
      <c r="AF155" s="16" t="n">
        <v>1360000</v>
      </c>
      <c r="AG155" s="16" t="n">
        <v>30637565.036478</v>
      </c>
      <c r="AH155" s="16" t="n">
        <v>2814203.29099474</v>
      </c>
    </row>
    <row r="156" customFormat="false" ht="15.75" hidden="false" customHeight="false" outlineLevel="0" collapsed="false">
      <c r="A156" s="27" t="n">
        <v>36959</v>
      </c>
      <c r="B156" s="16" t="n">
        <v>1250000</v>
      </c>
      <c r="C156" s="16" t="n">
        <v>4375178.69</v>
      </c>
      <c r="D156" s="16" t="n">
        <v>1247943.5</v>
      </c>
      <c r="E156" s="16"/>
      <c r="F156" s="16"/>
      <c r="G156" s="16"/>
      <c r="H156" s="16" t="n">
        <v>1663000</v>
      </c>
      <c r="I156" s="16" t="n">
        <v>0</v>
      </c>
      <c r="J156" s="16"/>
      <c r="K156" s="16" t="n">
        <v>2.83122062683105E-007</v>
      </c>
      <c r="L156" s="16" t="n">
        <v>0</v>
      </c>
      <c r="M156" s="16" t="n">
        <v>137317.57</v>
      </c>
      <c r="N156" s="16" t="n">
        <v>0</v>
      </c>
      <c r="O156" s="16" t="n">
        <v>1000000</v>
      </c>
      <c r="P156" s="16" t="n">
        <v>0</v>
      </c>
      <c r="Q156" s="16" t="n">
        <v>23513434.5</v>
      </c>
      <c r="R156" s="16" t="n">
        <v>7121810</v>
      </c>
      <c r="S156" s="16" t="n">
        <v>5644007</v>
      </c>
      <c r="T156" s="16" t="n">
        <v>20999559.86</v>
      </c>
      <c r="U156" s="16" t="n">
        <v>2560525</v>
      </c>
      <c r="V156" s="16"/>
      <c r="W156" s="16" t="n">
        <v>0</v>
      </c>
      <c r="X156" s="16" t="n">
        <v>0</v>
      </c>
      <c r="Y156" s="16" t="n">
        <v>1803840</v>
      </c>
      <c r="Z156" s="16" t="n">
        <v>2300803</v>
      </c>
      <c r="AA156" s="16" t="n">
        <v>8551988.34</v>
      </c>
      <c r="AB156" s="16" t="n">
        <v>2343750</v>
      </c>
      <c r="AC156" s="16" t="n">
        <v>16316247</v>
      </c>
      <c r="AD156" s="16" t="n">
        <v>1050000</v>
      </c>
      <c r="AE156" s="16" t="n">
        <v>80202486.48</v>
      </c>
      <c r="AF156" s="16" t="n">
        <v>1360000</v>
      </c>
      <c r="AG156" s="16" t="n">
        <v>30637565.036478</v>
      </c>
      <c r="AH156" s="16" t="n">
        <v>2816508.17241212</v>
      </c>
    </row>
    <row r="157" customFormat="false" ht="15.75" hidden="false" customHeight="false" outlineLevel="0" collapsed="false">
      <c r="A157" s="27" t="n">
        <v>36962</v>
      </c>
      <c r="B157" s="16" t="n">
        <v>1250000</v>
      </c>
      <c r="C157" s="16" t="n">
        <v>4375178.69</v>
      </c>
      <c r="D157" s="16" t="n">
        <v>1247943.5</v>
      </c>
      <c r="E157" s="16"/>
      <c r="F157" s="16"/>
      <c r="G157" s="16"/>
      <c r="H157" s="16" t="n">
        <v>1663000</v>
      </c>
      <c r="I157" s="16" t="n">
        <v>0</v>
      </c>
      <c r="J157" s="16"/>
      <c r="K157" s="16" t="n">
        <v>2.83122062683105E-007</v>
      </c>
      <c r="L157" s="16" t="n">
        <v>0</v>
      </c>
      <c r="M157" s="16" t="n">
        <v>137317.57</v>
      </c>
      <c r="N157" s="16" t="n">
        <v>0</v>
      </c>
      <c r="O157" s="16" t="n">
        <v>1000000</v>
      </c>
      <c r="P157" s="16" t="n">
        <v>0</v>
      </c>
      <c r="Q157" s="16" t="n">
        <v>23513434.5</v>
      </c>
      <c r="R157" s="16" t="n">
        <v>7121810</v>
      </c>
      <c r="S157" s="16" t="n">
        <v>5644007</v>
      </c>
      <c r="T157" s="16" t="n">
        <v>20999559.86</v>
      </c>
      <c r="U157" s="16" t="n">
        <v>2560525</v>
      </c>
      <c r="V157" s="16"/>
      <c r="W157" s="16" t="n">
        <v>0</v>
      </c>
      <c r="X157" s="16" t="n">
        <v>0</v>
      </c>
      <c r="Y157" s="16" t="n">
        <v>1803840</v>
      </c>
      <c r="Z157" s="16" t="n">
        <v>2300803</v>
      </c>
      <c r="AA157" s="16" t="n">
        <v>8551988.34</v>
      </c>
      <c r="AB157" s="16" t="n">
        <v>2343750</v>
      </c>
      <c r="AC157" s="16" t="n">
        <v>16316247</v>
      </c>
      <c r="AD157" s="16" t="n">
        <v>1050000</v>
      </c>
      <c r="AE157" s="16" t="n">
        <v>80202486.48</v>
      </c>
      <c r="AF157" s="16" t="n">
        <v>1360000</v>
      </c>
      <c r="AG157" s="16" t="n">
        <v>30637565.036478</v>
      </c>
      <c r="AH157" s="16" t="n">
        <v>2818038.90009516</v>
      </c>
    </row>
    <row r="158" customFormat="false" ht="15.75" hidden="false" customHeight="false" outlineLevel="0" collapsed="false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</row>
    <row r="159" customFormat="false" ht="15.75" hidden="false" customHeight="false" outlineLevel="0" collapsed="false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119</v>
      </c>
      <c r="B374" s="0" t="s">
        <v>119</v>
      </c>
      <c r="C374" s="0" t="s">
        <v>119</v>
      </c>
      <c r="D374" s="0" t="s">
        <v>119</v>
      </c>
      <c r="E374" s="0" t="s">
        <v>119</v>
      </c>
      <c r="F374" s="0" t="s">
        <v>119</v>
      </c>
      <c r="G374" s="0" t="s">
        <v>119</v>
      </c>
      <c r="H374" s="0" t="s">
        <v>119</v>
      </c>
      <c r="I374" s="0" t="s">
        <v>119</v>
      </c>
      <c r="J374" s="0" t="s">
        <v>119</v>
      </c>
      <c r="K374" s="0" t="s">
        <v>119</v>
      </c>
      <c r="L374" s="0" t="s">
        <v>119</v>
      </c>
      <c r="M374" s="0" t="s">
        <v>119</v>
      </c>
      <c r="N374" s="0" t="s">
        <v>119</v>
      </c>
      <c r="O374" s="0" t="s">
        <v>119</v>
      </c>
      <c r="P374" s="0" t="s">
        <v>119</v>
      </c>
      <c r="Q374" s="0" t="s">
        <v>119</v>
      </c>
      <c r="R374" s="0" t="s">
        <v>119</v>
      </c>
      <c r="S374" s="0" t="s">
        <v>119</v>
      </c>
      <c r="T374" s="0" t="s">
        <v>119</v>
      </c>
      <c r="U374" s="0" t="s">
        <v>119</v>
      </c>
      <c r="V374" s="0" t="s">
        <v>119</v>
      </c>
      <c r="W374" s="0" t="s">
        <v>119</v>
      </c>
      <c r="X374" s="0" t="s">
        <v>119</v>
      </c>
      <c r="Y374" s="0" t="s">
        <v>119</v>
      </c>
      <c r="Z374" s="0" t="s">
        <v>119</v>
      </c>
      <c r="AA374" s="0" t="s">
        <v>119</v>
      </c>
      <c r="AB374" s="0" t="s">
        <v>119</v>
      </c>
      <c r="AC374" s="0" t="s">
        <v>119</v>
      </c>
      <c r="AD374" s="0" t="s">
        <v>119</v>
      </c>
      <c r="AE374" s="0" t="s">
        <v>119</v>
      </c>
      <c r="AF374" s="0" t="s">
        <v>119</v>
      </c>
      <c r="AG374" s="0" t="s">
        <v>119</v>
      </c>
      <c r="AH374" s="0" t="s">
        <v>119</v>
      </c>
    </row>
    <row r="376" customFormat="false" ht="15.75" hidden="false" customHeight="false" outlineLevel="0" collapsed="false">
      <c r="A376" s="27" t="n">
        <f aca="false">+'MPR Raptor'!$U$3</f>
        <v>36962</v>
      </c>
      <c r="B376" s="16" t="n">
        <f aca="false">INDEX(MPRR,MATCH("Amerada Hess Exposure Raptor I",'MPR Raptor'!$E$3:$E$140,),MATCH("Per Share",'MPR Raptor'!$E$3:$CM$3,))-'Private Cash'!B375</f>
        <v>1250000</v>
      </c>
      <c r="C376" s="16" t="n">
        <f aca="false">INDEX(MPRR,MATCH("Ameritex Raptor I",'MPR Raptor'!$E$3:$E$140,),MATCH("Per Share",'MPR Raptor'!$E$3:$CM$3,))-'Private Cash'!C375</f>
        <v>4375178.69</v>
      </c>
      <c r="D376" s="16" t="n">
        <f aca="false">INDEX(MPRR,MATCH("Basic Energy CFPC Raptor I",'MPR Raptor'!$E$3:$E$140,),MATCH("Per Share",'MPR Raptor'!$E$3:$CM$3,))*1000-'Private Cash'!D375</f>
        <v>1247943.5</v>
      </c>
      <c r="E376" s="16"/>
      <c r="F376" s="16"/>
      <c r="G376" s="16"/>
      <c r="H376" s="16" t="n">
        <f aca="false">INDEX(MPRR,MATCH("City Forest IPC Raptor I",'MPR Raptor'!$E$3:$E$140,),MATCH("Per Share",'MPR Raptor'!$E$3:$CM$3,))-'Private Cash'!H375</f>
        <v>1663000</v>
      </c>
      <c r="I376" s="16" t="n">
        <f aca="false">INDEX(MPRR,MATCH("Ecogas Loan Raptor I",'MPR Raptor'!$E$3:$E$140,),MATCH("Per Share",'MPR Raptor'!$E$3:$CM$3,))-'Private Cash'!I375</f>
        <v>0</v>
      </c>
      <c r="J376" s="16"/>
      <c r="K376" s="16" t="n">
        <f aca="false">INDEX(MPRR,MATCH("Heartland Steel Common Raptor I",'MPR Raptor'!$E$3:$E$140,),MATCH("Per Share",'MPR Raptor'!$E$3:$CM$3,))*'Daily Position'!$H$25-'Private Cash'!K375</f>
        <v>2.83122062683105E-007</v>
      </c>
      <c r="L376" s="16" t="n">
        <f aca="false">INDEX(MPRR,MATCH("Heartland Steel Common Condor Raptor I",'MPR Raptor'!$E$3:$E$140,),MATCH("Per Share",'MPR Raptor'!$E$3:$CM$3,))-'Private Cash'!L375</f>
        <v>0</v>
      </c>
      <c r="M376" s="16" t="n">
        <f aca="false">INDEX(MPRR,MATCH("Heartland Contingent Construction Loan Raptor I",'MPR Raptor'!$E$3:$E$140,),MATCH("Per Share",'MPR Raptor'!$E$3:$CM$3,))-'Private Cash'!M375</f>
        <v>137317.57</v>
      </c>
      <c r="N376" s="16" t="n">
        <f aca="false">INDEX(MPRR,MATCH("Heartland Steel Warrants Raptor I",'MPR Raptor'!$E$3:$E$140,),MATCH("Per Share",'MPR Raptor'!$E$3:$CM$3,))-'Private Cash'!N375</f>
        <v>0</v>
      </c>
      <c r="O376" s="16" t="n">
        <f aca="false">INDEX(MPRR,MATCH("Hughes Rawls Loan Raptor I",'MPR Raptor'!$E$3:$E$140,),MATCH("Per Share",'MPR Raptor'!$E$3:$CM$3,))-'Private Cash'!O375</f>
        <v>1000000</v>
      </c>
      <c r="P376" s="16" t="n">
        <f aca="false">INDEX(MPRR,MATCH("Hughes Rawls Note Raptor I",'MPR Raptor'!$E$3:$E$140,),MATCH("Per Share",'MPR Raptor'!$E$3:$CM$3,))-'Private Cash'!P375</f>
        <v>0</v>
      </c>
      <c r="Q376" s="16" t="n">
        <f aca="false">INDEX(MPRR,MATCH("Hornbeck-Leevac Warrants Raptor I",'MPR Raptor'!$E$3:$E$140,),MATCH("Per Share",'MPR Raptor'!$E$3:$CM$3,))-'Private Cash'!Q375</f>
        <v>23513434.5</v>
      </c>
      <c r="R376" s="16" t="n">
        <f aca="false">INDEX(MPRR,MATCH("Industrial Holdings Raptor I",'MPR Raptor'!$E$3:$E$140,),MATCH("Per Share",'MPR Raptor'!$E$3:$CM$3,))-'Private Cash'!R375</f>
        <v>7121810</v>
      </c>
      <c r="S376" s="16" t="n">
        <f aca="false">INDEX(MPRR,MATCH("Invasion Energy Raptor I",'MPR Raptor'!$E$3:$E$140,),MATCH("Per Share",'MPR Raptor'!$E$3:$CM$3,))-'Private Cash'!S375</f>
        <v>5644007</v>
      </c>
      <c r="T376" s="16" t="n">
        <f aca="false">INDEX(MPRR,MATCH("Juniper Raptor I",'MPR Raptor'!$E$3:$E$140,),MATCH("Per Share",'MPR Raptor'!$E$3:$CM$3,))-'Private Cash'!T375</f>
        <v>20999559.86</v>
      </c>
      <c r="U376" s="16" t="n">
        <f aca="false">INDEX(MPRR,MATCH("Juniper Exposure Raptor I",'MPR Raptor'!$E$3:$E$140,),MATCH("Per Share",'MPR Raptor'!$E$3:$CM$3,))-'Private Cash'!U375</f>
        <v>2560525</v>
      </c>
      <c r="V376" s="16"/>
      <c r="W376" s="16" t="n">
        <f aca="false">INDEX(MPRR,MATCH("LSI Preferred (AIM) Raptor I",'MPR Raptor'!$E$3:$E$140,),MATCH("Per Share",'MPR Raptor'!$E$3:$CM$3,))-'Private Cash'!W375</f>
        <v>0</v>
      </c>
      <c r="X376" s="16" t="n">
        <f aca="false">INDEX(MPRR,MATCH("LSI Warrants (AIM) Raptor I",'MPR Raptor'!$E$3:$E$140,),MATCH("Per Share",'MPR Raptor'!$E$3:$CM$3,))-'Private Cash'!X375</f>
        <v>0</v>
      </c>
      <c r="Y376" s="16" t="n">
        <f aca="false">INDEX(MPRR,MATCH("Oconto Falls Common Raptor I",'MPR Raptor'!$E$3:$E$140,),MATCH("Per Share",'MPR Raptor'!$E$3:$CM$3,))-'Private Cash'!Y375</f>
        <v>1803840</v>
      </c>
      <c r="Z376" s="16" t="n">
        <f aca="false">INDEX(MPRR,MATCH("Oconto Falls IPC Raptor I",'MPR Raptor'!$E$3:$E$140,),MATCH("Per Share",'MPR Raptor'!$E$3:$CM$3,))-'Private Cash'!Z375</f>
        <v>2300803</v>
      </c>
      <c r="AA376" s="16" t="n">
        <f aca="false">INDEX(MPRR,MATCH("Texland Raptor I",'MPR Raptor'!$E$3:$E$140,),MATCH("Per Share",'MPR Raptor'!$E$3:$CM$3,))-'Private Cash'!AA375</f>
        <v>8551988.34</v>
      </c>
      <c r="AB376" s="16" t="n">
        <f aca="false">INDEX(MPRR,MATCH("Texland Exposure Raptor I",'MPR Raptor'!$E$3:$E$140,),MATCH("Per Share",'MPR Raptor'!$E$3:$CM$3,))-'Private Cash'!AB375</f>
        <v>2343750</v>
      </c>
      <c r="AC376" s="16" t="n">
        <f aca="false">INDEX(MPRR,MATCH("Vastar Raptor I",'MPR Raptor'!$E$3:$E$140,),MATCH("Per Share",'MPR Raptor'!$E$3:$CM$3,))-'Private Cash'!AC375</f>
        <v>16316247</v>
      </c>
      <c r="AD376" s="16" t="n">
        <f aca="false">INDEX(MPRR,MATCH("Vastar Exposure Raptor I",'MPR Raptor'!$E$3:$E$140,),MATCH("Per Share",'MPR Raptor'!$E$3:$CM$3,))-'Private Cash'!AD375</f>
        <v>1050000</v>
      </c>
      <c r="AE376" s="16" t="n">
        <f aca="false">INDEX(MPRR,MATCH("Venoco Convertible Raptor I",'MPR Raptor'!$E$3:$E$140,),MATCH("Per Share",'MPR Raptor'!$E$3:$CM$3,))*'Daily Position'!$H$45-'Private Cash'!AE375</f>
        <v>80202486.48</v>
      </c>
      <c r="AF376" s="16" t="n">
        <f aca="false">INDEX(MPRR,MATCH("WB Oil &amp; Gas Raptor I",'MPR Raptor'!$E$3:$E$140,),MATCH("Per Share",'MPR Raptor'!$E$3:$CM$3,))*'Daily Position'!$H$46-'Private Cash'!AF375</f>
        <v>1360000</v>
      </c>
      <c r="AG376" s="16" t="n">
        <f aca="false">INDEX(MPRR,MATCH("Merlin Credit Derivative Raptor I",'MPR Raptor'!$E$3:$E$140,),MATCH("Per Share",'MPR Raptor'!$E$3:$CM$3,))-'Private Cash'!AG375</f>
        <v>30637565.036478</v>
      </c>
      <c r="AH376" s="16" t="n">
        <f aca="false">(+P376+C376+'Daily Position'!$N$4*'Daily Position'!$H$4+'Daily Position'!$N$10*'Daily Position'!$H$10+'Daily Position'!$N$11*'Daily Position'!$H$11+'Daily Position'!$N$13*'Daily Position'!$H$13)/0.6*0.3612</f>
        <v>2804331.59131072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1" ySplit="1" topLeftCell="B151" activePane="bottomRight" state="frozen"/>
      <selection pane="topLeft" activeCell="A3" activeCellId="0" sqref="A3"/>
      <selection pane="topRight" activeCell="B3" activeCellId="0" sqref="B3"/>
      <selection pane="bottomLeft" activeCell="A151" activeCellId="0" sqref="A151"/>
      <selection pane="bottomRight" activeCell="A159" activeCellId="0" sqref="A15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3.87"/>
    <col collapsed="false" customWidth="true" hidden="false" outlineLevel="0" max="5" min="5" style="0" width="11.12"/>
    <col collapsed="false" customWidth="true" hidden="false" outlineLevel="0" max="6" min="6" style="68" width="13.11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3.37"/>
    <col collapsed="false" customWidth="true" hidden="false" outlineLevel="0" max="10" min="10" style="79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2.49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80" width="12.12"/>
    <col collapsed="false" customWidth="true" hidden="false" outlineLevel="0" max="21" min="21" style="0" width="11.12"/>
    <col collapsed="false" customWidth="true" hidden="false" outlineLevel="0" max="22" min="22" style="68" width="13.37"/>
    <col collapsed="false" customWidth="true" hidden="false" outlineLevel="0" max="23" min="23" style="0" width="11.12"/>
    <col collapsed="false" customWidth="true" hidden="false" outlineLevel="0" max="24" min="24" style="68" width="11.74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1" t="s">
        <v>103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108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</row>
    <row r="4" customFormat="false" ht="15.75" hidden="false" customHeight="false" outlineLevel="0" collapsed="false">
      <c r="A4" s="27" t="n">
        <v>36739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78"/>
    </row>
    <row r="5" customFormat="false" ht="15.75" hidden="false" customHeight="false" outlineLevel="0" collapsed="false">
      <c r="A5" s="27" t="n">
        <v>36740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78"/>
    </row>
    <row r="6" customFormat="false" ht="15.75" hidden="false" customHeight="false" outlineLevel="0" collapsed="false">
      <c r="A6" s="27" t="n">
        <v>36741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78"/>
    </row>
    <row r="7" customFormat="false" ht="15.75" hidden="false" customHeight="false" outlineLevel="0" collapsed="false">
      <c r="A7" s="27" t="n">
        <v>36742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78"/>
    </row>
    <row r="8" customFormat="false" ht="15.75" hidden="false" customHeight="false" outlineLevel="0" collapsed="false">
      <c r="A8" s="27" t="n">
        <v>36745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78"/>
    </row>
    <row r="9" customFormat="false" ht="15.75" hidden="false" customHeight="false" outlineLevel="0" collapsed="false">
      <c r="A9" s="27" t="n">
        <v>36746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78"/>
    </row>
    <row r="10" customFormat="false" ht="15.75" hidden="false" customHeight="false" outlineLevel="0" collapsed="false">
      <c r="A10" s="27" t="n">
        <v>36747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78"/>
    </row>
    <row r="11" customFormat="false" ht="15.75" hidden="false" customHeight="false" outlineLevel="0" collapsed="false">
      <c r="A11" s="27" t="n">
        <v>36748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78"/>
    </row>
    <row r="12" customFormat="false" ht="15.75" hidden="false" customHeight="false" outlineLevel="0" collapsed="false">
      <c r="A12" s="27" t="n">
        <v>36749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78"/>
    </row>
    <row r="13" customFormat="false" ht="15.75" hidden="false" customHeight="false" outlineLevel="0" collapsed="false">
      <c r="A13" s="27" t="n">
        <v>36752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78"/>
    </row>
    <row r="14" customFormat="false" ht="15.75" hidden="false" customHeight="false" outlineLevel="0" collapsed="false">
      <c r="A14" s="27" t="n">
        <v>36753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78"/>
    </row>
    <row r="15" customFormat="false" ht="15.75" hidden="false" customHeight="false" outlineLevel="0" collapsed="false">
      <c r="A15" s="27" t="n">
        <v>36754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78"/>
    </row>
    <row r="16" customFormat="false" ht="15.75" hidden="false" customHeight="false" outlineLevel="0" collapsed="false">
      <c r="A16" s="27" t="n">
        <v>36755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78"/>
    </row>
    <row r="17" customFormat="false" ht="15.75" hidden="false" customHeight="false" outlineLevel="0" collapsed="false">
      <c r="A17" s="27" t="n">
        <v>36756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78"/>
    </row>
    <row r="18" customFormat="false" ht="15.75" hidden="false" customHeight="false" outlineLevel="0" collapsed="false">
      <c r="A18" s="27" t="n">
        <v>36759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78"/>
    </row>
    <row r="19" customFormat="false" ht="15.75" hidden="false" customHeight="false" outlineLevel="0" collapsed="false">
      <c r="A19" s="27" t="n">
        <v>36760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customFormat="false" ht="15.75" hidden="false" customHeight="false" outlineLevel="0" collapsed="false">
      <c r="A20" s="27" t="n">
        <v>36761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customFormat="false" ht="15.75" hidden="false" customHeight="false" outlineLevel="0" collapsed="false">
      <c r="A21" s="27" t="n">
        <v>36762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customFormat="false" ht="15.75" hidden="false" customHeight="false" outlineLevel="0" collapsed="false">
      <c r="A22" s="27" t="n">
        <v>36763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customFormat="false" ht="15.75" hidden="false" customHeight="false" outlineLevel="0" collapsed="false">
      <c r="A23" s="27" t="n">
        <v>36766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customFormat="false" ht="15.75" hidden="false" customHeight="false" outlineLevel="0" collapsed="false">
      <c r="A24" s="27" t="n">
        <v>36767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customFormat="false" ht="15.75" hidden="false" customHeight="false" outlineLevel="0" collapsed="false">
      <c r="A25" s="27" t="n">
        <v>36768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customFormat="false" ht="15.75" hidden="false" customHeight="false" outlineLevel="0" collapsed="false">
      <c r="A26" s="27" t="n">
        <v>36769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customFormat="false" ht="15.75" hidden="false" customHeight="false" outlineLevel="0" collapsed="false">
      <c r="A27" s="27" t="n">
        <v>36770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customFormat="false" ht="15.75" hidden="false" customHeight="false" outlineLevel="0" collapsed="false">
      <c r="A28" s="27" t="n">
        <v>36774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customFormat="false" ht="15.75" hidden="false" customHeight="false" outlineLevel="0" collapsed="false">
      <c r="A29" s="27" t="n">
        <v>36775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customFormat="false" ht="15.75" hidden="false" customHeight="false" outlineLevel="0" collapsed="false">
      <c r="A30" s="27" t="n">
        <v>36776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customFormat="false" ht="15.75" hidden="false" customHeight="false" outlineLevel="0" collapsed="false">
      <c r="A31" s="27" t="n">
        <v>36777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customFormat="false" ht="15.75" hidden="false" customHeight="false" outlineLevel="0" collapsed="false">
      <c r="A32" s="27" t="n">
        <v>36780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customFormat="false" ht="15.75" hidden="false" customHeight="false" outlineLevel="0" collapsed="false">
      <c r="A33" s="27" t="n">
        <v>36781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customFormat="false" ht="15.75" hidden="false" customHeight="false" outlineLevel="0" collapsed="false">
      <c r="A34" s="27" t="n">
        <v>36782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customFormat="false" ht="15.75" hidden="false" customHeight="false" outlineLevel="0" collapsed="false">
      <c r="A35" s="27" t="n">
        <v>36783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 t="n">
        <v>373549.5</v>
      </c>
      <c r="Z35" s="16" t="n">
        <v>-373549.5</v>
      </c>
      <c r="AA35" s="16"/>
      <c r="AB35" s="16"/>
      <c r="AC35" s="16"/>
      <c r="AD35" s="16"/>
      <c r="AE35" s="16"/>
      <c r="AF35" s="16"/>
      <c r="AG35" s="16"/>
    </row>
    <row r="36" customFormat="false" ht="15.75" hidden="false" customHeight="false" outlineLevel="0" collapsed="false">
      <c r="A36" s="27" t="n">
        <v>36784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customFormat="false" ht="15.75" hidden="false" customHeight="false" outlineLevel="0" collapsed="false">
      <c r="A37" s="27" t="n">
        <v>36787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 t="n">
        <f aca="false">-44447.3800000008-27</f>
        <v>-44474.3800000008</v>
      </c>
      <c r="AD37" s="16"/>
      <c r="AE37" s="16"/>
      <c r="AF37" s="16"/>
      <c r="AG37" s="16"/>
    </row>
    <row r="38" customFormat="false" ht="15.75" hidden="false" customHeight="false" outlineLevel="0" collapsed="false">
      <c r="A38" s="27" t="n">
        <v>36788</v>
      </c>
      <c r="B38" s="16"/>
      <c r="C38" s="16"/>
      <c r="D38" s="16"/>
      <c r="E38" s="16" t="n">
        <v>-182250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n">
        <v>-303750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customFormat="false" ht="15.75" hidden="false" customHeight="false" outlineLevel="0" collapsed="false">
      <c r="A39" s="27" t="n">
        <v>36789</v>
      </c>
      <c r="B39" s="16"/>
      <c r="C39" s="16" t="n">
        <v>37184.4299999997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customFormat="false" ht="15.75" hidden="false" customHeight="false" outlineLevel="0" collapsed="false">
      <c r="A40" s="27" t="n">
        <v>36790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customFormat="false" ht="15.75" hidden="false" customHeight="false" outlineLevel="0" collapsed="false">
      <c r="A41" s="27" t="n">
        <v>36791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 t="n">
        <v>123413.5</v>
      </c>
      <c r="Z41" s="16" t="n">
        <v>-123413.5</v>
      </c>
      <c r="AA41" s="16"/>
      <c r="AB41" s="16"/>
      <c r="AC41" s="16"/>
      <c r="AD41" s="16"/>
      <c r="AE41" s="16"/>
      <c r="AF41" s="16"/>
      <c r="AG41" s="16"/>
    </row>
    <row r="42" customFormat="false" ht="15.75" hidden="false" customHeight="false" outlineLevel="0" collapsed="false">
      <c r="A42" s="27" t="n">
        <v>36794</v>
      </c>
      <c r="B42" s="16"/>
      <c r="C42" s="16"/>
      <c r="D42" s="16"/>
      <c r="E42" s="16"/>
      <c r="F42" s="16" t="n">
        <v>87484.2400000002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customFormat="false" ht="15.75" hidden="false" customHeight="false" outlineLevel="0" collapsed="false">
      <c r="A43" s="27" t="n">
        <v>36795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 t="n">
        <v>50000</v>
      </c>
      <c r="AD43" s="16"/>
      <c r="AE43" s="16"/>
      <c r="AF43" s="16"/>
      <c r="AG43" s="16"/>
    </row>
    <row r="44" customFormat="false" ht="15.75" hidden="false" customHeight="false" outlineLevel="0" collapsed="false">
      <c r="A44" s="27" t="n">
        <v>36796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customFormat="false" ht="15.75" hidden="false" customHeight="false" outlineLevel="0" collapsed="false">
      <c r="A45" s="27" t="n">
        <v>36797</v>
      </c>
      <c r="B45" s="16"/>
      <c r="C45" s="16" t="n">
        <v>-28084.3599999994</v>
      </c>
      <c r="D45" s="16"/>
      <c r="E45" s="16"/>
      <c r="F45" s="16" t="n">
        <v>-50549.5800000001</v>
      </c>
      <c r="G45" s="16"/>
      <c r="H45" s="16"/>
      <c r="I45" s="16" t="n">
        <v>350000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 t="n">
        <v>-1180793.81</v>
      </c>
      <c r="AD45" s="16"/>
      <c r="AE45" s="16"/>
      <c r="AF45" s="16"/>
      <c r="AG45" s="16"/>
    </row>
    <row r="46" customFormat="false" ht="15.75" hidden="false" customHeight="false" outlineLevel="0" collapsed="false">
      <c r="A46" s="27" t="n">
        <v>36798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 t="n">
        <v>-496963</v>
      </c>
      <c r="Z46" s="16" t="n">
        <v>496963</v>
      </c>
      <c r="AA46" s="16"/>
      <c r="AB46" s="16"/>
      <c r="AC46" s="16" t="n">
        <v>-729223.049999999</v>
      </c>
      <c r="AD46" s="16"/>
      <c r="AE46" s="16"/>
      <c r="AF46" s="16"/>
      <c r="AG46" s="16"/>
    </row>
    <row r="47" customFormat="false" ht="15.75" hidden="false" customHeight="false" outlineLevel="0" collapsed="false">
      <c r="A47" s="27" t="n">
        <v>36801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customFormat="false" ht="15.75" hidden="false" customHeight="false" outlineLevel="0" collapsed="false">
      <c r="A48" s="27" t="n">
        <v>36802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customFormat="false" ht="15.75" hidden="false" customHeight="false" outlineLevel="0" collapsed="false">
      <c r="A49" s="27" t="n">
        <v>36803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customFormat="false" ht="15.75" hidden="false" customHeight="false" outlineLevel="0" collapsed="false">
      <c r="A50" s="27" t="n">
        <v>36804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customFormat="false" ht="15.75" hidden="false" customHeight="false" outlineLevel="0" collapsed="false">
      <c r="A51" s="27" t="n">
        <v>36805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customFormat="false" ht="15.75" hidden="false" customHeight="false" outlineLevel="0" collapsed="false">
      <c r="A52" s="27" t="n">
        <v>36808</v>
      </c>
      <c r="B52" s="16" t="n">
        <v>0</v>
      </c>
      <c r="C52" s="16" t="n">
        <v>0</v>
      </c>
      <c r="D52" s="16" t="n">
        <v>0</v>
      </c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-3.72529029846191E-009</v>
      </c>
      <c r="L52" s="16" t="n">
        <v>0</v>
      </c>
      <c r="M52" s="16" t="n">
        <v>0</v>
      </c>
      <c r="N52" s="16" t="n">
        <v>0</v>
      </c>
      <c r="O52" s="16" t="n">
        <v>0</v>
      </c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/>
      <c r="X52" s="16" t="n">
        <v>0</v>
      </c>
      <c r="Y52" s="16" t="n">
        <v>0</v>
      </c>
      <c r="Z52" s="16" t="n">
        <v>0</v>
      </c>
      <c r="AA52" s="16" t="n">
        <v>0</v>
      </c>
      <c r="AB52" s="16" t="n">
        <v>0</v>
      </c>
      <c r="AC52" s="16" t="n">
        <v>0</v>
      </c>
      <c r="AD52" s="16" t="n">
        <v>0</v>
      </c>
      <c r="AE52" s="16" t="n">
        <v>0</v>
      </c>
      <c r="AF52" s="16" t="n">
        <v>0</v>
      </c>
      <c r="AG52" s="16" t="n">
        <v>0</v>
      </c>
    </row>
    <row r="53" customFormat="false" ht="15.75" hidden="false" customHeight="false" outlineLevel="0" collapsed="false">
      <c r="A53" s="27" t="n">
        <v>36809</v>
      </c>
      <c r="B53" s="16" t="n">
        <v>0</v>
      </c>
      <c r="C53" s="16" t="n">
        <v>0</v>
      </c>
      <c r="D53" s="16" t="n">
        <v>0</v>
      </c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-3.72529029846191E-009</v>
      </c>
      <c r="L53" s="16" t="n">
        <v>0</v>
      </c>
      <c r="M53" s="16" t="n">
        <v>0</v>
      </c>
      <c r="N53" s="16" t="n">
        <v>0</v>
      </c>
      <c r="O53" s="16" t="n">
        <v>0</v>
      </c>
      <c r="P53" s="16" t="n">
        <v>0</v>
      </c>
      <c r="Q53" s="16" t="n">
        <v>0</v>
      </c>
      <c r="R53" s="16" t="n">
        <v>0</v>
      </c>
      <c r="S53" s="16" t="n">
        <v>0</v>
      </c>
      <c r="T53" s="16" t="n">
        <v>0</v>
      </c>
      <c r="U53" s="16" t="n">
        <v>0</v>
      </c>
      <c r="V53" s="16" t="n">
        <v>0</v>
      </c>
      <c r="W53" s="16"/>
      <c r="X53" s="16" t="n">
        <v>0</v>
      </c>
      <c r="Y53" s="16" t="n">
        <v>0</v>
      </c>
      <c r="Z53" s="16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16" t="n">
        <v>0</v>
      </c>
      <c r="AF53" s="16" t="n">
        <v>0</v>
      </c>
      <c r="AG53" s="16" t="n">
        <v>0</v>
      </c>
    </row>
    <row r="54" customFormat="false" ht="15.75" hidden="false" customHeight="false" outlineLevel="0" collapsed="false">
      <c r="A54" s="27" t="n">
        <v>36810</v>
      </c>
      <c r="B54" s="16" t="n">
        <v>0</v>
      </c>
      <c r="C54" s="16" t="n">
        <v>0</v>
      </c>
      <c r="D54" s="16" t="n">
        <v>0</v>
      </c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-3.72529029846191E-009</v>
      </c>
      <c r="L54" s="16" t="n">
        <v>0</v>
      </c>
      <c r="M54" s="16" t="n">
        <v>0</v>
      </c>
      <c r="N54" s="16" t="n">
        <v>0</v>
      </c>
      <c r="O54" s="16" t="n">
        <v>0</v>
      </c>
      <c r="P54" s="16" t="n">
        <v>0</v>
      </c>
      <c r="Q54" s="16" t="n">
        <v>0</v>
      </c>
      <c r="R54" s="16" t="n">
        <v>0</v>
      </c>
      <c r="S54" s="16" t="n">
        <v>0</v>
      </c>
      <c r="T54" s="16" t="n">
        <v>0</v>
      </c>
      <c r="U54" s="16" t="n">
        <v>0</v>
      </c>
      <c r="V54" s="16" t="n">
        <v>0</v>
      </c>
      <c r="W54" s="16"/>
      <c r="X54" s="16" t="n">
        <v>0</v>
      </c>
      <c r="Y54" s="16" t="n">
        <v>0</v>
      </c>
      <c r="Z54" s="16" t="n">
        <v>0</v>
      </c>
      <c r="AA54" s="16" t="n">
        <v>0</v>
      </c>
      <c r="AB54" s="16" t="n">
        <v>0</v>
      </c>
      <c r="AC54" s="16" t="n">
        <v>0</v>
      </c>
      <c r="AD54" s="16" t="n">
        <v>0</v>
      </c>
      <c r="AE54" s="16" t="n">
        <v>0</v>
      </c>
      <c r="AF54" s="16" t="n">
        <v>0</v>
      </c>
      <c r="AG54" s="16" t="n">
        <v>0</v>
      </c>
    </row>
    <row r="55" customFormat="false" ht="15.75" hidden="false" customHeight="false" outlineLevel="0" collapsed="false">
      <c r="A55" s="27" t="n">
        <v>36811</v>
      </c>
      <c r="B55" s="16" t="n">
        <v>0</v>
      </c>
      <c r="C55" s="16" t="n">
        <v>0</v>
      </c>
      <c r="D55" s="16" t="n">
        <v>0</v>
      </c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-3.72529029846191E-009</v>
      </c>
      <c r="L55" s="16" t="n">
        <v>0</v>
      </c>
      <c r="M55" s="16" t="n">
        <v>0</v>
      </c>
      <c r="N55" s="16" t="n">
        <v>0</v>
      </c>
      <c r="O55" s="16" t="n">
        <v>0</v>
      </c>
      <c r="P55" s="16" t="n">
        <v>0</v>
      </c>
      <c r="Q55" s="16" t="n">
        <v>0</v>
      </c>
      <c r="R55" s="16" t="n">
        <v>0</v>
      </c>
      <c r="S55" s="16" t="n">
        <v>0</v>
      </c>
      <c r="T55" s="16" t="n">
        <v>0</v>
      </c>
      <c r="U55" s="16" t="n">
        <v>0</v>
      </c>
      <c r="V55" s="16" t="n">
        <v>0</v>
      </c>
      <c r="W55" s="16"/>
      <c r="X55" s="16" t="n">
        <v>0</v>
      </c>
      <c r="Y55" s="16" t="n">
        <v>0</v>
      </c>
      <c r="Z55" s="16" t="n">
        <v>0</v>
      </c>
      <c r="AA55" s="16" t="n">
        <v>0</v>
      </c>
      <c r="AB55" s="16" t="n">
        <v>0</v>
      </c>
      <c r="AC55" s="16" t="n">
        <v>0</v>
      </c>
      <c r="AD55" s="16" t="n">
        <v>0</v>
      </c>
      <c r="AE55" s="16" t="n">
        <v>0</v>
      </c>
      <c r="AF55" s="16" t="n">
        <v>0</v>
      </c>
      <c r="AG55" s="16" t="n">
        <v>0</v>
      </c>
    </row>
    <row r="56" customFormat="false" ht="15.75" hidden="false" customHeight="false" outlineLevel="0" collapsed="false">
      <c r="A56" s="27" t="n">
        <v>36812</v>
      </c>
      <c r="B56" s="16" t="n">
        <v>0</v>
      </c>
      <c r="C56" s="16" t="n">
        <v>0</v>
      </c>
      <c r="D56" s="16" t="n">
        <v>0</v>
      </c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-3.72529029846191E-009</v>
      </c>
      <c r="L56" s="16" t="n">
        <v>0</v>
      </c>
      <c r="M56" s="16" t="n">
        <v>0</v>
      </c>
      <c r="N56" s="16" t="n">
        <v>0</v>
      </c>
      <c r="O56" s="16" t="n">
        <v>0</v>
      </c>
      <c r="P56" s="16" t="n">
        <v>0</v>
      </c>
      <c r="Q56" s="16" t="n">
        <v>0</v>
      </c>
      <c r="R56" s="16" t="n">
        <v>0</v>
      </c>
      <c r="S56" s="16" t="n">
        <v>0</v>
      </c>
      <c r="T56" s="16" t="n">
        <v>0</v>
      </c>
      <c r="U56" s="16" t="n">
        <v>0</v>
      </c>
      <c r="V56" s="16" t="n">
        <v>0</v>
      </c>
      <c r="W56" s="16"/>
      <c r="X56" s="16" t="n">
        <v>0</v>
      </c>
      <c r="Y56" s="16" t="n">
        <v>0</v>
      </c>
      <c r="Z56" s="16" t="n">
        <v>0</v>
      </c>
      <c r="AA56" s="16" t="n">
        <v>0</v>
      </c>
      <c r="AB56" s="16" t="n">
        <v>0</v>
      </c>
      <c r="AC56" s="16" t="n">
        <v>0</v>
      </c>
      <c r="AD56" s="16" t="n">
        <v>0</v>
      </c>
      <c r="AE56" s="16" t="n">
        <v>0</v>
      </c>
      <c r="AF56" s="16" t="n">
        <v>0</v>
      </c>
      <c r="AG56" s="16" t="n">
        <v>0</v>
      </c>
    </row>
    <row r="57" customFormat="false" ht="15.75" hidden="false" customHeight="false" outlineLevel="0" collapsed="false">
      <c r="A57" s="27" t="n">
        <v>36815</v>
      </c>
      <c r="B57" s="16" t="n">
        <v>0</v>
      </c>
      <c r="C57" s="16" t="n">
        <v>0</v>
      </c>
      <c r="D57" s="16" t="n">
        <v>0</v>
      </c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-3.72529029846191E-009</v>
      </c>
      <c r="L57" s="16" t="n">
        <v>0</v>
      </c>
      <c r="M57" s="16" t="n">
        <v>0</v>
      </c>
      <c r="N57" s="16" t="n">
        <v>0</v>
      </c>
      <c r="O57" s="16" t="n">
        <v>0</v>
      </c>
      <c r="P57" s="16" t="n">
        <v>0</v>
      </c>
      <c r="Q57" s="16" t="n">
        <v>0</v>
      </c>
      <c r="R57" s="16" t="n">
        <v>0</v>
      </c>
      <c r="S57" s="16" t="n">
        <v>0</v>
      </c>
      <c r="T57" s="16" t="n">
        <v>0</v>
      </c>
      <c r="U57" s="16" t="n">
        <v>0</v>
      </c>
      <c r="V57" s="16" t="n">
        <v>0</v>
      </c>
      <c r="W57" s="16"/>
      <c r="X57" s="16" t="n">
        <v>0</v>
      </c>
      <c r="Y57" s="16" t="n">
        <v>0</v>
      </c>
      <c r="Z57" s="16" t="n">
        <v>0</v>
      </c>
      <c r="AA57" s="16" t="n">
        <v>0</v>
      </c>
      <c r="AB57" s="16" t="n">
        <v>0</v>
      </c>
      <c r="AC57" s="16" t="n">
        <v>0</v>
      </c>
      <c r="AD57" s="16" t="n">
        <v>0</v>
      </c>
      <c r="AE57" s="16" t="n">
        <v>0</v>
      </c>
      <c r="AF57" s="16" t="n">
        <v>0</v>
      </c>
      <c r="AG57" s="16" t="n">
        <v>0</v>
      </c>
    </row>
    <row r="58" customFormat="false" ht="15.75" hidden="false" customHeight="false" outlineLevel="0" collapsed="false">
      <c r="A58" s="27" t="n">
        <v>36816</v>
      </c>
      <c r="B58" s="16" t="n">
        <v>0</v>
      </c>
      <c r="C58" s="16" t="n">
        <v>0</v>
      </c>
      <c r="D58" s="16" t="n">
        <v>84413.1600000002</v>
      </c>
      <c r="E58" s="16" t="n">
        <v>0</v>
      </c>
      <c r="F58" s="16" t="n">
        <v>-102442.09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-3.72529029846191E-009</v>
      </c>
      <c r="L58" s="16" t="n">
        <v>0</v>
      </c>
      <c r="M58" s="16" t="n">
        <v>0</v>
      </c>
      <c r="N58" s="16" t="n">
        <v>0</v>
      </c>
      <c r="O58" s="16" t="n">
        <v>0</v>
      </c>
      <c r="P58" s="16" t="n">
        <v>0</v>
      </c>
      <c r="Q58" s="16" t="n">
        <v>0</v>
      </c>
      <c r="R58" s="16" t="n">
        <v>0</v>
      </c>
      <c r="S58" s="16" t="n">
        <v>-120125.11</v>
      </c>
      <c r="T58" s="16" t="n">
        <v>0</v>
      </c>
      <c r="U58" s="16" t="n">
        <v>0</v>
      </c>
      <c r="V58" s="16" t="n">
        <v>0</v>
      </c>
      <c r="W58" s="16"/>
      <c r="X58" s="16" t="n">
        <v>0</v>
      </c>
      <c r="Y58" s="16" t="n">
        <v>0</v>
      </c>
      <c r="Z58" s="16" t="n">
        <v>0</v>
      </c>
      <c r="AA58" s="16" t="n">
        <v>0</v>
      </c>
      <c r="AB58" s="16" t="n">
        <v>0</v>
      </c>
      <c r="AC58" s="16" t="n">
        <v>0</v>
      </c>
      <c r="AD58" s="16" t="n">
        <v>0</v>
      </c>
      <c r="AE58" s="16" t="n">
        <v>0</v>
      </c>
      <c r="AF58" s="16" t="n">
        <v>0</v>
      </c>
      <c r="AG58" s="16" t="n">
        <v>0</v>
      </c>
    </row>
    <row r="59" customFormat="false" ht="15.75" hidden="false" customHeight="false" outlineLevel="0" collapsed="false">
      <c r="A59" s="27" t="n">
        <v>36817</v>
      </c>
      <c r="B59" s="16" t="n">
        <v>0</v>
      </c>
      <c r="C59" s="16" t="n">
        <v>0</v>
      </c>
      <c r="D59" s="16" t="n">
        <v>0</v>
      </c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-3.72529029846191E-009</v>
      </c>
      <c r="L59" s="16" t="n">
        <v>0</v>
      </c>
      <c r="M59" s="16" t="n">
        <v>0</v>
      </c>
      <c r="N59" s="16" t="n">
        <v>0</v>
      </c>
      <c r="O59" s="16" t="n">
        <v>0</v>
      </c>
      <c r="P59" s="16" t="n">
        <v>0</v>
      </c>
      <c r="Q59" s="16" t="n">
        <v>0</v>
      </c>
      <c r="R59" s="16" t="n">
        <v>0</v>
      </c>
      <c r="S59" s="16" t="n">
        <v>0</v>
      </c>
      <c r="T59" s="16" t="n">
        <v>0</v>
      </c>
      <c r="U59" s="16" t="n">
        <v>0</v>
      </c>
      <c r="V59" s="16" t="n">
        <v>0</v>
      </c>
      <c r="W59" s="16"/>
      <c r="X59" s="16" t="n">
        <v>0</v>
      </c>
      <c r="Y59" s="16" t="n">
        <v>0</v>
      </c>
      <c r="Z59" s="16" t="n">
        <v>0</v>
      </c>
      <c r="AA59" s="16" t="n">
        <v>0</v>
      </c>
      <c r="AB59" s="16" t="n">
        <v>0</v>
      </c>
      <c r="AC59" s="16" t="n">
        <v>0</v>
      </c>
      <c r="AD59" s="16" t="n">
        <v>0</v>
      </c>
      <c r="AE59" s="16" t="n">
        <v>0</v>
      </c>
      <c r="AF59" s="16" t="n">
        <v>0</v>
      </c>
      <c r="AG59" s="16" t="n">
        <v>0</v>
      </c>
    </row>
    <row r="60" customFormat="false" ht="15.75" hidden="false" customHeight="false" outlineLevel="0" collapsed="false">
      <c r="A60" s="27" t="n">
        <v>36818</v>
      </c>
      <c r="B60" s="16" t="n">
        <v>0</v>
      </c>
      <c r="C60" s="16" t="n">
        <v>230355.819999999</v>
      </c>
      <c r="D60" s="16" t="n">
        <v>0</v>
      </c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-3.72529029846191E-009</v>
      </c>
      <c r="L60" s="16" t="n">
        <v>0</v>
      </c>
      <c r="M60" s="16" t="n">
        <v>0</v>
      </c>
      <c r="N60" s="16" t="n">
        <v>0</v>
      </c>
      <c r="O60" s="16" t="n">
        <v>0</v>
      </c>
      <c r="P60" s="16" t="n">
        <v>0</v>
      </c>
      <c r="Q60" s="16" t="n">
        <v>0</v>
      </c>
      <c r="R60" s="16" t="n">
        <v>0</v>
      </c>
      <c r="S60" s="16" t="n">
        <v>0</v>
      </c>
      <c r="T60" s="16" t="n">
        <v>229939.41</v>
      </c>
      <c r="U60" s="16" t="n">
        <v>0</v>
      </c>
      <c r="V60" s="16" t="n">
        <v>0</v>
      </c>
      <c r="W60" s="16"/>
      <c r="X60" s="16" t="n">
        <v>0</v>
      </c>
      <c r="Y60" s="16" t="n">
        <v>0</v>
      </c>
      <c r="Z60" s="16" t="n">
        <v>0</v>
      </c>
      <c r="AA60" s="16" t="n">
        <v>0</v>
      </c>
      <c r="AB60" s="16" t="n">
        <v>0</v>
      </c>
      <c r="AC60" s="16" t="n">
        <v>0</v>
      </c>
      <c r="AD60" s="16" t="n">
        <v>0</v>
      </c>
      <c r="AE60" s="16" t="n">
        <v>0</v>
      </c>
      <c r="AF60" s="16" t="n">
        <v>0</v>
      </c>
      <c r="AG60" s="16" t="n">
        <v>0</v>
      </c>
    </row>
    <row r="61" customFormat="false" ht="15.75" hidden="false" customHeight="false" outlineLevel="0" collapsed="false">
      <c r="A61" s="27" t="n">
        <v>36819</v>
      </c>
      <c r="B61" s="16" t="n">
        <v>0</v>
      </c>
      <c r="C61" s="16" t="n">
        <v>0</v>
      </c>
      <c r="D61" s="16" t="n">
        <v>0</v>
      </c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-3.72529029846191E-009</v>
      </c>
      <c r="L61" s="16" t="n">
        <v>0</v>
      </c>
      <c r="M61" s="16" t="n">
        <v>0</v>
      </c>
      <c r="N61" s="16" t="n">
        <v>0</v>
      </c>
      <c r="O61" s="16" t="n">
        <v>0</v>
      </c>
      <c r="P61" s="16" t="n">
        <v>0</v>
      </c>
      <c r="Q61" s="16" t="n">
        <v>0</v>
      </c>
      <c r="R61" s="16" t="n">
        <v>0</v>
      </c>
      <c r="S61" s="16" t="n">
        <v>0</v>
      </c>
      <c r="T61" s="16" t="n">
        <v>0</v>
      </c>
      <c r="U61" s="16" t="n">
        <v>0</v>
      </c>
      <c r="V61" s="16" t="n">
        <v>0</v>
      </c>
      <c r="W61" s="16"/>
      <c r="X61" s="16" t="n">
        <v>0</v>
      </c>
      <c r="Y61" s="16" t="n">
        <v>0</v>
      </c>
      <c r="Z61" s="16" t="n">
        <v>0</v>
      </c>
      <c r="AA61" s="16" t="n">
        <v>0</v>
      </c>
      <c r="AB61" s="16" t="n">
        <v>0</v>
      </c>
      <c r="AC61" s="16" t="n">
        <v>0</v>
      </c>
      <c r="AD61" s="16" t="n">
        <v>0</v>
      </c>
      <c r="AE61" s="16" t="n">
        <v>0</v>
      </c>
      <c r="AF61" s="16" t="n">
        <v>0</v>
      </c>
      <c r="AG61" s="16" t="n">
        <v>0</v>
      </c>
    </row>
    <row r="62" customFormat="false" ht="15.75" hidden="false" customHeight="false" outlineLevel="0" collapsed="false">
      <c r="A62" s="27" t="n">
        <v>36822</v>
      </c>
      <c r="B62" s="16" t="n">
        <v>0</v>
      </c>
      <c r="C62" s="16" t="n">
        <v>0</v>
      </c>
      <c r="D62" s="16" t="n">
        <v>0</v>
      </c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-3.72529029846191E-009</v>
      </c>
      <c r="L62" s="16" t="n">
        <v>0</v>
      </c>
      <c r="M62" s="16" t="n">
        <v>0</v>
      </c>
      <c r="N62" s="16" t="n">
        <v>0</v>
      </c>
      <c r="O62" s="16" t="n">
        <v>0</v>
      </c>
      <c r="P62" s="16" t="n">
        <v>0</v>
      </c>
      <c r="Q62" s="16" t="n">
        <v>0</v>
      </c>
      <c r="R62" s="16" t="n">
        <v>0</v>
      </c>
      <c r="S62" s="16" t="n">
        <v>0</v>
      </c>
      <c r="T62" s="16" t="n">
        <v>0</v>
      </c>
      <c r="U62" s="16" t="n">
        <v>0</v>
      </c>
      <c r="V62" s="16" t="n">
        <v>0</v>
      </c>
      <c r="W62" s="16"/>
      <c r="X62" s="16" t="n">
        <v>0</v>
      </c>
      <c r="Y62" s="16" t="n">
        <v>0</v>
      </c>
      <c r="Z62" s="16" t="n">
        <v>0</v>
      </c>
      <c r="AA62" s="16" t="n">
        <v>0</v>
      </c>
      <c r="AB62" s="16" t="n">
        <v>0</v>
      </c>
      <c r="AC62" s="16" t="n">
        <v>0</v>
      </c>
      <c r="AD62" s="16" t="n">
        <v>0</v>
      </c>
      <c r="AE62" s="16" t="n">
        <v>0</v>
      </c>
      <c r="AF62" s="16" t="n">
        <v>0</v>
      </c>
      <c r="AG62" s="16" t="n">
        <v>0</v>
      </c>
    </row>
    <row r="63" customFormat="false" ht="15.75" hidden="false" customHeight="false" outlineLevel="0" collapsed="false">
      <c r="A63" s="27" t="n">
        <v>36823</v>
      </c>
      <c r="B63" s="16" t="n">
        <v>0</v>
      </c>
      <c r="C63" s="16" t="n">
        <v>0</v>
      </c>
      <c r="D63" s="16" t="n">
        <v>0</v>
      </c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-3.72529029846191E-009</v>
      </c>
      <c r="L63" s="16" t="n">
        <v>0</v>
      </c>
      <c r="M63" s="16" t="n">
        <v>0</v>
      </c>
      <c r="N63" s="16" t="n">
        <v>0</v>
      </c>
      <c r="O63" s="16" t="n">
        <v>0</v>
      </c>
      <c r="P63" s="16" t="n">
        <v>0</v>
      </c>
      <c r="Q63" s="16" t="n">
        <v>0</v>
      </c>
      <c r="R63" s="16" t="n">
        <v>0</v>
      </c>
      <c r="S63" s="16" t="n">
        <v>0</v>
      </c>
      <c r="T63" s="16" t="n">
        <v>0</v>
      </c>
      <c r="U63" s="16" t="n">
        <v>0</v>
      </c>
      <c r="V63" s="16" t="n">
        <v>0</v>
      </c>
      <c r="W63" s="16"/>
      <c r="X63" s="16" t="n">
        <v>0</v>
      </c>
      <c r="Y63" s="16" t="n">
        <v>0</v>
      </c>
      <c r="Z63" s="16" t="n">
        <v>0</v>
      </c>
      <c r="AA63" s="16" t="n">
        <v>0</v>
      </c>
      <c r="AB63" s="16" t="n">
        <v>0</v>
      </c>
      <c r="AC63" s="16" t="n">
        <v>0</v>
      </c>
      <c r="AD63" s="16" t="n">
        <v>0</v>
      </c>
      <c r="AE63" s="16" t="n">
        <v>0</v>
      </c>
      <c r="AF63" s="16" t="n">
        <v>0</v>
      </c>
      <c r="AG63" s="16" t="n">
        <v>0</v>
      </c>
    </row>
    <row r="64" customFormat="false" ht="15.75" hidden="false" customHeight="false" outlineLevel="0" collapsed="false">
      <c r="A64" s="27" t="n">
        <v>36824</v>
      </c>
      <c r="B64" s="16" t="n">
        <v>0</v>
      </c>
      <c r="C64" s="16" t="n">
        <v>0</v>
      </c>
      <c r="D64" s="16" t="n">
        <v>0</v>
      </c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-3.72529029846191E-009</v>
      </c>
      <c r="L64" s="16" t="n">
        <v>0</v>
      </c>
      <c r="M64" s="16" t="n">
        <v>0</v>
      </c>
      <c r="N64" s="16" t="n">
        <v>0</v>
      </c>
      <c r="O64" s="16" t="n">
        <v>0</v>
      </c>
      <c r="P64" s="16" t="n">
        <v>0</v>
      </c>
      <c r="Q64" s="16" t="n">
        <v>0</v>
      </c>
      <c r="R64" s="16" t="n">
        <v>0</v>
      </c>
      <c r="S64" s="16" t="n">
        <v>0</v>
      </c>
      <c r="T64" s="16" t="n">
        <v>156250</v>
      </c>
      <c r="U64" s="16" t="n">
        <v>0</v>
      </c>
      <c r="V64" s="16" t="n">
        <v>0</v>
      </c>
      <c r="W64" s="16"/>
      <c r="X64" s="16" t="n">
        <v>0</v>
      </c>
      <c r="Y64" s="16" t="n">
        <v>0</v>
      </c>
      <c r="Z64" s="16" t="n">
        <v>0</v>
      </c>
      <c r="AA64" s="16" t="n">
        <v>450942.51</v>
      </c>
      <c r="AB64" s="16" t="n">
        <v>0</v>
      </c>
      <c r="AC64" s="16" t="n">
        <v>0</v>
      </c>
      <c r="AD64" s="16" t="n">
        <v>0</v>
      </c>
      <c r="AE64" s="16" t="n">
        <v>0</v>
      </c>
      <c r="AF64" s="16" t="n">
        <v>0</v>
      </c>
      <c r="AG64" s="16" t="n">
        <v>0</v>
      </c>
    </row>
    <row r="65" customFormat="false" ht="15.75" hidden="false" customHeight="false" outlineLevel="0" collapsed="false">
      <c r="A65" s="27" t="n">
        <v>36825</v>
      </c>
      <c r="B65" s="16" t="n">
        <v>0</v>
      </c>
      <c r="C65" s="16" t="n">
        <v>0</v>
      </c>
      <c r="D65" s="16" t="n">
        <v>0</v>
      </c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-3.72529029846191E-009</v>
      </c>
      <c r="L65" s="16" t="n">
        <v>0</v>
      </c>
      <c r="M65" s="16" t="n">
        <v>0</v>
      </c>
      <c r="N65" s="16" t="n">
        <v>0</v>
      </c>
      <c r="O65" s="16" t="n">
        <v>0</v>
      </c>
      <c r="P65" s="16" t="n">
        <v>0</v>
      </c>
      <c r="Q65" s="16" t="n">
        <v>0</v>
      </c>
      <c r="R65" s="16" t="n">
        <v>0</v>
      </c>
      <c r="S65" s="16" t="n">
        <v>0</v>
      </c>
      <c r="T65" s="16" t="n">
        <v>0</v>
      </c>
      <c r="U65" s="16" t="n">
        <v>0</v>
      </c>
      <c r="V65" s="16" t="n">
        <v>0</v>
      </c>
      <c r="W65" s="16"/>
      <c r="X65" s="16" t="n">
        <v>0</v>
      </c>
      <c r="Y65" s="16" t="n">
        <v>0</v>
      </c>
      <c r="Z65" s="16" t="n">
        <v>0</v>
      </c>
      <c r="AA65" s="16" t="n">
        <v>0</v>
      </c>
      <c r="AB65" s="16" t="n">
        <v>0</v>
      </c>
      <c r="AC65" s="16" t="n">
        <v>0</v>
      </c>
      <c r="AD65" s="16" t="n">
        <v>0</v>
      </c>
      <c r="AE65" s="16" t="n">
        <v>0</v>
      </c>
      <c r="AF65" s="16" t="n">
        <v>0</v>
      </c>
      <c r="AG65" s="16" t="n">
        <v>0</v>
      </c>
    </row>
    <row r="66" customFormat="false" ht="15.75" hidden="false" customHeight="false" outlineLevel="0" collapsed="false">
      <c r="A66" s="27" t="n">
        <v>36826</v>
      </c>
      <c r="B66" s="16" t="n">
        <v>0</v>
      </c>
      <c r="C66" s="16" t="n">
        <v>0</v>
      </c>
      <c r="D66" s="16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-3.72529029846191E-009</v>
      </c>
      <c r="L66" s="16" t="n">
        <v>0</v>
      </c>
      <c r="M66" s="16" t="n">
        <v>0</v>
      </c>
      <c r="N66" s="16" t="n">
        <v>0</v>
      </c>
      <c r="O66" s="16" t="n">
        <v>0</v>
      </c>
      <c r="P66" s="16" t="n">
        <v>0</v>
      </c>
      <c r="Q66" s="16" t="n">
        <v>0</v>
      </c>
      <c r="R66" s="16" t="n">
        <v>0</v>
      </c>
      <c r="S66" s="16" t="n">
        <v>0</v>
      </c>
      <c r="T66" s="16" t="n">
        <v>0</v>
      </c>
      <c r="U66" s="16" t="n">
        <v>0</v>
      </c>
      <c r="V66" s="16" t="n">
        <v>0</v>
      </c>
      <c r="W66" s="16"/>
      <c r="X66" s="16" t="n">
        <v>0</v>
      </c>
      <c r="Y66" s="16" t="n">
        <v>0</v>
      </c>
      <c r="Z66" s="16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16" t="n">
        <v>0</v>
      </c>
      <c r="AF66" s="16" t="n">
        <v>0</v>
      </c>
      <c r="AG66" s="16" t="n">
        <v>0</v>
      </c>
    </row>
    <row r="67" customFormat="false" ht="15.75" hidden="false" customHeight="false" outlineLevel="0" collapsed="false">
      <c r="A67" s="27" t="n">
        <v>36829</v>
      </c>
      <c r="B67" s="16" t="n">
        <v>0</v>
      </c>
      <c r="C67" s="16" t="n">
        <v>0</v>
      </c>
      <c r="D67" s="16" t="n">
        <v>0</v>
      </c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-3.72529029846191E-009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6" t="n">
        <v>0</v>
      </c>
      <c r="S67" s="16" t="n">
        <v>0</v>
      </c>
      <c r="T67" s="16" t="n">
        <v>0</v>
      </c>
      <c r="U67" s="16" t="n">
        <v>0</v>
      </c>
      <c r="V67" s="16" t="n">
        <v>0</v>
      </c>
      <c r="W67" s="16"/>
      <c r="X67" s="16" t="n">
        <v>0</v>
      </c>
      <c r="Y67" s="16" t="n">
        <v>0</v>
      </c>
      <c r="Z67" s="16" t="n">
        <v>0</v>
      </c>
      <c r="AA67" s="16" t="n">
        <v>0</v>
      </c>
      <c r="AB67" s="16" t="n">
        <v>0</v>
      </c>
      <c r="AC67" s="16" t="n">
        <v>0</v>
      </c>
      <c r="AD67" s="16" t="n">
        <v>0</v>
      </c>
      <c r="AE67" s="16" t="n">
        <v>0</v>
      </c>
      <c r="AF67" s="16" t="n">
        <v>0</v>
      </c>
      <c r="AG67" s="16" t="n">
        <v>0</v>
      </c>
    </row>
    <row r="68" customFormat="false" ht="15.75" hidden="false" customHeight="false" outlineLevel="0" collapsed="false">
      <c r="A68" s="27" t="n">
        <v>36830</v>
      </c>
      <c r="B68" s="16" t="n">
        <v>0</v>
      </c>
      <c r="C68" s="16" t="n">
        <v>-202835.569999999</v>
      </c>
      <c r="D68" s="16" t="n">
        <v>0</v>
      </c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-3.72529029846191E-009</v>
      </c>
      <c r="L68" s="16" t="n">
        <v>0</v>
      </c>
      <c r="M68" s="16" t="n">
        <v>0</v>
      </c>
      <c r="N68" s="16" t="n">
        <v>0</v>
      </c>
      <c r="O68" s="16" t="n">
        <v>0</v>
      </c>
      <c r="P68" s="16" t="n">
        <v>0</v>
      </c>
      <c r="Q68" s="16" t="n">
        <v>0</v>
      </c>
      <c r="R68" s="16" t="n">
        <v>0</v>
      </c>
      <c r="S68" s="16" t="n">
        <v>0</v>
      </c>
      <c r="T68" s="16" t="n">
        <v>0</v>
      </c>
      <c r="U68" s="16" t="n">
        <v>-386189</v>
      </c>
      <c r="V68" s="16" t="n">
        <v>0</v>
      </c>
      <c r="W68" s="16"/>
      <c r="X68" s="16" t="n">
        <v>0</v>
      </c>
      <c r="Y68" s="16" t="n">
        <v>0</v>
      </c>
      <c r="Z68" s="16" t="n">
        <v>0</v>
      </c>
      <c r="AA68" s="16" t="n">
        <v>0</v>
      </c>
      <c r="AB68" s="16" t="n">
        <v>-450943</v>
      </c>
      <c r="AC68" s="16" t="n">
        <v>-1096518.58</v>
      </c>
      <c r="AD68" s="16" t="n">
        <v>0</v>
      </c>
      <c r="AE68" s="16" t="n">
        <v>0</v>
      </c>
      <c r="AF68" s="16" t="n">
        <v>0</v>
      </c>
      <c r="AG68" s="16" t="n">
        <v>0</v>
      </c>
    </row>
    <row r="69" customFormat="false" ht="15.75" hidden="false" customHeight="false" outlineLevel="0" collapsed="false">
      <c r="A69" s="27" t="n">
        <v>36831</v>
      </c>
      <c r="B69" s="16" t="n">
        <v>0</v>
      </c>
      <c r="C69" s="16" t="n">
        <v>0</v>
      </c>
      <c r="D69" s="16" t="n">
        <v>0</v>
      </c>
      <c r="E69" s="16" t="n">
        <v>0</v>
      </c>
      <c r="F69" s="16" t="n">
        <f aca="false">0-12500000-3.57</f>
        <v>-12500003.57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-3.72529029846191E-009</v>
      </c>
      <c r="L69" s="16" t="n">
        <v>0</v>
      </c>
      <c r="M69" s="16" t="n">
        <v>0</v>
      </c>
      <c r="N69" s="16" t="n">
        <v>0</v>
      </c>
      <c r="O69" s="16" t="n">
        <v>0</v>
      </c>
      <c r="P69" s="16" t="n">
        <v>0</v>
      </c>
      <c r="Q69" s="16" t="n">
        <v>0</v>
      </c>
      <c r="R69" s="16" t="n">
        <v>0</v>
      </c>
      <c r="S69" s="16" t="n">
        <v>0</v>
      </c>
      <c r="T69" s="16" t="n">
        <v>0</v>
      </c>
      <c r="U69" s="16" t="n">
        <v>0</v>
      </c>
      <c r="V69" s="16" t="n">
        <v>0</v>
      </c>
      <c r="W69" s="16"/>
      <c r="X69" s="16" t="n">
        <v>0</v>
      </c>
      <c r="Y69" s="16" t="n">
        <v>0</v>
      </c>
      <c r="Z69" s="16" t="n">
        <v>0</v>
      </c>
      <c r="AA69" s="16" t="n">
        <v>0</v>
      </c>
      <c r="AB69" s="16" t="n">
        <v>0</v>
      </c>
      <c r="AC69" s="16" t="n">
        <v>0</v>
      </c>
      <c r="AD69" s="16" t="n">
        <v>0</v>
      </c>
      <c r="AE69" s="16" t="n">
        <v>0</v>
      </c>
      <c r="AF69" s="16" t="n">
        <v>0</v>
      </c>
      <c r="AG69" s="16" t="n">
        <v>0</v>
      </c>
    </row>
    <row r="70" customFormat="false" ht="15.75" hidden="false" customHeight="false" outlineLevel="0" collapsed="false">
      <c r="A70" s="27" t="n">
        <v>36832</v>
      </c>
      <c r="B70" s="16" t="n">
        <v>0</v>
      </c>
      <c r="C70" s="16" t="n">
        <v>0</v>
      </c>
      <c r="D70" s="16" t="n">
        <v>0</v>
      </c>
      <c r="E70" s="16" t="n">
        <v>0</v>
      </c>
      <c r="F70" s="16" t="n">
        <f aca="false">-12500000+12500000</f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-3.72529029846191E-009</v>
      </c>
      <c r="L70" s="16" t="n">
        <v>0</v>
      </c>
      <c r="M70" s="16" t="n">
        <v>0</v>
      </c>
      <c r="N70" s="16" t="n">
        <v>0</v>
      </c>
      <c r="O70" s="16" t="n">
        <v>0</v>
      </c>
      <c r="P70" s="16" t="n">
        <v>0</v>
      </c>
      <c r="Q70" s="16" t="n">
        <v>0</v>
      </c>
      <c r="R70" s="16" t="n">
        <v>0</v>
      </c>
      <c r="S70" s="16" t="n">
        <v>0</v>
      </c>
      <c r="T70" s="16" t="n">
        <v>0</v>
      </c>
      <c r="U70" s="16" t="n">
        <v>0</v>
      </c>
      <c r="V70" s="16" t="n">
        <v>0</v>
      </c>
      <c r="W70" s="16"/>
      <c r="X70" s="16" t="n">
        <v>0</v>
      </c>
      <c r="Y70" s="16" t="n">
        <v>0</v>
      </c>
      <c r="Z70" s="16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16" t="n">
        <v>0</v>
      </c>
      <c r="AF70" s="16" t="n">
        <v>0</v>
      </c>
      <c r="AG70" s="16" t="n">
        <v>0</v>
      </c>
    </row>
    <row r="71" customFormat="false" ht="15.75" hidden="false" customHeight="false" outlineLevel="0" collapsed="false">
      <c r="A71" s="27" t="n">
        <v>36833</v>
      </c>
      <c r="B71" s="16" t="n">
        <v>0</v>
      </c>
      <c r="C71" s="16" t="n">
        <v>0</v>
      </c>
      <c r="D71" s="16" t="n">
        <v>0</v>
      </c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-3.72529029846191E-009</v>
      </c>
      <c r="L71" s="16" t="n">
        <v>0</v>
      </c>
      <c r="M71" s="16" t="n">
        <v>0</v>
      </c>
      <c r="N71" s="16" t="n">
        <v>0</v>
      </c>
      <c r="O71" s="16" t="n">
        <v>0</v>
      </c>
      <c r="P71" s="16" t="n">
        <v>0</v>
      </c>
      <c r="Q71" s="16" t="n">
        <v>0</v>
      </c>
      <c r="R71" s="16" t="n">
        <v>0</v>
      </c>
      <c r="S71" s="16" t="n">
        <v>0</v>
      </c>
      <c r="T71" s="16" t="n">
        <v>0</v>
      </c>
      <c r="U71" s="16" t="n">
        <v>0</v>
      </c>
      <c r="V71" s="16" t="n">
        <v>0</v>
      </c>
      <c r="W71" s="16"/>
      <c r="X71" s="16" t="n">
        <v>0</v>
      </c>
      <c r="Y71" s="16" t="n">
        <v>0</v>
      </c>
      <c r="Z71" s="16" t="n">
        <v>0</v>
      </c>
      <c r="AA71" s="16" t="n">
        <v>0</v>
      </c>
      <c r="AB71" s="16" t="n">
        <v>0</v>
      </c>
      <c r="AC71" s="16" t="n">
        <v>0</v>
      </c>
      <c r="AD71" s="16" t="n">
        <v>0</v>
      </c>
      <c r="AE71" s="16" t="n">
        <v>0</v>
      </c>
      <c r="AF71" s="16" t="n">
        <v>0</v>
      </c>
      <c r="AG71" s="16" t="n">
        <v>0</v>
      </c>
    </row>
    <row r="72" customFormat="false" ht="15.75" hidden="false" customHeight="false" outlineLevel="0" collapsed="false">
      <c r="A72" s="27" t="n">
        <v>36836</v>
      </c>
      <c r="B72" s="16" t="n">
        <v>0</v>
      </c>
      <c r="C72" s="16" t="n">
        <v>0</v>
      </c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-3.72529029846191E-009</v>
      </c>
      <c r="L72" s="16" t="n">
        <v>0</v>
      </c>
      <c r="M72" s="16" t="n">
        <v>0</v>
      </c>
      <c r="N72" s="16" t="n">
        <v>0</v>
      </c>
      <c r="O72" s="16" t="n">
        <v>0</v>
      </c>
      <c r="P72" s="16" t="n">
        <v>0</v>
      </c>
      <c r="Q72" s="16" t="n">
        <v>0</v>
      </c>
      <c r="R72" s="16" t="n">
        <v>0</v>
      </c>
      <c r="S72" s="16" t="n">
        <v>0</v>
      </c>
      <c r="T72" s="16" t="n">
        <v>0</v>
      </c>
      <c r="U72" s="16" t="n">
        <v>0</v>
      </c>
      <c r="V72" s="16" t="n">
        <v>0</v>
      </c>
      <c r="W72" s="16"/>
      <c r="X72" s="16" t="n">
        <v>0</v>
      </c>
      <c r="Y72" s="16" t="n">
        <v>0</v>
      </c>
      <c r="Z72" s="16" t="n">
        <v>0</v>
      </c>
      <c r="AA72" s="16" t="n">
        <v>0</v>
      </c>
      <c r="AB72" s="16" t="n">
        <v>0</v>
      </c>
      <c r="AC72" s="16" t="n">
        <v>0</v>
      </c>
      <c r="AD72" s="16" t="n">
        <v>0</v>
      </c>
      <c r="AE72" s="16" t="n">
        <v>0</v>
      </c>
      <c r="AF72" s="16" t="n">
        <v>0</v>
      </c>
      <c r="AG72" s="16" t="n">
        <v>0</v>
      </c>
    </row>
    <row r="73" customFormat="false" ht="15.75" hidden="false" customHeight="false" outlineLevel="0" collapsed="false">
      <c r="A73" s="27" t="n">
        <v>36837</v>
      </c>
      <c r="B73" s="16" t="n">
        <v>0</v>
      </c>
      <c r="C73" s="16" t="n">
        <v>61189.7399999993</v>
      </c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-3.72529029846191E-009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219340.73</v>
      </c>
      <c r="U73" s="16" t="n">
        <v>-219340.73</v>
      </c>
      <c r="V73" s="16" t="n">
        <v>0</v>
      </c>
      <c r="W73" s="16"/>
      <c r="X73" s="16" t="n">
        <v>0</v>
      </c>
      <c r="Y73" s="16" t="n">
        <v>0</v>
      </c>
      <c r="Z73" s="16" t="n">
        <v>0</v>
      </c>
      <c r="AA73" s="16" t="n">
        <v>0</v>
      </c>
      <c r="AB73" s="16" t="n">
        <v>0</v>
      </c>
      <c r="AC73" s="16" t="n">
        <v>131253.51</v>
      </c>
      <c r="AD73" s="16" t="n">
        <v>-131253.51</v>
      </c>
      <c r="AE73" s="16" t="n">
        <v>1008138.52</v>
      </c>
      <c r="AF73" s="16" t="n">
        <v>0</v>
      </c>
      <c r="AG73" s="16" t="n">
        <v>0</v>
      </c>
    </row>
    <row r="74" customFormat="false" ht="15.75" hidden="false" customHeight="false" outlineLevel="0" collapsed="false">
      <c r="A74" s="27" t="n">
        <v>36838</v>
      </c>
      <c r="B74" s="16" t="n">
        <v>0</v>
      </c>
      <c r="C74" s="16" t="n">
        <v>0</v>
      </c>
      <c r="D74" s="16" t="n">
        <v>0</v>
      </c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-3.72529029846191E-009</v>
      </c>
      <c r="L74" s="16" t="n">
        <v>0</v>
      </c>
      <c r="M74" s="16" t="n">
        <v>0</v>
      </c>
      <c r="N74" s="16" t="n">
        <v>0</v>
      </c>
      <c r="O74" s="16" t="n">
        <v>0</v>
      </c>
      <c r="P74" s="16" t="n">
        <v>0</v>
      </c>
      <c r="Q74" s="16" t="n">
        <v>0</v>
      </c>
      <c r="R74" s="16" t="n">
        <v>0</v>
      </c>
      <c r="S74" s="16" t="n">
        <v>0</v>
      </c>
      <c r="T74" s="16" t="n">
        <v>0</v>
      </c>
      <c r="U74" s="16" t="n">
        <v>0</v>
      </c>
      <c r="V74" s="16" t="n">
        <v>0</v>
      </c>
      <c r="W74" s="16"/>
      <c r="X74" s="16" t="n">
        <v>0</v>
      </c>
      <c r="Y74" s="16" t="n">
        <v>0</v>
      </c>
      <c r="Z74" s="16" t="n">
        <v>0</v>
      </c>
      <c r="AA74" s="16" t="n">
        <v>0</v>
      </c>
      <c r="AB74" s="16" t="n">
        <v>0</v>
      </c>
      <c r="AC74" s="16" t="n">
        <v>0</v>
      </c>
      <c r="AD74" s="16" t="n">
        <v>0</v>
      </c>
      <c r="AE74" s="16" t="n">
        <v>0</v>
      </c>
      <c r="AF74" s="16" t="n">
        <v>0</v>
      </c>
      <c r="AG74" s="16" t="n">
        <v>0</v>
      </c>
    </row>
    <row r="75" customFormat="false" ht="15.75" hidden="false" customHeight="false" outlineLevel="0" collapsed="false">
      <c r="A75" s="27" t="n">
        <v>36839</v>
      </c>
      <c r="B75" s="16" t="n">
        <v>0</v>
      </c>
      <c r="C75" s="16" t="n">
        <v>0</v>
      </c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-3.72529029846191E-009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/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  <c r="AE75" s="16" t="n">
        <v>0</v>
      </c>
      <c r="AF75" s="16" t="n">
        <v>0</v>
      </c>
      <c r="AG75" s="16" t="n">
        <v>0</v>
      </c>
    </row>
    <row r="76" customFormat="false" ht="15.75" hidden="false" customHeight="false" outlineLevel="0" collapsed="false">
      <c r="A76" s="27" t="n">
        <v>36840</v>
      </c>
      <c r="B76" s="16" t="n">
        <v>0</v>
      </c>
      <c r="C76" s="16" t="n">
        <v>0</v>
      </c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-3.72529029846191E-009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/>
      <c r="X76" s="16" t="n">
        <v>0</v>
      </c>
      <c r="Y76" s="16" t="n">
        <v>0</v>
      </c>
      <c r="Z76" s="16" t="n">
        <v>0</v>
      </c>
      <c r="AA76" s="16" t="n">
        <v>0</v>
      </c>
      <c r="AB76" s="16" t="n">
        <v>0</v>
      </c>
      <c r="AC76" s="16" t="n">
        <v>0</v>
      </c>
      <c r="AD76" s="16" t="n">
        <v>0</v>
      </c>
      <c r="AE76" s="16" t="n">
        <v>0</v>
      </c>
      <c r="AF76" s="16" t="n">
        <v>0</v>
      </c>
      <c r="AG76" s="16" t="n">
        <v>0</v>
      </c>
    </row>
    <row r="77" customFormat="false" ht="15.75" hidden="false" customHeight="false" outlineLevel="0" collapsed="false">
      <c r="A77" s="27" t="n">
        <v>36843</v>
      </c>
      <c r="B77" s="16" t="n">
        <v>0</v>
      </c>
      <c r="C77" s="16" t="n">
        <v>0</v>
      </c>
      <c r="D77" s="16" t="n">
        <v>0</v>
      </c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-3.72529029846191E-009</v>
      </c>
      <c r="L77" s="16" t="n">
        <v>0</v>
      </c>
      <c r="M77" s="16" t="n">
        <v>0</v>
      </c>
      <c r="N77" s="16" t="n">
        <v>0</v>
      </c>
      <c r="O77" s="16" t="n">
        <v>0</v>
      </c>
      <c r="P77" s="16" t="n">
        <v>0</v>
      </c>
      <c r="Q77" s="16" t="n">
        <v>0</v>
      </c>
      <c r="R77" s="16" t="n">
        <v>0</v>
      </c>
      <c r="S77" s="16" t="n">
        <v>0</v>
      </c>
      <c r="T77" s="16" t="n">
        <v>0</v>
      </c>
      <c r="U77" s="16" t="n">
        <v>0</v>
      </c>
      <c r="V77" s="16" t="n">
        <v>0</v>
      </c>
      <c r="W77" s="16"/>
      <c r="X77" s="16" t="n">
        <v>0</v>
      </c>
      <c r="Y77" s="16" t="n">
        <v>0</v>
      </c>
      <c r="Z77" s="16" t="n">
        <v>0</v>
      </c>
      <c r="AA77" s="16" t="n">
        <v>0</v>
      </c>
      <c r="AB77" s="16" t="n">
        <v>0</v>
      </c>
      <c r="AC77" s="16" t="n">
        <v>0</v>
      </c>
      <c r="AD77" s="16" t="n">
        <v>0</v>
      </c>
      <c r="AE77" s="16" t="n">
        <v>0</v>
      </c>
      <c r="AF77" s="16" t="n">
        <v>0</v>
      </c>
      <c r="AG77" s="16" t="n">
        <v>0</v>
      </c>
    </row>
    <row r="78" customFormat="false" ht="15.75" hidden="false" customHeight="false" outlineLevel="0" collapsed="false">
      <c r="A78" s="27" t="n">
        <v>36844</v>
      </c>
      <c r="B78" s="16" t="n">
        <v>0</v>
      </c>
      <c r="C78" s="16" t="n">
        <v>0</v>
      </c>
      <c r="D78" s="16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-3.72529029846191E-009</v>
      </c>
      <c r="L78" s="16" t="n">
        <v>0</v>
      </c>
      <c r="M78" s="16" t="n">
        <v>0</v>
      </c>
      <c r="N78" s="16" t="n">
        <v>0</v>
      </c>
      <c r="O78" s="16" t="n">
        <v>0</v>
      </c>
      <c r="P78" s="16" t="n">
        <v>0</v>
      </c>
      <c r="Q78" s="16" t="n">
        <v>0</v>
      </c>
      <c r="R78" s="16" t="n">
        <v>0</v>
      </c>
      <c r="S78" s="16" t="n">
        <v>0</v>
      </c>
      <c r="T78" s="16" t="n">
        <v>0</v>
      </c>
      <c r="U78" s="16" t="n">
        <v>0</v>
      </c>
      <c r="V78" s="16" t="n">
        <v>0</v>
      </c>
      <c r="W78" s="16"/>
      <c r="X78" s="16" t="n">
        <v>0</v>
      </c>
      <c r="Y78" s="16" t="n">
        <v>0</v>
      </c>
      <c r="Z78" s="16" t="n">
        <v>0</v>
      </c>
      <c r="AA78" s="16" t="n">
        <v>0</v>
      </c>
      <c r="AB78" s="16" t="n">
        <v>0</v>
      </c>
      <c r="AC78" s="16" t="n">
        <v>0</v>
      </c>
      <c r="AD78" s="16" t="n">
        <v>0</v>
      </c>
      <c r="AE78" s="16" t="n">
        <v>0</v>
      </c>
      <c r="AF78" s="16" t="n">
        <v>0</v>
      </c>
      <c r="AG78" s="16" t="n">
        <v>0</v>
      </c>
    </row>
    <row r="79" customFormat="false" ht="15.75" hidden="false" customHeight="false" outlineLevel="0" collapsed="false">
      <c r="A79" s="27" t="n">
        <v>36845</v>
      </c>
      <c r="B79" s="16" t="n">
        <v>0</v>
      </c>
      <c r="C79" s="16" t="n">
        <v>0</v>
      </c>
      <c r="D79" s="16" t="n">
        <v>0</v>
      </c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-3.72529029846191E-009</v>
      </c>
      <c r="L79" s="16" t="n">
        <v>0</v>
      </c>
      <c r="M79" s="16" t="n">
        <v>0</v>
      </c>
      <c r="N79" s="16" t="n">
        <v>0</v>
      </c>
      <c r="O79" s="16" t="n">
        <v>0</v>
      </c>
      <c r="P79" s="16" t="n">
        <v>0</v>
      </c>
      <c r="Q79" s="16" t="n">
        <v>0</v>
      </c>
      <c r="R79" s="16" t="n">
        <v>0</v>
      </c>
      <c r="S79" s="16" t="n">
        <v>0</v>
      </c>
      <c r="T79" s="16" t="n">
        <v>0</v>
      </c>
      <c r="U79" s="16" t="n">
        <v>0</v>
      </c>
      <c r="V79" s="16" t="n">
        <v>0</v>
      </c>
      <c r="W79" s="16"/>
      <c r="X79" s="16" t="n">
        <v>0</v>
      </c>
      <c r="Y79" s="16" t="n">
        <v>0</v>
      </c>
      <c r="Z79" s="16" t="n">
        <v>0</v>
      </c>
      <c r="AA79" s="16" t="n">
        <v>0</v>
      </c>
      <c r="AB79" s="16" t="n">
        <v>0</v>
      </c>
      <c r="AC79" s="16" t="n">
        <v>0</v>
      </c>
      <c r="AD79" s="16" t="n">
        <v>0</v>
      </c>
      <c r="AE79" s="16" t="n">
        <v>0</v>
      </c>
      <c r="AF79" s="16" t="n">
        <v>0</v>
      </c>
      <c r="AG79" s="16" t="n">
        <v>0</v>
      </c>
    </row>
    <row r="80" customFormat="false" ht="15.75" hidden="false" customHeight="false" outlineLevel="0" collapsed="false">
      <c r="A80" s="27" t="n">
        <v>36846</v>
      </c>
      <c r="B80" s="16" t="n">
        <v>0</v>
      </c>
      <c r="C80" s="16" t="n">
        <v>0</v>
      </c>
      <c r="D80" s="16" t="n">
        <v>0</v>
      </c>
      <c r="E80" s="16" t="n">
        <v>-4970.63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-3.72529029846191E-009</v>
      </c>
      <c r="L80" s="16" t="n">
        <v>0</v>
      </c>
      <c r="M80" s="16" t="n">
        <v>0</v>
      </c>
      <c r="N80" s="16" t="n">
        <v>0</v>
      </c>
      <c r="O80" s="16" t="n">
        <v>0</v>
      </c>
      <c r="P80" s="16" t="n">
        <v>0</v>
      </c>
      <c r="Q80" s="16" t="n">
        <v>0</v>
      </c>
      <c r="R80" s="16" t="n">
        <v>0</v>
      </c>
      <c r="S80" s="16" t="n">
        <v>0</v>
      </c>
      <c r="T80" s="16" t="n">
        <v>0</v>
      </c>
      <c r="U80" s="16" t="n">
        <v>0</v>
      </c>
      <c r="V80" s="16" t="n">
        <v>-19348.8799999999</v>
      </c>
      <c r="W80" s="16"/>
      <c r="X80" s="16" t="n">
        <v>0</v>
      </c>
      <c r="Y80" s="16" t="n">
        <v>0</v>
      </c>
      <c r="Z80" s="16" t="n">
        <v>0</v>
      </c>
      <c r="AA80" s="16" t="n">
        <v>0</v>
      </c>
      <c r="AB80" s="16" t="n">
        <v>0</v>
      </c>
      <c r="AC80" s="16" t="n">
        <v>-369099.93</v>
      </c>
      <c r="AD80" s="16" t="n">
        <v>0</v>
      </c>
      <c r="AE80" s="16" t="n">
        <v>0</v>
      </c>
      <c r="AF80" s="16" t="n">
        <v>0</v>
      </c>
      <c r="AG80" s="16" t="n">
        <v>0</v>
      </c>
    </row>
    <row r="81" customFormat="false" ht="15.75" hidden="false" customHeight="false" outlineLevel="0" collapsed="false">
      <c r="A81" s="27" t="n">
        <v>36847</v>
      </c>
      <c r="B81" s="16" t="n">
        <v>0</v>
      </c>
      <c r="C81" s="16" t="n">
        <v>0</v>
      </c>
      <c r="D81" s="16" t="n">
        <v>0</v>
      </c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-3.72529029846191E-009</v>
      </c>
      <c r="L81" s="16" t="n">
        <v>0</v>
      </c>
      <c r="M81" s="16" t="n">
        <v>0</v>
      </c>
      <c r="N81" s="16" t="n">
        <v>0</v>
      </c>
      <c r="O81" s="16" t="n">
        <v>0</v>
      </c>
      <c r="P81" s="16" t="n">
        <v>0</v>
      </c>
      <c r="Q81" s="16" t="n">
        <v>0</v>
      </c>
      <c r="R81" s="16" t="n">
        <v>0</v>
      </c>
      <c r="S81" s="16" t="n">
        <v>0</v>
      </c>
      <c r="T81" s="16" t="n">
        <v>0</v>
      </c>
      <c r="U81" s="16" t="n">
        <v>0</v>
      </c>
      <c r="V81" s="16" t="n">
        <v>0</v>
      </c>
      <c r="W81" s="16"/>
      <c r="X81" s="16" t="n">
        <v>0</v>
      </c>
      <c r="Y81" s="16" t="n">
        <v>0</v>
      </c>
      <c r="Z81" s="16" t="n">
        <v>0</v>
      </c>
      <c r="AA81" s="16" t="n">
        <v>0</v>
      </c>
      <c r="AB81" s="16" t="n">
        <v>0</v>
      </c>
      <c r="AC81" s="16" t="n">
        <v>0</v>
      </c>
      <c r="AD81" s="16" t="n">
        <v>0</v>
      </c>
      <c r="AE81" s="16" t="n">
        <v>0</v>
      </c>
      <c r="AF81" s="16" t="n">
        <v>0</v>
      </c>
      <c r="AG81" s="16" t="n">
        <v>0</v>
      </c>
    </row>
    <row r="82" customFormat="false" ht="15.75" hidden="false" customHeight="false" outlineLevel="0" collapsed="false">
      <c r="A82" s="27" t="n">
        <v>36850</v>
      </c>
      <c r="B82" s="16" t="n">
        <v>0</v>
      </c>
      <c r="C82" s="16" t="n">
        <v>0</v>
      </c>
      <c r="D82" s="16" t="n">
        <v>0</v>
      </c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-3.72529029846191E-009</v>
      </c>
      <c r="L82" s="16" t="n">
        <v>0</v>
      </c>
      <c r="M82" s="16" t="n">
        <v>0</v>
      </c>
      <c r="N82" s="16" t="n">
        <v>0</v>
      </c>
      <c r="O82" s="16" t="n">
        <v>0</v>
      </c>
      <c r="P82" s="16" t="n">
        <v>0</v>
      </c>
      <c r="Q82" s="16" t="n">
        <v>0</v>
      </c>
      <c r="R82" s="16" t="n">
        <v>0</v>
      </c>
      <c r="S82" s="16" t="n">
        <v>0</v>
      </c>
      <c r="T82" s="16" t="n">
        <v>0</v>
      </c>
      <c r="U82" s="16" t="n">
        <v>0</v>
      </c>
      <c r="V82" s="16" t="n">
        <v>0</v>
      </c>
      <c r="W82" s="16"/>
      <c r="X82" s="16" t="n">
        <v>0</v>
      </c>
      <c r="Y82" s="16" t="n">
        <v>0</v>
      </c>
      <c r="Z82" s="16" t="n">
        <v>0</v>
      </c>
      <c r="AA82" s="16" t="n">
        <v>0</v>
      </c>
      <c r="AB82" s="16" t="n">
        <v>0</v>
      </c>
      <c r="AC82" s="16" t="n">
        <v>0</v>
      </c>
      <c r="AD82" s="16" t="n">
        <v>0</v>
      </c>
      <c r="AE82" s="16" t="n">
        <v>0</v>
      </c>
      <c r="AF82" s="16" t="n">
        <v>0</v>
      </c>
      <c r="AG82" s="16" t="n">
        <v>0</v>
      </c>
    </row>
    <row r="83" customFormat="false" ht="15.75" hidden="false" customHeight="false" outlineLevel="0" collapsed="false">
      <c r="A83" s="27" t="n">
        <v>36851</v>
      </c>
      <c r="B83" s="16" t="n">
        <v>0</v>
      </c>
      <c r="C83" s="16" t="n">
        <v>0</v>
      </c>
      <c r="D83" s="16" t="n">
        <v>0</v>
      </c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-3.72529029846191E-009</v>
      </c>
      <c r="L83" s="16" t="n">
        <v>0</v>
      </c>
      <c r="M83" s="16" t="n">
        <v>0</v>
      </c>
      <c r="N83" s="16" t="n">
        <v>0</v>
      </c>
      <c r="O83" s="16" t="n">
        <v>0</v>
      </c>
      <c r="P83" s="16" t="n">
        <v>0</v>
      </c>
      <c r="Q83" s="16" t="n">
        <v>0</v>
      </c>
      <c r="R83" s="16" t="n">
        <v>0</v>
      </c>
      <c r="S83" s="16" t="n">
        <v>-72043.8899999997</v>
      </c>
      <c r="T83" s="16" t="n">
        <v>0</v>
      </c>
      <c r="U83" s="16" t="n">
        <v>0</v>
      </c>
      <c r="V83" s="16" t="n">
        <v>0</v>
      </c>
      <c r="W83" s="16"/>
      <c r="X83" s="16" t="n">
        <v>0</v>
      </c>
      <c r="Y83" s="16" t="n">
        <v>0</v>
      </c>
      <c r="Z83" s="16" t="n">
        <v>0</v>
      </c>
      <c r="AA83" s="16" t="n">
        <v>0</v>
      </c>
      <c r="AB83" s="16" t="n">
        <v>0</v>
      </c>
      <c r="AC83" s="16" t="n">
        <v>-102937.74</v>
      </c>
      <c r="AD83" s="16" t="n">
        <v>-97062.26</v>
      </c>
      <c r="AE83" s="16" t="n">
        <v>0</v>
      </c>
      <c r="AF83" s="16" t="n">
        <v>0</v>
      </c>
      <c r="AG83" s="16" t="n">
        <v>0</v>
      </c>
    </row>
    <row r="84" customFormat="false" ht="15.75" hidden="false" customHeight="false" outlineLevel="0" collapsed="false">
      <c r="A84" s="27" t="n">
        <v>36852</v>
      </c>
      <c r="B84" s="16" t="n">
        <v>0</v>
      </c>
      <c r="C84" s="16" t="n">
        <v>0</v>
      </c>
      <c r="D84" s="16" t="n">
        <v>0</v>
      </c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-3.72529029846191E-009</v>
      </c>
      <c r="L84" s="16" t="n">
        <v>0</v>
      </c>
      <c r="M84" s="16" t="n">
        <v>0</v>
      </c>
      <c r="N84" s="16" t="n">
        <v>0</v>
      </c>
      <c r="O84" s="16" t="n">
        <v>0</v>
      </c>
      <c r="P84" s="16" t="n">
        <v>0</v>
      </c>
      <c r="Q84" s="16" t="n">
        <v>0</v>
      </c>
      <c r="R84" s="16" t="n">
        <v>0</v>
      </c>
      <c r="S84" s="16" t="n">
        <v>0</v>
      </c>
      <c r="T84" s="16" t="n">
        <v>0</v>
      </c>
      <c r="U84" s="16" t="n">
        <v>0</v>
      </c>
      <c r="V84" s="16" t="n">
        <v>0</v>
      </c>
      <c r="W84" s="16"/>
      <c r="X84" s="16" t="n">
        <v>0</v>
      </c>
      <c r="Y84" s="16" t="n">
        <v>0</v>
      </c>
      <c r="Z84" s="16" t="n">
        <v>0</v>
      </c>
      <c r="AA84" s="16" t="n">
        <v>0</v>
      </c>
      <c r="AB84" s="16" t="n">
        <v>0</v>
      </c>
      <c r="AC84" s="16" t="n">
        <v>0</v>
      </c>
      <c r="AD84" s="16" t="n">
        <v>0</v>
      </c>
      <c r="AE84" s="16" t="n">
        <v>0</v>
      </c>
      <c r="AF84" s="16" t="n">
        <v>0</v>
      </c>
      <c r="AG84" s="16" t="n">
        <v>0</v>
      </c>
    </row>
    <row r="85" customFormat="false" ht="15.75" hidden="false" customHeight="false" outlineLevel="0" collapsed="false">
      <c r="A85" s="27" t="n">
        <v>36854</v>
      </c>
      <c r="B85" s="16" t="n">
        <v>0</v>
      </c>
      <c r="C85" s="16" t="n">
        <v>0</v>
      </c>
      <c r="D85" s="16" t="n">
        <v>0</v>
      </c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-3.72529029846191E-009</v>
      </c>
      <c r="L85" s="16" t="n">
        <v>0</v>
      </c>
      <c r="M85" s="16" t="n">
        <v>0</v>
      </c>
      <c r="N85" s="16" t="n">
        <v>0</v>
      </c>
      <c r="O85" s="16" t="n">
        <v>0</v>
      </c>
      <c r="P85" s="16" t="n">
        <v>0</v>
      </c>
      <c r="Q85" s="16" t="n">
        <v>0</v>
      </c>
      <c r="R85" s="16" t="n">
        <v>0</v>
      </c>
      <c r="S85" s="16" t="n">
        <v>0</v>
      </c>
      <c r="T85" s="16" t="n">
        <v>0</v>
      </c>
      <c r="U85" s="16" t="n">
        <v>0</v>
      </c>
      <c r="V85" s="16" t="n">
        <v>0</v>
      </c>
      <c r="W85" s="16"/>
      <c r="X85" s="16" t="n">
        <v>0</v>
      </c>
      <c r="Y85" s="16" t="n">
        <v>0</v>
      </c>
      <c r="Z85" s="16" t="n">
        <v>0</v>
      </c>
      <c r="AA85" s="16" t="n">
        <v>0</v>
      </c>
      <c r="AB85" s="16" t="n">
        <v>0</v>
      </c>
      <c r="AC85" s="16" t="n">
        <v>0</v>
      </c>
      <c r="AD85" s="16" t="n">
        <v>0</v>
      </c>
      <c r="AE85" s="16" t="n">
        <v>0</v>
      </c>
      <c r="AF85" s="16" t="n">
        <v>0</v>
      </c>
      <c r="AG85" s="16" t="n">
        <v>0</v>
      </c>
    </row>
    <row r="86" customFormat="false" ht="15.75" hidden="false" customHeight="false" outlineLevel="0" collapsed="false">
      <c r="A86" s="27" t="n">
        <v>36857</v>
      </c>
      <c r="B86" s="16" t="n">
        <v>0</v>
      </c>
      <c r="C86" s="16" t="n">
        <v>0</v>
      </c>
      <c r="D86" s="16" t="n">
        <v>0</v>
      </c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-3.72529029846191E-009</v>
      </c>
      <c r="L86" s="16" t="n">
        <v>0</v>
      </c>
      <c r="M86" s="16" t="n">
        <v>0</v>
      </c>
      <c r="N86" s="16" t="n">
        <v>0</v>
      </c>
      <c r="O86" s="16" t="n">
        <v>0</v>
      </c>
      <c r="P86" s="16" t="n">
        <v>0</v>
      </c>
      <c r="Q86" s="16" t="n">
        <v>0</v>
      </c>
      <c r="R86" s="16" t="n">
        <v>0</v>
      </c>
      <c r="S86" s="16" t="n">
        <v>0</v>
      </c>
      <c r="T86" s="16" t="n">
        <v>0</v>
      </c>
      <c r="U86" s="16" t="n">
        <v>0</v>
      </c>
      <c r="V86" s="16" t="n">
        <v>0</v>
      </c>
      <c r="W86" s="16"/>
      <c r="X86" s="16" t="n">
        <v>0</v>
      </c>
      <c r="Y86" s="16" t="n">
        <v>0</v>
      </c>
      <c r="Z86" s="16" t="n">
        <v>0</v>
      </c>
      <c r="AA86" s="16" t="n">
        <v>0</v>
      </c>
      <c r="AB86" s="16" t="n">
        <v>0</v>
      </c>
      <c r="AC86" s="16" t="n">
        <v>0</v>
      </c>
      <c r="AD86" s="16" t="n">
        <v>0</v>
      </c>
      <c r="AE86" s="16" t="n">
        <v>0</v>
      </c>
      <c r="AF86" s="16" t="n">
        <v>0</v>
      </c>
      <c r="AG86" s="16" t="n">
        <v>0</v>
      </c>
    </row>
    <row r="87" customFormat="false" ht="15.75" hidden="false" customHeight="false" outlineLevel="0" collapsed="false">
      <c r="A87" s="27" t="n">
        <v>36858</v>
      </c>
      <c r="B87" s="16" t="n">
        <v>0</v>
      </c>
      <c r="C87" s="16" t="n">
        <v>0</v>
      </c>
      <c r="D87" s="16" t="n">
        <v>0</v>
      </c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-3.72529029846191E-009</v>
      </c>
      <c r="L87" s="16" t="n">
        <v>0</v>
      </c>
      <c r="M87" s="16" t="n">
        <v>0</v>
      </c>
      <c r="N87" s="16" t="n">
        <v>0</v>
      </c>
      <c r="O87" s="16" t="n">
        <v>0</v>
      </c>
      <c r="P87" s="16" t="n">
        <v>0</v>
      </c>
      <c r="Q87" s="16" t="n">
        <v>0</v>
      </c>
      <c r="R87" s="16" t="n">
        <v>0</v>
      </c>
      <c r="S87" s="16" t="n">
        <v>0</v>
      </c>
      <c r="T87" s="16" t="n">
        <v>0</v>
      </c>
      <c r="U87" s="16" t="n">
        <v>0</v>
      </c>
      <c r="V87" s="16" t="n">
        <v>0</v>
      </c>
      <c r="W87" s="16"/>
      <c r="X87" s="16" t="n">
        <v>0</v>
      </c>
      <c r="Y87" s="16" t="n">
        <v>0</v>
      </c>
      <c r="Z87" s="16" t="n">
        <v>0</v>
      </c>
      <c r="AA87" s="16" t="n">
        <v>228944.15</v>
      </c>
      <c r="AB87" s="16" t="n">
        <v>-228944.15</v>
      </c>
      <c r="AC87" s="16" t="n">
        <v>21122.8699999992</v>
      </c>
      <c r="AD87" s="16" t="n">
        <v>-21122.87</v>
      </c>
      <c r="AE87" s="16" t="n">
        <v>0</v>
      </c>
      <c r="AF87" s="16" t="n">
        <v>0</v>
      </c>
      <c r="AG87" s="16" t="n">
        <v>0</v>
      </c>
    </row>
    <row r="88" customFormat="false" ht="15.75" hidden="false" customHeight="false" outlineLevel="0" collapsed="false">
      <c r="A88" s="27" t="n">
        <v>36859</v>
      </c>
      <c r="B88" s="16" t="n">
        <v>0</v>
      </c>
      <c r="C88" s="16" t="n">
        <v>0</v>
      </c>
      <c r="D88" s="16" t="n">
        <v>0</v>
      </c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-3.72529029846191E-009</v>
      </c>
      <c r="L88" s="16" t="n">
        <v>0</v>
      </c>
      <c r="M88" s="16" t="n">
        <v>0</v>
      </c>
      <c r="N88" s="16" t="n">
        <v>0</v>
      </c>
      <c r="O88" s="16" t="n">
        <v>0</v>
      </c>
      <c r="P88" s="16" t="n">
        <v>0</v>
      </c>
      <c r="Q88" s="16" t="n">
        <v>0</v>
      </c>
      <c r="R88" s="16" t="n">
        <v>0</v>
      </c>
      <c r="S88" s="16" t="n">
        <v>0</v>
      </c>
      <c r="T88" s="16" t="n">
        <v>0</v>
      </c>
      <c r="U88" s="16" t="n">
        <v>0</v>
      </c>
      <c r="V88" s="16" t="n">
        <v>0</v>
      </c>
      <c r="W88" s="16"/>
      <c r="X88" s="16" t="n">
        <v>0</v>
      </c>
      <c r="Y88" s="16" t="n">
        <v>0</v>
      </c>
      <c r="Z88" s="16" t="n">
        <v>0</v>
      </c>
      <c r="AA88" s="16" t="n">
        <v>0</v>
      </c>
      <c r="AB88" s="16" t="n">
        <v>0</v>
      </c>
      <c r="AC88" s="16" t="n">
        <v>0</v>
      </c>
      <c r="AD88" s="16" t="n">
        <v>0</v>
      </c>
      <c r="AE88" s="16" t="n">
        <v>0</v>
      </c>
      <c r="AF88" s="16" t="n">
        <v>0</v>
      </c>
      <c r="AG88" s="16" t="n">
        <v>0</v>
      </c>
    </row>
    <row r="89" customFormat="false" ht="15.75" hidden="false" customHeight="false" outlineLevel="0" collapsed="false">
      <c r="A89" s="27" t="n">
        <v>36860</v>
      </c>
      <c r="B89" s="16" t="n">
        <v>0</v>
      </c>
      <c r="C89" s="16" t="n">
        <v>0</v>
      </c>
      <c r="D89" s="16" t="n">
        <v>0</v>
      </c>
      <c r="E89" s="16" t="n">
        <v>-2676.5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-3.72529029846191E-009</v>
      </c>
      <c r="L89" s="16" t="n">
        <v>0</v>
      </c>
      <c r="M89" s="16" t="n">
        <v>0</v>
      </c>
      <c r="N89" s="16" t="n">
        <v>0</v>
      </c>
      <c r="O89" s="16" t="n">
        <v>0</v>
      </c>
      <c r="P89" s="16" t="n">
        <v>0</v>
      </c>
      <c r="Q89" s="16" t="n">
        <v>0</v>
      </c>
      <c r="R89" s="16" t="n">
        <v>0</v>
      </c>
      <c r="S89" s="16" t="n">
        <v>0</v>
      </c>
      <c r="T89" s="16" t="n">
        <v>0</v>
      </c>
      <c r="U89" s="16" t="n">
        <v>0</v>
      </c>
      <c r="V89" s="16" t="n">
        <v>0</v>
      </c>
      <c r="W89" s="16"/>
      <c r="X89" s="16" t="n">
        <v>0</v>
      </c>
      <c r="Y89" s="16" t="n">
        <v>0</v>
      </c>
      <c r="Z89" s="16" t="n">
        <v>0</v>
      </c>
      <c r="AA89" s="16" t="n">
        <v>0</v>
      </c>
      <c r="AB89" s="16" t="n">
        <v>0</v>
      </c>
      <c r="AC89" s="16" t="n">
        <v>0</v>
      </c>
      <c r="AD89" s="16" t="n">
        <v>0</v>
      </c>
      <c r="AE89" s="16" t="n">
        <v>0</v>
      </c>
      <c r="AF89" s="16" t="n">
        <v>0</v>
      </c>
      <c r="AG89" s="16" t="n">
        <v>0</v>
      </c>
    </row>
    <row r="90" customFormat="false" ht="15.75" hidden="false" customHeight="false" outlineLevel="0" collapsed="false">
      <c r="A90" s="27" t="n">
        <v>36861</v>
      </c>
      <c r="B90" s="16" t="n">
        <v>0</v>
      </c>
      <c r="C90" s="16" t="n">
        <v>0</v>
      </c>
      <c r="D90" s="16" t="n">
        <v>0</v>
      </c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-3.72529029846191E-009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0</v>
      </c>
      <c r="Q90" s="16" t="n">
        <v>0</v>
      </c>
      <c r="R90" s="16" t="n">
        <v>0</v>
      </c>
      <c r="S90" s="16" t="n">
        <v>0</v>
      </c>
      <c r="T90" s="16" t="n">
        <v>0</v>
      </c>
      <c r="U90" s="16" t="n">
        <v>0</v>
      </c>
      <c r="V90" s="16" t="n">
        <v>0</v>
      </c>
      <c r="W90" s="16"/>
      <c r="X90" s="16" t="n">
        <v>0</v>
      </c>
      <c r="Y90" s="16" t="n">
        <v>0</v>
      </c>
      <c r="Z90" s="16" t="n">
        <v>0</v>
      </c>
      <c r="AA90" s="16" t="n">
        <v>0</v>
      </c>
      <c r="AB90" s="16" t="n">
        <v>0</v>
      </c>
      <c r="AC90" s="16" t="n">
        <v>0</v>
      </c>
      <c r="AD90" s="16" t="n">
        <v>0</v>
      </c>
      <c r="AE90" s="16" t="n">
        <v>0</v>
      </c>
      <c r="AF90" s="16" t="n">
        <v>0</v>
      </c>
      <c r="AG90" s="16" t="n">
        <v>0</v>
      </c>
    </row>
    <row r="91" customFormat="false" ht="15.75" hidden="false" customHeight="false" outlineLevel="0" collapsed="false">
      <c r="A91" s="27" t="n">
        <v>36864</v>
      </c>
      <c r="B91" s="16" t="n">
        <v>0</v>
      </c>
      <c r="C91" s="16" t="n">
        <v>0</v>
      </c>
      <c r="D91" s="16" t="n">
        <v>0</v>
      </c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-3.72529029846191E-009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0</v>
      </c>
      <c r="Q91" s="16" t="n">
        <v>0</v>
      </c>
      <c r="R91" s="16" t="n">
        <v>0</v>
      </c>
      <c r="S91" s="16" t="n">
        <v>0</v>
      </c>
      <c r="T91" s="16" t="n">
        <v>0</v>
      </c>
      <c r="U91" s="16" t="n">
        <v>0</v>
      </c>
      <c r="V91" s="16" t="n">
        <v>0</v>
      </c>
      <c r="W91" s="16"/>
      <c r="X91" s="16" t="n">
        <v>0</v>
      </c>
      <c r="Y91" s="16" t="n">
        <v>0</v>
      </c>
      <c r="Z91" s="16" t="n">
        <v>0</v>
      </c>
      <c r="AA91" s="16" t="n">
        <v>0</v>
      </c>
      <c r="AB91" s="16" t="n">
        <v>0</v>
      </c>
      <c r="AC91" s="16" t="n">
        <v>0</v>
      </c>
      <c r="AD91" s="16" t="n">
        <v>0</v>
      </c>
      <c r="AE91" s="16" t="n">
        <v>0</v>
      </c>
      <c r="AF91" s="16" t="n">
        <v>0</v>
      </c>
      <c r="AG91" s="16" t="n">
        <v>0</v>
      </c>
    </row>
    <row r="92" customFormat="false" ht="15.75" hidden="false" customHeight="false" outlineLevel="0" collapsed="false">
      <c r="A92" s="27" t="n">
        <v>36865</v>
      </c>
      <c r="B92" s="16" t="n">
        <v>0</v>
      </c>
      <c r="C92" s="16" t="n">
        <v>0</v>
      </c>
      <c r="D92" s="16" t="n">
        <v>0</v>
      </c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-3.72529029846191E-009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0</v>
      </c>
      <c r="Q92" s="16" t="n">
        <v>0</v>
      </c>
      <c r="R92" s="16" t="n">
        <v>0</v>
      </c>
      <c r="S92" s="16" t="n">
        <v>0</v>
      </c>
      <c r="T92" s="16" t="n">
        <v>0</v>
      </c>
      <c r="U92" s="16" t="n">
        <v>0</v>
      </c>
      <c r="V92" s="16" t="n">
        <v>0</v>
      </c>
      <c r="W92" s="16"/>
      <c r="X92" s="16" t="n">
        <v>0</v>
      </c>
      <c r="Y92" s="16" t="n">
        <v>0</v>
      </c>
      <c r="Z92" s="16" t="n">
        <v>0</v>
      </c>
      <c r="AA92" s="16" t="n">
        <v>0</v>
      </c>
      <c r="AB92" s="16" t="n">
        <v>0</v>
      </c>
      <c r="AC92" s="16" t="n">
        <v>0</v>
      </c>
      <c r="AD92" s="16" t="n">
        <v>0</v>
      </c>
      <c r="AE92" s="16" t="n">
        <v>0</v>
      </c>
      <c r="AF92" s="16" t="n">
        <v>0</v>
      </c>
      <c r="AG92" s="16" t="n">
        <v>0</v>
      </c>
    </row>
    <row r="93" customFormat="false" ht="15.75" hidden="false" customHeight="false" outlineLevel="0" collapsed="false">
      <c r="A93" s="27" t="n">
        <v>36866</v>
      </c>
      <c r="B93" s="16" t="n">
        <v>0</v>
      </c>
      <c r="C93" s="16" t="n">
        <v>0</v>
      </c>
      <c r="D93" s="16" t="n">
        <v>0</v>
      </c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-3.72529029846191E-009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0</v>
      </c>
      <c r="Q93" s="16" t="n">
        <v>0</v>
      </c>
      <c r="R93" s="16" t="n">
        <v>0</v>
      </c>
      <c r="S93" s="16" t="n">
        <v>0</v>
      </c>
      <c r="T93" s="16" t="n">
        <v>0</v>
      </c>
      <c r="U93" s="16" t="n">
        <v>0</v>
      </c>
      <c r="V93" s="16" t="n">
        <v>0</v>
      </c>
      <c r="W93" s="16"/>
      <c r="X93" s="16" t="n">
        <v>0</v>
      </c>
      <c r="Y93" s="16" t="n">
        <v>0</v>
      </c>
      <c r="Z93" s="16" t="n">
        <v>0</v>
      </c>
      <c r="AA93" s="16" t="n">
        <v>0</v>
      </c>
      <c r="AB93" s="16" t="n">
        <v>0</v>
      </c>
      <c r="AC93" s="16" t="n">
        <v>0</v>
      </c>
      <c r="AD93" s="16" t="n">
        <v>0</v>
      </c>
      <c r="AE93" s="16" t="n">
        <v>0</v>
      </c>
      <c r="AF93" s="16" t="n">
        <v>0</v>
      </c>
      <c r="AG93" s="16" t="n">
        <v>0</v>
      </c>
    </row>
    <row r="94" customFormat="false" ht="15.75" hidden="false" customHeight="false" outlineLevel="0" collapsed="false">
      <c r="A94" s="27" t="n">
        <v>36867</v>
      </c>
      <c r="B94" s="16" t="n">
        <v>0</v>
      </c>
      <c r="C94" s="16" t="n">
        <v>0</v>
      </c>
      <c r="D94" s="16" t="n">
        <v>0</v>
      </c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-3.72529029846191E-009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0</v>
      </c>
      <c r="Q94" s="16" t="n">
        <v>0</v>
      </c>
      <c r="R94" s="16" t="n">
        <v>0</v>
      </c>
      <c r="S94" s="16" t="n">
        <v>0</v>
      </c>
      <c r="T94" s="16" t="n">
        <v>0</v>
      </c>
      <c r="U94" s="16" t="n">
        <v>0</v>
      </c>
      <c r="V94" s="16" t="n">
        <v>0</v>
      </c>
      <c r="W94" s="16"/>
      <c r="X94" s="16" t="n">
        <v>0</v>
      </c>
      <c r="Y94" s="16" t="n">
        <v>0</v>
      </c>
      <c r="Z94" s="16" t="n">
        <v>0</v>
      </c>
      <c r="AA94" s="16" t="n">
        <v>0</v>
      </c>
      <c r="AB94" s="16" t="n">
        <v>0</v>
      </c>
      <c r="AC94" s="16" t="n">
        <v>0</v>
      </c>
      <c r="AD94" s="16" t="n">
        <v>0</v>
      </c>
      <c r="AE94" s="16" t="n">
        <v>0</v>
      </c>
      <c r="AF94" s="16" t="n">
        <v>0</v>
      </c>
      <c r="AG94" s="16" t="n">
        <v>0</v>
      </c>
    </row>
    <row r="95" customFormat="false" ht="15.75" hidden="false" customHeight="false" outlineLevel="0" collapsed="false">
      <c r="A95" s="27" t="n">
        <v>36868</v>
      </c>
      <c r="B95" s="16" t="n">
        <v>0</v>
      </c>
      <c r="C95" s="16" t="n">
        <v>0</v>
      </c>
      <c r="D95" s="16" t="n">
        <v>0</v>
      </c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-3.72529029846191E-009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0</v>
      </c>
      <c r="Q95" s="16" t="n">
        <v>0</v>
      </c>
      <c r="R95" s="16" t="n">
        <v>0</v>
      </c>
      <c r="S95" s="16" t="n">
        <v>0</v>
      </c>
      <c r="T95" s="16" t="n">
        <v>0</v>
      </c>
      <c r="U95" s="16" t="n">
        <v>0</v>
      </c>
      <c r="V95" s="16" t="n">
        <v>0</v>
      </c>
      <c r="W95" s="16"/>
      <c r="X95" s="16" t="n">
        <v>0</v>
      </c>
      <c r="Y95" s="16" t="n">
        <v>0</v>
      </c>
      <c r="Z95" s="16" t="n">
        <v>0</v>
      </c>
      <c r="AA95" s="16" t="n">
        <v>0</v>
      </c>
      <c r="AB95" s="16" t="n">
        <v>0</v>
      </c>
      <c r="AC95" s="16" t="n">
        <v>0</v>
      </c>
      <c r="AD95" s="16" t="n">
        <v>0</v>
      </c>
      <c r="AE95" s="16" t="n">
        <v>0</v>
      </c>
      <c r="AF95" s="16" t="n">
        <v>0</v>
      </c>
      <c r="AG95" s="16" t="n">
        <v>0</v>
      </c>
    </row>
    <row r="96" customFormat="false" ht="15.75" hidden="false" customHeight="false" outlineLevel="0" collapsed="false">
      <c r="A96" s="27" t="n">
        <v>36871</v>
      </c>
      <c r="B96" s="16" t="n">
        <v>0</v>
      </c>
      <c r="C96" s="16" t="n">
        <v>190195.25</v>
      </c>
      <c r="D96" s="16" t="n">
        <v>0</v>
      </c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-3.72529029846191E-009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0</v>
      </c>
      <c r="Q96" s="16" t="n">
        <v>0</v>
      </c>
      <c r="R96" s="16" t="n">
        <v>0</v>
      </c>
      <c r="S96" s="16" t="n">
        <v>0</v>
      </c>
      <c r="T96" s="16" t="n">
        <v>0</v>
      </c>
      <c r="U96" s="16" t="n">
        <v>0</v>
      </c>
      <c r="V96" s="16" t="n">
        <v>0</v>
      </c>
      <c r="W96" s="16"/>
      <c r="X96" s="16" t="n">
        <v>0</v>
      </c>
      <c r="Y96" s="16" t="n">
        <v>0</v>
      </c>
      <c r="Z96" s="16" t="n">
        <v>0</v>
      </c>
      <c r="AA96" s="16" t="n">
        <v>0</v>
      </c>
      <c r="AB96" s="16" t="n">
        <v>0</v>
      </c>
      <c r="AC96" s="16" t="n">
        <v>0</v>
      </c>
      <c r="AD96" s="16" t="n">
        <v>0</v>
      </c>
      <c r="AE96" s="16" t="n">
        <v>0</v>
      </c>
      <c r="AF96" s="16" t="n">
        <v>0</v>
      </c>
      <c r="AG96" s="16" t="n">
        <v>0</v>
      </c>
    </row>
    <row r="97" customFormat="false" ht="15.75" hidden="false" customHeight="false" outlineLevel="0" collapsed="false">
      <c r="A97" s="27" t="n">
        <v>36872</v>
      </c>
      <c r="B97" s="16" t="n">
        <v>0</v>
      </c>
      <c r="C97" s="16" t="n">
        <v>0</v>
      </c>
      <c r="D97" s="16" t="n">
        <v>0</v>
      </c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-3.72529029846191E-009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0</v>
      </c>
      <c r="Q97" s="16" t="n">
        <v>0</v>
      </c>
      <c r="R97" s="16" t="n">
        <v>0</v>
      </c>
      <c r="S97" s="16" t="n">
        <v>0</v>
      </c>
      <c r="T97" s="16" t="n">
        <v>0</v>
      </c>
      <c r="U97" s="16" t="n">
        <v>0</v>
      </c>
      <c r="V97" s="16" t="n">
        <v>0</v>
      </c>
      <c r="W97" s="16"/>
      <c r="X97" s="16" t="n">
        <v>0</v>
      </c>
      <c r="Y97" s="16" t="n">
        <v>0</v>
      </c>
      <c r="Z97" s="16" t="n">
        <v>0</v>
      </c>
      <c r="AA97" s="16" t="n">
        <v>0</v>
      </c>
      <c r="AB97" s="16" t="n">
        <v>0</v>
      </c>
      <c r="AC97" s="16" t="n">
        <v>0</v>
      </c>
      <c r="AD97" s="16" t="n">
        <v>0</v>
      </c>
      <c r="AE97" s="16" t="n">
        <v>0</v>
      </c>
      <c r="AF97" s="16" t="n">
        <v>0</v>
      </c>
      <c r="AG97" s="16" t="n">
        <v>0</v>
      </c>
    </row>
    <row r="98" customFormat="false" ht="15.75" hidden="false" customHeight="false" outlineLevel="0" collapsed="false">
      <c r="A98" s="27" t="n">
        <v>36873</v>
      </c>
      <c r="B98" s="16" t="n">
        <v>0</v>
      </c>
      <c r="C98" s="16" t="n">
        <v>0</v>
      </c>
      <c r="D98" s="16" t="n">
        <v>0</v>
      </c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-3.72529029846191E-009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0</v>
      </c>
      <c r="Q98" s="16" t="n">
        <v>0</v>
      </c>
      <c r="R98" s="16" t="n">
        <v>0</v>
      </c>
      <c r="S98" s="16" t="n">
        <v>0</v>
      </c>
      <c r="T98" s="16" t="n">
        <v>0</v>
      </c>
      <c r="U98" s="16" t="n">
        <v>0</v>
      </c>
      <c r="V98" s="16" t="n">
        <v>0</v>
      </c>
      <c r="W98" s="16"/>
      <c r="X98" s="16" t="n">
        <v>0</v>
      </c>
      <c r="Y98" s="16" t="n">
        <v>0</v>
      </c>
      <c r="Z98" s="16" t="n">
        <v>0</v>
      </c>
      <c r="AA98" s="16" t="n">
        <v>0</v>
      </c>
      <c r="AB98" s="16" t="n">
        <v>0</v>
      </c>
      <c r="AC98" s="16" t="n">
        <v>0</v>
      </c>
      <c r="AD98" s="16" t="n">
        <v>0</v>
      </c>
      <c r="AE98" s="16" t="n">
        <v>0</v>
      </c>
      <c r="AF98" s="16" t="n">
        <v>0</v>
      </c>
      <c r="AG98" s="16" t="n">
        <v>0</v>
      </c>
    </row>
    <row r="99" customFormat="false" ht="15.75" hidden="false" customHeight="false" outlineLevel="0" collapsed="false">
      <c r="A99" s="27" t="n">
        <v>36874</v>
      </c>
      <c r="B99" s="16" t="n">
        <v>0</v>
      </c>
      <c r="C99" s="16" t="n">
        <v>0</v>
      </c>
      <c r="D99" s="16" t="n">
        <v>0</v>
      </c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-3.72529029846191E-009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0</v>
      </c>
      <c r="Q99" s="16" t="n">
        <v>0</v>
      </c>
      <c r="R99" s="16" t="n">
        <v>0</v>
      </c>
      <c r="S99" s="16" t="n">
        <v>-44835.1200000001</v>
      </c>
      <c r="T99" s="16" t="n">
        <v>0</v>
      </c>
      <c r="U99" s="16" t="n">
        <v>0</v>
      </c>
      <c r="V99" s="16" t="n">
        <v>0</v>
      </c>
      <c r="W99" s="16"/>
      <c r="X99" s="16" t="n">
        <v>0</v>
      </c>
      <c r="Y99" s="16" t="n">
        <v>0</v>
      </c>
      <c r="Z99" s="16" t="n">
        <v>0</v>
      </c>
      <c r="AA99" s="16" t="n">
        <v>0</v>
      </c>
      <c r="AB99" s="16" t="n">
        <v>0</v>
      </c>
      <c r="AC99" s="16" t="n">
        <v>400000</v>
      </c>
      <c r="AD99" s="16" t="n">
        <v>-400000</v>
      </c>
      <c r="AE99" s="16" t="n">
        <v>0</v>
      </c>
      <c r="AF99" s="16" t="n">
        <v>0</v>
      </c>
      <c r="AG99" s="16" t="n">
        <v>0</v>
      </c>
    </row>
    <row r="100" customFormat="false" ht="15.75" hidden="false" customHeight="false" outlineLevel="0" collapsed="false">
      <c r="A100" s="27" t="n">
        <v>36875</v>
      </c>
      <c r="B100" s="16" t="n">
        <v>0</v>
      </c>
      <c r="C100" s="16" t="n">
        <v>0</v>
      </c>
      <c r="D100" s="16" t="n">
        <v>0</v>
      </c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-3.72529029846191E-009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0</v>
      </c>
      <c r="Q100" s="16" t="n">
        <v>0</v>
      </c>
      <c r="R100" s="16" t="n">
        <v>0</v>
      </c>
      <c r="S100" s="16" t="n">
        <v>0</v>
      </c>
      <c r="T100" s="16" t="n">
        <v>0</v>
      </c>
      <c r="U100" s="16" t="n">
        <v>0</v>
      </c>
      <c r="V100" s="16" t="n">
        <v>0</v>
      </c>
      <c r="W100" s="16"/>
      <c r="X100" s="16" t="n">
        <v>0</v>
      </c>
      <c r="Y100" s="16" t="n">
        <v>0</v>
      </c>
      <c r="Z100" s="16" t="n">
        <v>0</v>
      </c>
      <c r="AA100" s="16" t="n">
        <v>0</v>
      </c>
      <c r="AB100" s="16" t="n">
        <v>0</v>
      </c>
      <c r="AC100" s="16" t="n">
        <v>0</v>
      </c>
      <c r="AD100" s="16" t="n">
        <v>0</v>
      </c>
      <c r="AE100" s="16" t="n">
        <v>0</v>
      </c>
      <c r="AF100" s="16" t="n">
        <v>0</v>
      </c>
      <c r="AG100" s="16" t="n">
        <v>0</v>
      </c>
    </row>
    <row r="101" customFormat="false" ht="15.75" hidden="false" customHeight="false" outlineLevel="0" collapsed="false">
      <c r="A101" s="27" t="n">
        <v>36878</v>
      </c>
      <c r="B101" s="16" t="n">
        <v>0</v>
      </c>
      <c r="C101" s="16" t="n">
        <v>0</v>
      </c>
      <c r="D101" s="16" t="n">
        <v>0</v>
      </c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-3.72529029846191E-009</v>
      </c>
      <c r="L101" s="16" t="n">
        <v>0</v>
      </c>
      <c r="M101" s="16" t="n">
        <v>-69762.71</v>
      </c>
      <c r="N101" s="16" t="n">
        <v>0</v>
      </c>
      <c r="O101" s="16" t="n">
        <v>0</v>
      </c>
      <c r="P101" s="16" t="n">
        <v>0</v>
      </c>
      <c r="Q101" s="16" t="n">
        <v>0</v>
      </c>
      <c r="R101" s="16" t="n">
        <v>0</v>
      </c>
      <c r="S101" s="16" t="n">
        <v>0</v>
      </c>
      <c r="T101" s="16" t="n">
        <v>0</v>
      </c>
      <c r="U101" s="16" t="n">
        <v>0</v>
      </c>
      <c r="V101" s="16" t="n">
        <v>0</v>
      </c>
      <c r="W101" s="16"/>
      <c r="X101" s="16" t="n">
        <v>0</v>
      </c>
      <c r="Y101" s="16" t="n">
        <v>0</v>
      </c>
      <c r="Z101" s="16" t="n">
        <v>0</v>
      </c>
      <c r="AA101" s="16" t="n">
        <v>0</v>
      </c>
      <c r="AB101" s="16" t="n">
        <v>0</v>
      </c>
      <c r="AC101" s="16" t="n">
        <v>0</v>
      </c>
      <c r="AD101" s="16" t="n">
        <v>0</v>
      </c>
      <c r="AE101" s="16" t="n">
        <v>0</v>
      </c>
      <c r="AF101" s="16" t="n">
        <v>0</v>
      </c>
      <c r="AG101" s="16" t="n">
        <v>0</v>
      </c>
    </row>
    <row r="102" customFormat="false" ht="15.75" hidden="false" customHeight="false" outlineLevel="0" collapsed="false">
      <c r="A102" s="27" t="n">
        <v>36879</v>
      </c>
      <c r="B102" s="16" t="n">
        <v>0</v>
      </c>
      <c r="C102" s="16" t="n">
        <v>0</v>
      </c>
      <c r="D102" s="16" t="n">
        <v>0</v>
      </c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-3.72529029846191E-009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0</v>
      </c>
      <c r="Q102" s="16" t="n">
        <v>0</v>
      </c>
      <c r="R102" s="16" t="n">
        <v>0</v>
      </c>
      <c r="S102" s="16" t="n">
        <v>0</v>
      </c>
      <c r="T102" s="16" t="n">
        <v>0</v>
      </c>
      <c r="U102" s="16" t="n">
        <v>0</v>
      </c>
      <c r="V102" s="16" t="n">
        <v>0</v>
      </c>
      <c r="W102" s="16"/>
      <c r="X102" s="16" t="n">
        <v>0</v>
      </c>
      <c r="Y102" s="16" t="n">
        <v>0</v>
      </c>
      <c r="Z102" s="16" t="n">
        <v>0</v>
      </c>
      <c r="AA102" s="16" t="n">
        <v>0</v>
      </c>
      <c r="AB102" s="16" t="n">
        <v>0</v>
      </c>
      <c r="AC102" s="16" t="n">
        <v>-12514787.5</v>
      </c>
      <c r="AD102" s="16" t="n">
        <v>0</v>
      </c>
      <c r="AE102" s="16" t="n">
        <v>0</v>
      </c>
      <c r="AF102" s="16" t="n">
        <v>0</v>
      </c>
      <c r="AG102" s="16" t="n">
        <v>0</v>
      </c>
    </row>
    <row r="103" customFormat="false" ht="15.75" hidden="false" customHeight="false" outlineLevel="0" collapsed="false">
      <c r="A103" s="27" t="n">
        <v>36880</v>
      </c>
      <c r="B103" s="16" t="n">
        <v>0</v>
      </c>
      <c r="C103" s="16" t="n">
        <v>0</v>
      </c>
      <c r="D103" s="16" t="n">
        <f aca="false">-D58</f>
        <v>-84413.1600000002</v>
      </c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-3.72529029846191E-009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0</v>
      </c>
      <c r="Q103" s="16" t="n">
        <v>0</v>
      </c>
      <c r="R103" s="16" t="n">
        <v>0</v>
      </c>
      <c r="S103" s="16" t="n">
        <v>0</v>
      </c>
      <c r="T103" s="16" t="n">
        <v>0</v>
      </c>
      <c r="U103" s="16" t="n">
        <v>0</v>
      </c>
      <c r="V103" s="16" t="n">
        <v>0</v>
      </c>
      <c r="W103" s="16"/>
      <c r="X103" s="16" t="n">
        <v>0</v>
      </c>
      <c r="Y103" s="16" t="n">
        <v>0</v>
      </c>
      <c r="Z103" s="16" t="n">
        <v>0</v>
      </c>
      <c r="AA103" s="16" t="n">
        <v>0</v>
      </c>
      <c r="AB103" s="16" t="n">
        <v>0</v>
      </c>
      <c r="AC103" s="16" t="n">
        <v>0</v>
      </c>
      <c r="AD103" s="16" t="n">
        <v>0</v>
      </c>
      <c r="AE103" s="16" t="n">
        <v>0</v>
      </c>
      <c r="AF103" s="16" t="n">
        <v>0</v>
      </c>
      <c r="AG103" s="16" t="n">
        <v>0</v>
      </c>
    </row>
    <row r="104" customFormat="false" ht="15.75" hidden="false" customHeight="false" outlineLevel="0" collapsed="false">
      <c r="A104" s="27" t="n">
        <v>36881</v>
      </c>
      <c r="B104" s="16" t="n">
        <v>0</v>
      </c>
      <c r="C104" s="16" t="n">
        <v>0</v>
      </c>
      <c r="D104" s="16" t="n">
        <v>0</v>
      </c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-350000</v>
      </c>
      <c r="J104" s="16" t="n">
        <v>0</v>
      </c>
      <c r="K104" s="16" t="n">
        <v>-3.72529029846191E-009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0</v>
      </c>
      <c r="Q104" s="16" t="n">
        <v>0</v>
      </c>
      <c r="R104" s="16" t="n">
        <v>0</v>
      </c>
      <c r="S104" s="16" t="n">
        <v>0</v>
      </c>
      <c r="T104" s="16" t="n">
        <v>0</v>
      </c>
      <c r="U104" s="16" t="n">
        <v>0</v>
      </c>
      <c r="V104" s="16" t="n">
        <v>0</v>
      </c>
      <c r="W104" s="16"/>
      <c r="X104" s="16" t="n">
        <v>0</v>
      </c>
      <c r="Y104" s="16" t="n">
        <v>0</v>
      </c>
      <c r="Z104" s="16" t="n">
        <v>0</v>
      </c>
      <c r="AA104" s="16" t="n">
        <v>0</v>
      </c>
      <c r="AB104" s="16" t="n">
        <v>0</v>
      </c>
      <c r="AC104" s="16" t="n">
        <v>0</v>
      </c>
      <c r="AD104" s="16" t="n">
        <v>0</v>
      </c>
      <c r="AE104" s="16" t="n">
        <v>0</v>
      </c>
      <c r="AF104" s="16" t="n">
        <v>0</v>
      </c>
      <c r="AG104" s="16" t="n">
        <v>0</v>
      </c>
    </row>
    <row r="105" customFormat="false" ht="15.75" hidden="false" customHeight="false" outlineLevel="0" collapsed="false">
      <c r="A105" s="27" t="n">
        <v>36882</v>
      </c>
      <c r="B105" s="16" t="n">
        <v>0</v>
      </c>
      <c r="C105" s="16" t="n">
        <v>0</v>
      </c>
      <c r="D105" s="16" t="n">
        <v>0</v>
      </c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-3.72529029846191E-009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0</v>
      </c>
      <c r="Q105" s="16" t="n">
        <v>0</v>
      </c>
      <c r="R105" s="16" t="n">
        <v>0</v>
      </c>
      <c r="S105" s="16" t="n">
        <v>0</v>
      </c>
      <c r="T105" s="16" t="n">
        <v>0</v>
      </c>
      <c r="U105" s="16" t="n">
        <v>0</v>
      </c>
      <c r="V105" s="16" t="n">
        <v>0</v>
      </c>
      <c r="W105" s="16"/>
      <c r="X105" s="16" t="n">
        <v>0</v>
      </c>
      <c r="Y105" s="16" t="n">
        <v>0</v>
      </c>
      <c r="Z105" s="16" t="n">
        <v>0</v>
      </c>
      <c r="AA105" s="16" t="n">
        <v>0</v>
      </c>
      <c r="AB105" s="16" t="n">
        <v>0</v>
      </c>
      <c r="AC105" s="16" t="n">
        <v>0</v>
      </c>
      <c r="AD105" s="16" t="n">
        <v>0</v>
      </c>
      <c r="AE105" s="16" t="n">
        <v>0</v>
      </c>
      <c r="AF105" s="16" t="n">
        <v>0</v>
      </c>
      <c r="AG105" s="16" t="n">
        <v>0</v>
      </c>
    </row>
    <row r="106" customFormat="false" ht="15.75" hidden="false" customHeight="false" outlineLevel="0" collapsed="false">
      <c r="A106" s="27" t="n">
        <v>36886</v>
      </c>
      <c r="B106" s="16" t="n">
        <v>0</v>
      </c>
      <c r="C106" s="16" t="n">
        <v>0</v>
      </c>
      <c r="D106" s="16" t="n">
        <v>0</v>
      </c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-3.72529029846191E-009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0</v>
      </c>
      <c r="Q106" s="16" t="n">
        <v>0</v>
      </c>
      <c r="R106" s="16" t="n">
        <v>0</v>
      </c>
      <c r="S106" s="16" t="n">
        <v>0</v>
      </c>
      <c r="T106" s="16" t="n">
        <v>0</v>
      </c>
      <c r="U106" s="16" t="n">
        <v>0</v>
      </c>
      <c r="V106" s="16" t="n">
        <v>0</v>
      </c>
      <c r="W106" s="16"/>
      <c r="X106" s="16" t="n">
        <v>0</v>
      </c>
      <c r="Y106" s="16" t="n">
        <v>0</v>
      </c>
      <c r="Z106" s="16" t="n">
        <v>0</v>
      </c>
      <c r="AA106" s="16" t="n">
        <v>0</v>
      </c>
      <c r="AB106" s="16" t="n">
        <v>0</v>
      </c>
      <c r="AC106" s="16" t="n">
        <v>0</v>
      </c>
      <c r="AD106" s="16" t="n">
        <v>0</v>
      </c>
      <c r="AE106" s="16" t="n">
        <v>0</v>
      </c>
      <c r="AF106" s="16" t="n">
        <v>0</v>
      </c>
      <c r="AG106" s="16" t="n">
        <v>0</v>
      </c>
    </row>
    <row r="107" customFormat="false" ht="15.75" hidden="false" customHeight="false" outlineLevel="0" collapsed="false">
      <c r="A107" s="27" t="n">
        <v>36887</v>
      </c>
      <c r="B107" s="16" t="n">
        <v>0</v>
      </c>
      <c r="C107" s="16" t="n">
        <v>0</v>
      </c>
      <c r="D107" s="16" t="n">
        <v>0</v>
      </c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-3.72529029846191E-009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0</v>
      </c>
      <c r="Q107" s="16" t="n">
        <v>0</v>
      </c>
      <c r="R107" s="16" t="n">
        <v>0</v>
      </c>
      <c r="S107" s="16" t="n">
        <v>0</v>
      </c>
      <c r="T107" s="16" t="n">
        <v>0</v>
      </c>
      <c r="U107" s="16" t="n">
        <v>0</v>
      </c>
      <c r="V107" s="16" t="n">
        <v>0</v>
      </c>
      <c r="W107" s="16"/>
      <c r="X107" s="16" t="n">
        <v>0</v>
      </c>
      <c r="Y107" s="16" t="n">
        <v>0</v>
      </c>
      <c r="Z107" s="16" t="n">
        <v>0</v>
      </c>
      <c r="AA107" s="16" t="n">
        <v>0</v>
      </c>
      <c r="AB107" s="16" t="n">
        <v>0</v>
      </c>
      <c r="AC107" s="16" t="n">
        <v>0</v>
      </c>
      <c r="AD107" s="16" t="n">
        <v>0</v>
      </c>
      <c r="AE107" s="16" t="n">
        <v>0</v>
      </c>
      <c r="AF107" s="16" t="n">
        <v>0</v>
      </c>
      <c r="AG107" s="16" t="n">
        <v>0</v>
      </c>
    </row>
    <row r="108" customFormat="false" ht="15.75" hidden="false" customHeight="false" outlineLevel="0" collapsed="false">
      <c r="A108" s="27" t="n">
        <v>36888</v>
      </c>
      <c r="B108" s="16" t="n">
        <v>0</v>
      </c>
      <c r="C108" s="16" t="n">
        <v>0</v>
      </c>
      <c r="D108" s="16" t="n">
        <v>0</v>
      </c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-3.72529029846191E-009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0</v>
      </c>
      <c r="Q108" s="16" t="n">
        <v>0</v>
      </c>
      <c r="R108" s="16" t="n">
        <v>0</v>
      </c>
      <c r="S108" s="16" t="n">
        <v>0</v>
      </c>
      <c r="T108" s="16" t="n">
        <v>0</v>
      </c>
      <c r="U108" s="16" t="n">
        <v>0</v>
      </c>
      <c r="V108" s="16" t="n">
        <v>0</v>
      </c>
      <c r="W108" s="16"/>
      <c r="X108" s="16" t="n">
        <v>0</v>
      </c>
      <c r="Y108" s="16" t="n">
        <v>0</v>
      </c>
      <c r="Z108" s="16" t="n">
        <v>0</v>
      </c>
      <c r="AA108" s="16" t="n">
        <v>0</v>
      </c>
      <c r="AB108" s="16" t="n">
        <v>0</v>
      </c>
      <c r="AC108" s="16" t="n">
        <v>0</v>
      </c>
      <c r="AD108" s="16" t="n">
        <v>0</v>
      </c>
      <c r="AE108" s="16" t="n">
        <v>0</v>
      </c>
      <c r="AF108" s="16" t="n">
        <v>0</v>
      </c>
      <c r="AG108" s="16" t="n">
        <v>0</v>
      </c>
    </row>
    <row r="109" customFormat="false" ht="15.75" hidden="false" customHeight="false" outlineLevel="0" collapsed="false">
      <c r="A109" s="27" t="n">
        <v>36889</v>
      </c>
      <c r="B109" s="16" t="n">
        <v>0</v>
      </c>
      <c r="C109" s="16" t="n">
        <v>0</v>
      </c>
      <c r="D109" s="16" t="n">
        <v>0</v>
      </c>
      <c r="E109" s="16" t="n">
        <v>-182250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-125000</v>
      </c>
      <c r="K109" s="16" t="n">
        <v>-3.72529029846191E-009</v>
      </c>
      <c r="L109" s="16" t="n">
        <v>0</v>
      </c>
      <c r="M109" s="16" t="n">
        <v>-67554.8600000001</v>
      </c>
      <c r="N109" s="16" t="n">
        <v>0</v>
      </c>
      <c r="O109" s="16" t="n">
        <v>0</v>
      </c>
      <c r="P109" s="16" t="n">
        <v>0</v>
      </c>
      <c r="Q109" s="16" t="n">
        <v>0</v>
      </c>
      <c r="R109" s="16" t="n">
        <v>0</v>
      </c>
      <c r="S109" s="16" t="n">
        <v>0</v>
      </c>
      <c r="T109" s="16" t="n">
        <v>0</v>
      </c>
      <c r="U109" s="16" t="n">
        <v>0</v>
      </c>
      <c r="V109" s="16" t="n">
        <v>-2092500</v>
      </c>
      <c r="W109" s="16"/>
      <c r="X109" s="16" t="n">
        <v>0</v>
      </c>
      <c r="Y109" s="16" t="n">
        <v>0</v>
      </c>
      <c r="Z109" s="16" t="n">
        <v>0</v>
      </c>
      <c r="AA109" s="16" t="n">
        <v>0</v>
      </c>
      <c r="AB109" s="16" t="n">
        <v>0</v>
      </c>
      <c r="AC109" s="16" t="n">
        <v>-650000</v>
      </c>
      <c r="AD109" s="16" t="n">
        <v>0</v>
      </c>
      <c r="AE109" s="16" t="n">
        <v>0</v>
      </c>
      <c r="AF109" s="16" t="n">
        <v>0</v>
      </c>
      <c r="AG109" s="16" t="n">
        <v>0</v>
      </c>
    </row>
    <row r="110" customFormat="false" ht="15.75" hidden="false" customHeight="false" outlineLevel="0" collapsed="false">
      <c r="A110" s="27" t="n">
        <v>36893</v>
      </c>
      <c r="B110" s="16" t="n">
        <v>0</v>
      </c>
      <c r="C110" s="16" t="n">
        <v>0</v>
      </c>
      <c r="D110" s="16" t="n">
        <v>0</v>
      </c>
      <c r="E110" s="16"/>
      <c r="F110" s="16" t="n">
        <v>0</v>
      </c>
      <c r="G110" s="16" t="n">
        <v>0</v>
      </c>
      <c r="H110" s="16" t="n">
        <v>0</v>
      </c>
      <c r="I110" s="16" t="n">
        <v>0</v>
      </c>
      <c r="J110" s="16"/>
      <c r="K110" s="16" t="n">
        <v>-3.72529029846191E-009</v>
      </c>
      <c r="L110" s="16" t="n">
        <v>0</v>
      </c>
      <c r="M110" s="16" t="n">
        <v>0</v>
      </c>
      <c r="N110" s="16" t="n">
        <v>0</v>
      </c>
      <c r="O110" s="16" t="n">
        <v>0</v>
      </c>
      <c r="P110" s="16" t="n">
        <v>0</v>
      </c>
      <c r="Q110" s="16" t="n">
        <v>0</v>
      </c>
      <c r="R110" s="16" t="n">
        <v>0</v>
      </c>
      <c r="S110" s="16" t="n">
        <v>0</v>
      </c>
      <c r="T110" s="16" t="n">
        <v>0</v>
      </c>
      <c r="U110" s="16" t="n">
        <v>0</v>
      </c>
      <c r="V110" s="16"/>
      <c r="W110" s="16"/>
      <c r="X110" s="16" t="n">
        <v>0</v>
      </c>
      <c r="Y110" s="16" t="n">
        <v>0</v>
      </c>
      <c r="Z110" s="16" t="n">
        <v>0</v>
      </c>
      <c r="AA110" s="16" t="n">
        <v>0</v>
      </c>
      <c r="AB110" s="16" t="n">
        <v>0</v>
      </c>
      <c r="AC110" s="16" t="n">
        <v>0</v>
      </c>
      <c r="AD110" s="16" t="n">
        <v>0</v>
      </c>
      <c r="AE110" s="16" t="n">
        <v>0</v>
      </c>
      <c r="AF110" s="16" t="n">
        <v>0</v>
      </c>
      <c r="AG110" s="16" t="n">
        <v>0</v>
      </c>
    </row>
    <row r="111" customFormat="false" ht="15.75" hidden="false" customHeight="false" outlineLevel="0" collapsed="false">
      <c r="A111" s="27" t="n">
        <v>36894</v>
      </c>
      <c r="B111" s="16" t="n">
        <v>0</v>
      </c>
      <c r="C111" s="16" t="n">
        <v>0</v>
      </c>
      <c r="D111" s="16" t="n">
        <v>0</v>
      </c>
      <c r="E111" s="16"/>
      <c r="F111" s="16" t="n">
        <v>0</v>
      </c>
      <c r="G111" s="16" t="n">
        <v>0</v>
      </c>
      <c r="H111" s="16" t="n">
        <v>0</v>
      </c>
      <c r="I111" s="16" t="n">
        <v>0</v>
      </c>
      <c r="J111" s="16"/>
      <c r="K111" s="16" t="n">
        <v>-3.72529029846191E-009</v>
      </c>
      <c r="L111" s="16" t="n">
        <v>0</v>
      </c>
      <c r="M111" s="16" t="n">
        <v>0</v>
      </c>
      <c r="N111" s="16" t="n">
        <v>0</v>
      </c>
      <c r="O111" s="16" t="n">
        <v>0</v>
      </c>
      <c r="P111" s="16" t="n">
        <v>0</v>
      </c>
      <c r="Q111" s="16" t="n">
        <v>0</v>
      </c>
      <c r="R111" s="16" t="n">
        <v>0</v>
      </c>
      <c r="S111" s="16" t="n">
        <v>0</v>
      </c>
      <c r="T111" s="16" t="n">
        <v>0</v>
      </c>
      <c r="U111" s="16" t="n">
        <v>0</v>
      </c>
      <c r="V111" s="16"/>
      <c r="W111" s="16"/>
      <c r="X111" s="16" t="n">
        <v>0</v>
      </c>
      <c r="Y111" s="16" t="n">
        <v>0</v>
      </c>
      <c r="Z111" s="16" t="n">
        <v>0</v>
      </c>
      <c r="AA111" s="16" t="n">
        <v>0</v>
      </c>
      <c r="AB111" s="16" t="n">
        <v>0</v>
      </c>
      <c r="AC111" s="16" t="n">
        <v>0</v>
      </c>
      <c r="AD111" s="16" t="n">
        <v>0</v>
      </c>
      <c r="AE111" s="16" t="n">
        <v>0</v>
      </c>
      <c r="AF111" s="16" t="n">
        <v>0</v>
      </c>
      <c r="AG111" s="16" t="n">
        <v>0</v>
      </c>
    </row>
    <row r="112" customFormat="false" ht="15.75" hidden="false" customHeight="false" outlineLevel="0" collapsed="false">
      <c r="A112" s="27" t="n">
        <v>36895</v>
      </c>
      <c r="B112" s="16" t="n">
        <v>0</v>
      </c>
      <c r="C112" s="16" t="n">
        <v>0</v>
      </c>
      <c r="D112" s="16" t="n">
        <v>0</v>
      </c>
      <c r="E112" s="16"/>
      <c r="F112" s="16" t="n">
        <v>0</v>
      </c>
      <c r="G112" s="16" t="n">
        <v>0</v>
      </c>
      <c r="H112" s="16" t="n">
        <v>0</v>
      </c>
      <c r="I112" s="16" t="n">
        <v>0</v>
      </c>
      <c r="J112" s="16"/>
      <c r="K112" s="16" t="n">
        <v>-3.72529029846191E-009</v>
      </c>
      <c r="L112" s="16" t="n">
        <v>0</v>
      </c>
      <c r="M112" s="16" t="n">
        <v>0</v>
      </c>
      <c r="N112" s="16" t="n">
        <v>0</v>
      </c>
      <c r="O112" s="16" t="n">
        <v>0</v>
      </c>
      <c r="P112" s="16" t="n">
        <v>0</v>
      </c>
      <c r="Q112" s="16" t="n">
        <v>0</v>
      </c>
      <c r="R112" s="16" t="n">
        <v>0</v>
      </c>
      <c r="S112" s="16" t="n">
        <v>0</v>
      </c>
      <c r="T112" s="16" t="n">
        <v>0</v>
      </c>
      <c r="U112" s="16" t="n">
        <v>0</v>
      </c>
      <c r="V112" s="16"/>
      <c r="W112" s="16"/>
      <c r="X112" s="16" t="n">
        <v>0</v>
      </c>
      <c r="Y112" s="16" t="n">
        <v>0</v>
      </c>
      <c r="Z112" s="16" t="n">
        <v>0</v>
      </c>
      <c r="AA112" s="16" t="n">
        <v>0</v>
      </c>
      <c r="AB112" s="16" t="n">
        <v>0</v>
      </c>
      <c r="AC112" s="16" t="n">
        <v>0</v>
      </c>
      <c r="AD112" s="16" t="n">
        <v>0</v>
      </c>
      <c r="AE112" s="16" t="n">
        <v>0</v>
      </c>
      <c r="AF112" s="16" t="n">
        <v>0</v>
      </c>
      <c r="AG112" s="16" t="n">
        <v>0</v>
      </c>
    </row>
    <row r="113" customFormat="false" ht="15.75" hidden="false" customHeight="false" outlineLevel="0" collapsed="false">
      <c r="A113" s="27" t="n">
        <v>36896</v>
      </c>
      <c r="B113" s="16" t="n">
        <v>0</v>
      </c>
      <c r="C113" s="16" t="n">
        <v>0</v>
      </c>
      <c r="D113" s="16" t="n">
        <v>0</v>
      </c>
      <c r="E113" s="16"/>
      <c r="F113" s="16" t="n">
        <v>0</v>
      </c>
      <c r="G113" s="16" t="n">
        <v>0</v>
      </c>
      <c r="H113" s="16" t="n">
        <v>0</v>
      </c>
      <c r="I113" s="16" t="n">
        <v>0</v>
      </c>
      <c r="J113" s="16"/>
      <c r="K113" s="16" t="n">
        <v>-3.72529029846191E-009</v>
      </c>
      <c r="L113" s="16" t="n">
        <v>0</v>
      </c>
      <c r="M113" s="16" t="n">
        <v>0</v>
      </c>
      <c r="N113" s="16" t="n">
        <v>0</v>
      </c>
      <c r="O113" s="16" t="n">
        <v>0</v>
      </c>
      <c r="P113" s="16" t="n">
        <v>0</v>
      </c>
      <c r="Q113" s="16" t="n">
        <v>0</v>
      </c>
      <c r="R113" s="16" t="n">
        <v>0</v>
      </c>
      <c r="S113" s="16" t="n">
        <v>0</v>
      </c>
      <c r="T113" s="16" t="n">
        <v>0</v>
      </c>
      <c r="U113" s="16" t="n">
        <v>0</v>
      </c>
      <c r="V113" s="16"/>
      <c r="W113" s="16"/>
      <c r="X113" s="16" t="n">
        <v>0</v>
      </c>
      <c r="Y113" s="16" t="n">
        <v>0</v>
      </c>
      <c r="Z113" s="16" t="n">
        <v>0</v>
      </c>
      <c r="AA113" s="16" t="n">
        <v>0</v>
      </c>
      <c r="AB113" s="16" t="n">
        <v>0</v>
      </c>
      <c r="AC113" s="16" t="n">
        <v>0</v>
      </c>
      <c r="AD113" s="16" t="n">
        <v>0</v>
      </c>
      <c r="AE113" s="16" t="n">
        <v>0</v>
      </c>
      <c r="AF113" s="16" t="n">
        <v>0</v>
      </c>
      <c r="AG113" s="16" t="n">
        <v>0</v>
      </c>
    </row>
    <row r="114" customFormat="false" ht="15.75" hidden="false" customHeight="false" outlineLevel="0" collapsed="false">
      <c r="A114" s="27" t="n">
        <v>36899</v>
      </c>
      <c r="B114" s="16" t="n">
        <v>0</v>
      </c>
      <c r="C114" s="16" t="n">
        <v>0</v>
      </c>
      <c r="D114" s="16" t="n">
        <v>0</v>
      </c>
      <c r="E114" s="16"/>
      <c r="F114" s="16" t="n">
        <v>0</v>
      </c>
      <c r="G114" s="16" t="n">
        <v>0</v>
      </c>
      <c r="H114" s="16" t="n">
        <v>0</v>
      </c>
      <c r="I114" s="16" t="n">
        <v>0</v>
      </c>
      <c r="J114" s="16"/>
      <c r="K114" s="16" t="n">
        <v>-3.72529029846191E-009</v>
      </c>
      <c r="L114" s="16" t="n">
        <v>0</v>
      </c>
      <c r="M114" s="16" t="n">
        <v>0</v>
      </c>
      <c r="N114" s="16" t="n">
        <v>0</v>
      </c>
      <c r="O114" s="16" t="n">
        <v>0</v>
      </c>
      <c r="P114" s="16" t="n">
        <v>0</v>
      </c>
      <c r="Q114" s="16" t="n">
        <v>0</v>
      </c>
      <c r="R114" s="16" t="n">
        <v>0</v>
      </c>
      <c r="S114" s="16" t="n">
        <v>0</v>
      </c>
      <c r="T114" s="16" t="n">
        <v>0</v>
      </c>
      <c r="U114" s="16" t="n">
        <v>0</v>
      </c>
      <c r="V114" s="16"/>
      <c r="W114" s="16"/>
      <c r="X114" s="16" t="n">
        <v>0</v>
      </c>
      <c r="Y114" s="16" t="n">
        <v>0</v>
      </c>
      <c r="Z114" s="16" t="n">
        <v>0</v>
      </c>
      <c r="AA114" s="16" t="n">
        <v>0</v>
      </c>
      <c r="AB114" s="16" t="n">
        <v>0</v>
      </c>
      <c r="AC114" s="16" t="n">
        <v>0</v>
      </c>
      <c r="AD114" s="16" t="n">
        <v>0</v>
      </c>
      <c r="AE114" s="16" t="n">
        <v>0</v>
      </c>
      <c r="AF114" s="16" t="n">
        <v>0</v>
      </c>
      <c r="AG114" s="16" t="n">
        <v>0</v>
      </c>
    </row>
    <row r="115" customFormat="false" ht="15.75" hidden="false" customHeight="false" outlineLevel="0" collapsed="false">
      <c r="A115" s="27" t="n">
        <v>36900</v>
      </c>
      <c r="B115" s="16" t="n">
        <v>0</v>
      </c>
      <c r="C115" s="16" t="n">
        <v>0</v>
      </c>
      <c r="D115" s="16" t="n">
        <v>0</v>
      </c>
      <c r="E115" s="16"/>
      <c r="F115" s="16"/>
      <c r="G115" s="16"/>
      <c r="H115" s="16" t="n">
        <v>0</v>
      </c>
      <c r="I115" s="16" t="n">
        <v>0</v>
      </c>
      <c r="J115" s="16"/>
      <c r="K115" s="16" t="n">
        <v>-3.72529029846191E-009</v>
      </c>
      <c r="L115" s="16" t="n">
        <v>0</v>
      </c>
      <c r="M115" s="16" t="n">
        <v>0</v>
      </c>
      <c r="N115" s="16" t="n">
        <v>0</v>
      </c>
      <c r="O115" s="16" t="n">
        <v>0</v>
      </c>
      <c r="P115" s="16" t="n">
        <v>0</v>
      </c>
      <c r="Q115" s="16" t="n">
        <v>0</v>
      </c>
      <c r="R115" s="16" t="n">
        <v>0</v>
      </c>
      <c r="S115" s="16" t="n">
        <v>0</v>
      </c>
      <c r="T115" s="16" t="n">
        <v>0</v>
      </c>
      <c r="U115" s="16" t="n">
        <v>0</v>
      </c>
      <c r="V115" s="16"/>
      <c r="W115" s="16"/>
      <c r="X115" s="16" t="n">
        <v>0</v>
      </c>
      <c r="Y115" s="16" t="n">
        <v>0</v>
      </c>
      <c r="Z115" s="16" t="n">
        <v>0</v>
      </c>
      <c r="AA115" s="16" t="n">
        <v>0</v>
      </c>
      <c r="AB115" s="16" t="n">
        <v>0</v>
      </c>
      <c r="AC115" s="16" t="n">
        <v>0</v>
      </c>
      <c r="AD115" s="16" t="n">
        <v>0</v>
      </c>
      <c r="AE115" s="16" t="n">
        <v>0</v>
      </c>
      <c r="AF115" s="16" t="n">
        <v>0</v>
      </c>
      <c r="AG115" s="16" t="n">
        <v>0</v>
      </c>
    </row>
    <row r="116" customFormat="false" ht="15.75" hidden="false" customHeight="false" outlineLevel="0" collapsed="false">
      <c r="A116" s="27" t="n">
        <v>36901</v>
      </c>
      <c r="B116" s="16" t="n">
        <v>0</v>
      </c>
      <c r="C116" s="16" t="n">
        <v>0</v>
      </c>
      <c r="D116" s="16" t="n">
        <v>0</v>
      </c>
      <c r="E116" s="16"/>
      <c r="F116" s="16"/>
      <c r="G116" s="16"/>
      <c r="H116" s="16" t="n">
        <v>0</v>
      </c>
      <c r="I116" s="16" t="n">
        <v>0</v>
      </c>
      <c r="J116" s="16"/>
      <c r="K116" s="16" t="n">
        <v>-3.72529029846191E-009</v>
      </c>
      <c r="L116" s="16" t="n">
        <v>0</v>
      </c>
      <c r="M116" s="16" t="n">
        <v>0</v>
      </c>
      <c r="N116" s="16" t="n">
        <v>0</v>
      </c>
      <c r="O116" s="16" t="n">
        <v>0</v>
      </c>
      <c r="P116" s="16" t="n">
        <v>0</v>
      </c>
      <c r="Q116" s="16" t="n">
        <v>0</v>
      </c>
      <c r="R116" s="16" t="n">
        <v>0</v>
      </c>
      <c r="S116" s="16" t="n">
        <v>0</v>
      </c>
      <c r="T116" s="16" t="n">
        <v>0</v>
      </c>
      <c r="U116" s="16" t="n">
        <v>0</v>
      </c>
      <c r="V116" s="16"/>
      <c r="W116" s="16"/>
      <c r="X116" s="16" t="n">
        <v>0</v>
      </c>
      <c r="Y116" s="16" t="n">
        <v>0</v>
      </c>
      <c r="Z116" s="16" t="n">
        <v>0</v>
      </c>
      <c r="AA116" s="16" t="n">
        <v>0</v>
      </c>
      <c r="AB116" s="16" t="n">
        <v>0</v>
      </c>
      <c r="AC116" s="16" t="n">
        <v>0</v>
      </c>
      <c r="AD116" s="16" t="n">
        <v>0</v>
      </c>
      <c r="AE116" s="16" t="n">
        <v>0</v>
      </c>
      <c r="AF116" s="16" t="n">
        <v>0</v>
      </c>
      <c r="AG116" s="16" t="n">
        <v>0</v>
      </c>
    </row>
    <row r="117" customFormat="false" ht="15.75" hidden="false" customHeight="false" outlineLevel="0" collapsed="false">
      <c r="A117" s="27" t="n">
        <v>36902</v>
      </c>
      <c r="B117" s="16" t="n">
        <v>0</v>
      </c>
      <c r="C117" s="16" t="n">
        <v>0</v>
      </c>
      <c r="D117" s="16" t="n">
        <v>0</v>
      </c>
      <c r="E117" s="16"/>
      <c r="F117" s="16"/>
      <c r="G117" s="16"/>
      <c r="H117" s="16" t="n">
        <v>0</v>
      </c>
      <c r="I117" s="16" t="n">
        <v>0</v>
      </c>
      <c r="J117" s="16"/>
      <c r="K117" s="16" t="n">
        <v>-3.72529029846191E-009</v>
      </c>
      <c r="L117" s="16" t="n">
        <v>0</v>
      </c>
      <c r="M117" s="16" t="n">
        <v>0</v>
      </c>
      <c r="N117" s="16" t="n">
        <v>0</v>
      </c>
      <c r="O117" s="16" t="n">
        <v>0</v>
      </c>
      <c r="P117" s="16" t="n">
        <v>0</v>
      </c>
      <c r="Q117" s="16" t="n">
        <v>0</v>
      </c>
      <c r="R117" s="16" t="n">
        <v>0</v>
      </c>
      <c r="S117" s="16" t="n">
        <v>0</v>
      </c>
      <c r="T117" s="16" t="n">
        <v>0</v>
      </c>
      <c r="U117" s="16" t="n">
        <v>0</v>
      </c>
      <c r="V117" s="16"/>
      <c r="W117" s="16"/>
      <c r="X117" s="16" t="n">
        <v>0</v>
      </c>
      <c r="Y117" s="16" t="n">
        <v>0</v>
      </c>
      <c r="Z117" s="16" t="n">
        <v>0</v>
      </c>
      <c r="AA117" s="16" t="n">
        <v>0</v>
      </c>
      <c r="AB117" s="16" t="n">
        <v>0</v>
      </c>
      <c r="AC117" s="16" t="n">
        <v>0</v>
      </c>
      <c r="AD117" s="16" t="n">
        <v>0</v>
      </c>
      <c r="AE117" s="16" t="n">
        <v>0</v>
      </c>
      <c r="AF117" s="16" t="n">
        <v>0</v>
      </c>
      <c r="AG117" s="16" t="n">
        <v>0</v>
      </c>
    </row>
    <row r="118" customFormat="false" ht="15.75" hidden="false" customHeight="false" outlineLevel="0" collapsed="false">
      <c r="A118" s="27" t="n">
        <v>36903</v>
      </c>
      <c r="B118" s="16" t="n">
        <v>0</v>
      </c>
      <c r="C118" s="16" t="n">
        <v>0</v>
      </c>
      <c r="D118" s="16" t="n">
        <v>0</v>
      </c>
      <c r="E118" s="16"/>
      <c r="F118" s="16"/>
      <c r="G118" s="16"/>
      <c r="H118" s="16" t="n">
        <v>0</v>
      </c>
      <c r="I118" s="16" t="n">
        <v>0</v>
      </c>
      <c r="J118" s="16"/>
      <c r="K118" s="16" t="n">
        <v>-3.72529029846191E-009</v>
      </c>
      <c r="L118" s="16" t="n">
        <v>0</v>
      </c>
      <c r="M118" s="16" t="n">
        <v>0</v>
      </c>
      <c r="N118" s="16" t="n">
        <v>0</v>
      </c>
      <c r="O118" s="16" t="n">
        <v>0</v>
      </c>
      <c r="P118" s="16" t="n">
        <v>0</v>
      </c>
      <c r="Q118" s="16" t="n">
        <v>0</v>
      </c>
      <c r="R118" s="16" t="n">
        <v>0</v>
      </c>
      <c r="S118" s="16" t="n">
        <v>0</v>
      </c>
      <c r="T118" s="16" t="n">
        <v>0</v>
      </c>
      <c r="U118" s="16" t="n">
        <v>0</v>
      </c>
      <c r="V118" s="16"/>
      <c r="W118" s="16"/>
      <c r="X118" s="16" t="n">
        <v>0</v>
      </c>
      <c r="Y118" s="16" t="n">
        <v>0</v>
      </c>
      <c r="Z118" s="16" t="n">
        <v>0</v>
      </c>
      <c r="AA118" s="16" t="n">
        <v>0</v>
      </c>
      <c r="AB118" s="16" t="n">
        <v>0</v>
      </c>
      <c r="AC118" s="16" t="n">
        <v>0</v>
      </c>
      <c r="AD118" s="16" t="n">
        <v>0</v>
      </c>
      <c r="AE118" s="16" t="n">
        <v>0</v>
      </c>
      <c r="AF118" s="16" t="n">
        <v>0</v>
      </c>
      <c r="AG118" s="16" t="n">
        <v>0</v>
      </c>
    </row>
    <row r="119" customFormat="false" ht="15.75" hidden="false" customHeight="false" outlineLevel="0" collapsed="false">
      <c r="A119" s="27" t="n">
        <v>36907</v>
      </c>
      <c r="B119" s="16" t="n">
        <v>0</v>
      </c>
      <c r="C119" s="16" t="n">
        <v>0</v>
      </c>
      <c r="D119" s="16" t="n">
        <v>0</v>
      </c>
      <c r="E119" s="16"/>
      <c r="F119" s="16"/>
      <c r="G119" s="16"/>
      <c r="H119" s="16" t="n">
        <v>0</v>
      </c>
      <c r="I119" s="16" t="n">
        <v>0</v>
      </c>
      <c r="J119" s="16"/>
      <c r="K119" s="16" t="n">
        <v>-3.72529029846191E-009</v>
      </c>
      <c r="L119" s="16" t="n">
        <v>0</v>
      </c>
      <c r="M119" s="16" t="n">
        <v>0</v>
      </c>
      <c r="N119" s="16" t="n">
        <v>0</v>
      </c>
      <c r="O119" s="16" t="n">
        <v>0</v>
      </c>
      <c r="P119" s="16" t="n">
        <v>0</v>
      </c>
      <c r="Q119" s="16" t="n">
        <v>0</v>
      </c>
      <c r="R119" s="16" t="n">
        <v>0</v>
      </c>
      <c r="S119" s="16" t="n">
        <v>0</v>
      </c>
      <c r="T119" s="16" t="n">
        <v>0</v>
      </c>
      <c r="U119" s="16" t="n">
        <v>0</v>
      </c>
      <c r="V119" s="16"/>
      <c r="W119" s="16"/>
      <c r="X119" s="16" t="n">
        <v>0</v>
      </c>
      <c r="Y119" s="16" t="n">
        <v>0</v>
      </c>
      <c r="Z119" s="16" t="n">
        <v>0</v>
      </c>
      <c r="AA119" s="16" t="n">
        <v>0</v>
      </c>
      <c r="AB119" s="16" t="n">
        <v>0</v>
      </c>
      <c r="AC119" s="16" t="n">
        <v>0</v>
      </c>
      <c r="AD119" s="16" t="n">
        <v>0</v>
      </c>
      <c r="AE119" s="16" t="n">
        <v>0</v>
      </c>
      <c r="AF119" s="16" t="n">
        <v>0</v>
      </c>
      <c r="AG119" s="16" t="n">
        <v>0</v>
      </c>
    </row>
    <row r="120" customFormat="false" ht="15.75" hidden="false" customHeight="false" outlineLevel="0" collapsed="false">
      <c r="A120" s="27" t="n">
        <v>36908</v>
      </c>
      <c r="B120" s="16" t="n">
        <v>0</v>
      </c>
      <c r="C120" s="16" t="n">
        <v>0</v>
      </c>
      <c r="D120" s="16" t="n">
        <v>0</v>
      </c>
      <c r="E120" s="16"/>
      <c r="F120" s="16"/>
      <c r="G120" s="16"/>
      <c r="H120" s="16" t="n">
        <v>0</v>
      </c>
      <c r="I120" s="16" t="n">
        <v>0</v>
      </c>
      <c r="J120" s="16"/>
      <c r="K120" s="16" t="n">
        <v>-3.72529029846191E-009</v>
      </c>
      <c r="L120" s="16" t="n">
        <v>0</v>
      </c>
      <c r="M120" s="16" t="n">
        <v>0</v>
      </c>
      <c r="N120" s="16" t="n">
        <v>0</v>
      </c>
      <c r="O120" s="16" t="n">
        <v>0</v>
      </c>
      <c r="P120" s="16" t="n">
        <v>0</v>
      </c>
      <c r="Q120" s="16" t="n">
        <v>0</v>
      </c>
      <c r="R120" s="16" t="n">
        <v>0</v>
      </c>
      <c r="S120" s="16" t="n">
        <v>0</v>
      </c>
      <c r="T120" s="16" t="n">
        <v>0</v>
      </c>
      <c r="U120" s="16" t="n">
        <v>0</v>
      </c>
      <c r="V120" s="16"/>
      <c r="W120" s="16"/>
      <c r="X120" s="16" t="n">
        <v>0</v>
      </c>
      <c r="Y120" s="16" t="n">
        <v>0</v>
      </c>
      <c r="Z120" s="16" t="n">
        <v>0</v>
      </c>
      <c r="AA120" s="16" t="n">
        <v>0</v>
      </c>
      <c r="AB120" s="16" t="n">
        <v>0</v>
      </c>
      <c r="AC120" s="16" t="n">
        <v>0</v>
      </c>
      <c r="AD120" s="16" t="n">
        <v>0</v>
      </c>
      <c r="AE120" s="16" t="n">
        <v>0</v>
      </c>
      <c r="AF120" s="16" t="n">
        <v>0</v>
      </c>
      <c r="AG120" s="16" t="n">
        <v>0</v>
      </c>
    </row>
    <row r="121" customFormat="false" ht="15.75" hidden="false" customHeight="false" outlineLevel="0" collapsed="false">
      <c r="A121" s="27" t="n">
        <v>36909</v>
      </c>
      <c r="B121" s="16" t="n">
        <v>0</v>
      </c>
      <c r="C121" s="16" t="n">
        <v>0</v>
      </c>
      <c r="D121" s="16" t="n">
        <v>0</v>
      </c>
      <c r="E121" s="16"/>
      <c r="F121" s="16"/>
      <c r="G121" s="16"/>
      <c r="H121" s="16" t="n">
        <v>0</v>
      </c>
      <c r="I121" s="16" t="n">
        <v>0</v>
      </c>
      <c r="J121" s="16"/>
      <c r="K121" s="16" t="n">
        <v>-3.72529029846191E-009</v>
      </c>
      <c r="L121" s="16" t="n">
        <v>0</v>
      </c>
      <c r="M121" s="16" t="n">
        <v>0</v>
      </c>
      <c r="N121" s="16" t="n">
        <v>0</v>
      </c>
      <c r="O121" s="16" t="n">
        <v>0</v>
      </c>
      <c r="P121" s="16" t="n">
        <v>0</v>
      </c>
      <c r="Q121" s="16" t="n">
        <v>0</v>
      </c>
      <c r="R121" s="16" t="n">
        <v>0</v>
      </c>
      <c r="S121" s="16" t="n">
        <v>0</v>
      </c>
      <c r="T121" s="16" t="n">
        <v>0</v>
      </c>
      <c r="U121" s="16" t="n">
        <v>0</v>
      </c>
      <c r="V121" s="16"/>
      <c r="W121" s="16"/>
      <c r="X121" s="16" t="n">
        <v>0</v>
      </c>
      <c r="Y121" s="16" t="n">
        <v>0</v>
      </c>
      <c r="Z121" s="16" t="n">
        <v>0</v>
      </c>
      <c r="AA121" s="16" t="n">
        <v>0</v>
      </c>
      <c r="AB121" s="16" t="n">
        <v>0</v>
      </c>
      <c r="AC121" s="16" t="n">
        <v>0</v>
      </c>
      <c r="AD121" s="16" t="n">
        <v>0</v>
      </c>
      <c r="AE121" s="16" t="n">
        <v>0</v>
      </c>
      <c r="AF121" s="16" t="n">
        <v>0</v>
      </c>
      <c r="AG121" s="16" t="n">
        <v>0</v>
      </c>
    </row>
    <row r="122" customFormat="false" ht="15.75" hidden="false" customHeight="false" outlineLevel="0" collapsed="false">
      <c r="A122" s="27" t="n">
        <v>36910</v>
      </c>
      <c r="B122" s="16" t="n">
        <v>0</v>
      </c>
      <c r="C122" s="16" t="n">
        <v>0</v>
      </c>
      <c r="D122" s="16" t="n">
        <v>0</v>
      </c>
      <c r="E122" s="16"/>
      <c r="F122" s="16"/>
      <c r="G122" s="16"/>
      <c r="H122" s="16" t="n">
        <v>0</v>
      </c>
      <c r="I122" s="16" t="n">
        <v>0</v>
      </c>
      <c r="J122" s="16"/>
      <c r="K122" s="16" t="n">
        <v>-3.72529029846191E-009</v>
      </c>
      <c r="L122" s="16" t="n">
        <v>0</v>
      </c>
      <c r="M122" s="16" t="n">
        <v>0</v>
      </c>
      <c r="N122" s="16" t="n">
        <v>0</v>
      </c>
      <c r="O122" s="16" t="n">
        <v>0</v>
      </c>
      <c r="P122" s="16" t="n">
        <v>0</v>
      </c>
      <c r="Q122" s="16" t="n">
        <v>0</v>
      </c>
      <c r="R122" s="16" t="n">
        <v>0</v>
      </c>
      <c r="S122" s="16" t="n">
        <v>0</v>
      </c>
      <c r="T122" s="16" t="n">
        <v>0</v>
      </c>
      <c r="U122" s="16" t="n">
        <v>0</v>
      </c>
      <c r="V122" s="16"/>
      <c r="W122" s="16"/>
      <c r="X122" s="16" t="n">
        <v>0</v>
      </c>
      <c r="Y122" s="16" t="n">
        <v>0</v>
      </c>
      <c r="Z122" s="16" t="n">
        <v>0</v>
      </c>
      <c r="AA122" s="16" t="n">
        <v>0</v>
      </c>
      <c r="AB122" s="16" t="n">
        <v>0</v>
      </c>
      <c r="AC122" s="16" t="n">
        <v>0</v>
      </c>
      <c r="AD122" s="16" t="n">
        <v>0</v>
      </c>
      <c r="AE122" s="16" t="n">
        <v>0</v>
      </c>
      <c r="AF122" s="16" t="n">
        <v>0</v>
      </c>
      <c r="AG122" s="16" t="n">
        <v>0</v>
      </c>
    </row>
    <row r="123" customFormat="false" ht="15.75" hidden="false" customHeight="false" outlineLevel="0" collapsed="false">
      <c r="A123" s="27" t="n">
        <v>36913</v>
      </c>
      <c r="B123" s="16" t="n">
        <v>0</v>
      </c>
      <c r="C123" s="16" t="n">
        <v>0</v>
      </c>
      <c r="D123" s="16" t="n">
        <v>0</v>
      </c>
      <c r="E123" s="16"/>
      <c r="F123" s="16"/>
      <c r="G123" s="16"/>
      <c r="H123" s="16" t="n">
        <v>0</v>
      </c>
      <c r="I123" s="16" t="n">
        <v>0</v>
      </c>
      <c r="J123" s="16"/>
      <c r="K123" s="16" t="n">
        <v>-3.72529029846191E-009</v>
      </c>
      <c r="L123" s="16" t="n">
        <v>0</v>
      </c>
      <c r="M123" s="16" t="n">
        <v>0</v>
      </c>
      <c r="N123" s="16" t="n">
        <v>0</v>
      </c>
      <c r="O123" s="16" t="n">
        <v>0</v>
      </c>
      <c r="P123" s="16" t="n">
        <v>0</v>
      </c>
      <c r="Q123" s="16" t="n">
        <v>0</v>
      </c>
      <c r="R123" s="16" t="n">
        <v>0</v>
      </c>
      <c r="S123" s="16" t="n">
        <v>0</v>
      </c>
      <c r="T123" s="16" t="n">
        <v>0</v>
      </c>
      <c r="U123" s="16" t="n">
        <v>0</v>
      </c>
      <c r="V123" s="16"/>
      <c r="W123" s="16"/>
      <c r="X123" s="16" t="n">
        <v>0</v>
      </c>
      <c r="Y123" s="16" t="n">
        <v>0</v>
      </c>
      <c r="Z123" s="16" t="n">
        <v>0</v>
      </c>
      <c r="AA123" s="16" t="n">
        <v>0</v>
      </c>
      <c r="AB123" s="16" t="n">
        <v>0</v>
      </c>
      <c r="AC123" s="16" t="n">
        <v>0</v>
      </c>
      <c r="AD123" s="16" t="n">
        <v>0</v>
      </c>
      <c r="AE123" s="16" t="n">
        <v>0</v>
      </c>
      <c r="AF123" s="16" t="n">
        <v>0</v>
      </c>
      <c r="AG123" s="16" t="n">
        <v>0</v>
      </c>
    </row>
    <row r="124" customFormat="false" ht="15.75" hidden="false" customHeight="false" outlineLevel="0" collapsed="false">
      <c r="A124" s="27" t="n">
        <v>36914</v>
      </c>
      <c r="B124" s="16" t="n">
        <v>0</v>
      </c>
      <c r="C124" s="16" t="n">
        <v>0</v>
      </c>
      <c r="D124" s="16" t="n">
        <v>0</v>
      </c>
      <c r="E124" s="16"/>
      <c r="F124" s="16"/>
      <c r="G124" s="16"/>
      <c r="H124" s="16" t="n">
        <v>0</v>
      </c>
      <c r="I124" s="16" t="n">
        <v>0</v>
      </c>
      <c r="J124" s="16"/>
      <c r="K124" s="16" t="n">
        <v>-3.72529029846191E-009</v>
      </c>
      <c r="L124" s="16" t="n">
        <v>0</v>
      </c>
      <c r="M124" s="16" t="n">
        <v>0</v>
      </c>
      <c r="N124" s="16" t="n">
        <v>0</v>
      </c>
      <c r="O124" s="16" t="n">
        <v>0</v>
      </c>
      <c r="P124" s="16" t="n">
        <v>0</v>
      </c>
      <c r="Q124" s="16" t="n">
        <v>0</v>
      </c>
      <c r="R124" s="16" t="n">
        <v>0</v>
      </c>
      <c r="S124" s="16" t="n">
        <v>0</v>
      </c>
      <c r="T124" s="16" t="n">
        <v>0</v>
      </c>
      <c r="U124" s="16" t="n">
        <v>0</v>
      </c>
      <c r="V124" s="16"/>
      <c r="W124" s="16"/>
      <c r="X124" s="16" t="n">
        <v>0</v>
      </c>
      <c r="Y124" s="16" t="n">
        <v>0</v>
      </c>
      <c r="Z124" s="16" t="n">
        <v>0</v>
      </c>
      <c r="AA124" s="16" t="n">
        <v>0</v>
      </c>
      <c r="AB124" s="16" t="n">
        <v>0</v>
      </c>
      <c r="AC124" s="16" t="n">
        <v>0</v>
      </c>
      <c r="AD124" s="16" t="n">
        <v>0</v>
      </c>
      <c r="AE124" s="16" t="n">
        <v>0</v>
      </c>
      <c r="AF124" s="16" t="n">
        <v>0</v>
      </c>
      <c r="AG124" s="16" t="n">
        <v>0</v>
      </c>
    </row>
    <row r="125" customFormat="false" ht="15.75" hidden="false" customHeight="false" outlineLevel="0" collapsed="false">
      <c r="A125" s="27" t="n">
        <v>36915</v>
      </c>
      <c r="B125" s="16" t="n">
        <v>0</v>
      </c>
      <c r="C125" s="16" t="n">
        <v>0</v>
      </c>
      <c r="D125" s="16" t="n">
        <v>0</v>
      </c>
      <c r="E125" s="16"/>
      <c r="F125" s="16"/>
      <c r="G125" s="16"/>
      <c r="H125" s="16" t="n">
        <v>0</v>
      </c>
      <c r="I125" s="16" t="n">
        <v>0</v>
      </c>
      <c r="J125" s="16"/>
      <c r="K125" s="16" t="n">
        <v>-3.72529029846191E-009</v>
      </c>
      <c r="L125" s="16" t="n">
        <v>0</v>
      </c>
      <c r="M125" s="16" t="n">
        <v>0</v>
      </c>
      <c r="N125" s="16" t="n">
        <v>0</v>
      </c>
      <c r="O125" s="16" t="n">
        <v>0</v>
      </c>
      <c r="P125" s="16" t="n">
        <v>0</v>
      </c>
      <c r="Q125" s="16" t="n">
        <v>0</v>
      </c>
      <c r="R125" s="16" t="n">
        <v>0</v>
      </c>
      <c r="S125" s="16" t="n">
        <v>0</v>
      </c>
      <c r="T125" s="16" t="n">
        <v>0</v>
      </c>
      <c r="U125" s="16" t="n">
        <v>0</v>
      </c>
      <c r="V125" s="16"/>
      <c r="W125" s="16"/>
      <c r="X125" s="16" t="n">
        <v>0</v>
      </c>
      <c r="Y125" s="16" t="n">
        <v>0</v>
      </c>
      <c r="Z125" s="16" t="n">
        <v>0</v>
      </c>
      <c r="AA125" s="16" t="n">
        <v>0</v>
      </c>
      <c r="AB125" s="16" t="n">
        <v>0</v>
      </c>
      <c r="AC125" s="16" t="n">
        <v>0</v>
      </c>
      <c r="AD125" s="16" t="n">
        <v>0</v>
      </c>
      <c r="AE125" s="16" t="n">
        <v>0</v>
      </c>
      <c r="AF125" s="16" t="n">
        <v>0</v>
      </c>
      <c r="AG125" s="16" t="n">
        <v>0</v>
      </c>
    </row>
    <row r="126" customFormat="false" ht="15.75" hidden="false" customHeight="false" outlineLevel="0" collapsed="false">
      <c r="A126" s="27" t="n">
        <v>36916</v>
      </c>
      <c r="B126" s="16" t="n">
        <v>0</v>
      </c>
      <c r="C126" s="16" t="n">
        <v>68426.54</v>
      </c>
      <c r="D126" s="16" t="n">
        <v>0</v>
      </c>
      <c r="E126" s="16"/>
      <c r="F126" s="16"/>
      <c r="G126" s="16"/>
      <c r="H126" s="16" t="n">
        <v>0</v>
      </c>
      <c r="I126" s="16" t="n">
        <v>0</v>
      </c>
      <c r="J126" s="16"/>
      <c r="K126" s="16" t="n">
        <v>-3.72529029846191E-009</v>
      </c>
      <c r="L126" s="16" t="n">
        <v>0</v>
      </c>
      <c r="M126" s="16" t="n">
        <v>0</v>
      </c>
      <c r="N126" s="16" t="n">
        <v>0</v>
      </c>
      <c r="O126" s="16" t="n">
        <v>0</v>
      </c>
      <c r="P126" s="16" t="n">
        <v>0</v>
      </c>
      <c r="Q126" s="16" t="n">
        <v>0</v>
      </c>
      <c r="R126" s="16" t="n">
        <v>0</v>
      </c>
      <c r="S126" s="16" t="n">
        <v>131614</v>
      </c>
      <c r="T126" s="16" t="n">
        <v>0</v>
      </c>
      <c r="U126" s="16" t="n">
        <v>0</v>
      </c>
      <c r="V126" s="16"/>
      <c r="W126" s="16"/>
      <c r="X126" s="16" t="n">
        <v>0</v>
      </c>
      <c r="Y126" s="16" t="n">
        <v>0</v>
      </c>
      <c r="Z126" s="16" t="n">
        <v>0</v>
      </c>
      <c r="AA126" s="16" t="n">
        <v>0</v>
      </c>
      <c r="AB126" s="16" t="n">
        <v>0</v>
      </c>
      <c r="AC126" s="16" t="n">
        <v>-600000</v>
      </c>
      <c r="AD126" s="16" t="n">
        <v>-237725.03</v>
      </c>
      <c r="AE126" s="16" t="n">
        <v>0</v>
      </c>
      <c r="AF126" s="16" t="n">
        <v>0</v>
      </c>
      <c r="AG126" s="16" t="n">
        <v>0</v>
      </c>
    </row>
    <row r="127" customFormat="false" ht="15.75" hidden="false" customHeight="false" outlineLevel="0" collapsed="false">
      <c r="A127" s="27" t="n">
        <v>36917</v>
      </c>
      <c r="B127" s="16" t="n">
        <v>0</v>
      </c>
      <c r="C127" s="16" t="n">
        <v>0</v>
      </c>
      <c r="D127" s="16" t="n">
        <v>0</v>
      </c>
      <c r="E127" s="16"/>
      <c r="F127" s="16"/>
      <c r="G127" s="16"/>
      <c r="H127" s="16" t="n">
        <v>0</v>
      </c>
      <c r="I127" s="16" t="n">
        <v>0</v>
      </c>
      <c r="J127" s="16"/>
      <c r="K127" s="16" t="n">
        <v>-3.72529029846191E-009</v>
      </c>
      <c r="L127" s="16" t="n">
        <v>0</v>
      </c>
      <c r="M127" s="16" t="n">
        <v>0</v>
      </c>
      <c r="N127" s="16" t="n">
        <v>0</v>
      </c>
      <c r="O127" s="16" t="n">
        <v>0</v>
      </c>
      <c r="P127" s="16" t="n">
        <v>0</v>
      </c>
      <c r="Q127" s="16" t="n">
        <v>0</v>
      </c>
      <c r="R127" s="16" t="n">
        <v>0</v>
      </c>
      <c r="S127" s="16" t="n">
        <v>0</v>
      </c>
      <c r="T127" s="16" t="n">
        <v>0</v>
      </c>
      <c r="U127" s="16" t="n">
        <v>0</v>
      </c>
      <c r="V127" s="16"/>
      <c r="W127" s="16"/>
      <c r="X127" s="16" t="n">
        <v>0</v>
      </c>
      <c r="Y127" s="16" t="n">
        <v>0</v>
      </c>
      <c r="Z127" s="16" t="n">
        <v>0</v>
      </c>
      <c r="AA127" s="16" t="n">
        <v>0</v>
      </c>
      <c r="AB127" s="16" t="n">
        <v>0</v>
      </c>
      <c r="AC127" s="16" t="n">
        <v>600000</v>
      </c>
      <c r="AD127" s="16" t="n">
        <v>0</v>
      </c>
      <c r="AE127" s="16" t="n">
        <v>0</v>
      </c>
      <c r="AF127" s="16" t="n">
        <v>0</v>
      </c>
      <c r="AG127" s="16" t="n">
        <v>0</v>
      </c>
    </row>
    <row r="128" customFormat="false" ht="15.75" hidden="false" customHeight="false" outlineLevel="0" collapsed="false">
      <c r="A128" s="27" t="n">
        <v>36920</v>
      </c>
      <c r="B128" s="16" t="n">
        <v>0</v>
      </c>
      <c r="C128" s="16" t="n">
        <v>0</v>
      </c>
      <c r="D128" s="16" t="n">
        <v>0</v>
      </c>
      <c r="E128" s="16"/>
      <c r="F128" s="16"/>
      <c r="G128" s="16"/>
      <c r="H128" s="16" t="n">
        <v>0</v>
      </c>
      <c r="I128" s="16" t="n">
        <v>0</v>
      </c>
      <c r="J128" s="16"/>
      <c r="K128" s="16" t="n">
        <v>0</v>
      </c>
      <c r="L128" s="16" t="n">
        <v>0</v>
      </c>
      <c r="M128" s="16" t="n">
        <v>0</v>
      </c>
      <c r="N128" s="16" t="n">
        <v>0</v>
      </c>
      <c r="O128" s="16" t="n">
        <v>-1000000</v>
      </c>
      <c r="P128" s="16" t="n">
        <v>0</v>
      </c>
      <c r="Q128" s="16" t="n">
        <v>0</v>
      </c>
      <c r="R128" s="16" t="n">
        <v>0</v>
      </c>
      <c r="S128" s="16" t="n">
        <v>0</v>
      </c>
      <c r="T128" s="16" t="n">
        <v>0</v>
      </c>
      <c r="U128" s="16" t="n">
        <v>0</v>
      </c>
      <c r="V128" s="16"/>
      <c r="W128" s="16"/>
      <c r="X128" s="16" t="n">
        <v>0</v>
      </c>
      <c r="Y128" s="16" t="n">
        <v>0</v>
      </c>
      <c r="Z128" s="16" t="n">
        <v>0</v>
      </c>
      <c r="AA128" s="16" t="n">
        <v>0</v>
      </c>
      <c r="AB128" s="16" t="n">
        <v>0</v>
      </c>
      <c r="AC128" s="16" t="n">
        <v>0</v>
      </c>
      <c r="AD128" s="16" t="n">
        <v>0</v>
      </c>
      <c r="AE128" s="16" t="n">
        <v>0</v>
      </c>
      <c r="AF128" s="16" t="n">
        <v>0</v>
      </c>
      <c r="AG128" s="16" t="n">
        <v>0</v>
      </c>
    </row>
    <row r="129" customFormat="false" ht="15.75" hidden="false" customHeight="false" outlineLevel="0" collapsed="false">
      <c r="A129" s="27" t="n">
        <v>36921</v>
      </c>
      <c r="B129" s="16" t="n">
        <v>0</v>
      </c>
      <c r="C129" s="16" t="n">
        <v>0</v>
      </c>
      <c r="D129" s="16" t="n">
        <v>0</v>
      </c>
      <c r="E129" s="16"/>
      <c r="F129" s="16"/>
      <c r="G129" s="16"/>
      <c r="H129" s="16" t="n">
        <v>0</v>
      </c>
      <c r="I129" s="16" t="n">
        <v>0</v>
      </c>
      <c r="J129" s="16"/>
      <c r="K129" s="16" t="n">
        <v>0</v>
      </c>
      <c r="L129" s="16" t="n">
        <v>0</v>
      </c>
      <c r="M129" s="16" t="n">
        <v>0</v>
      </c>
      <c r="N129" s="16" t="n">
        <v>0</v>
      </c>
      <c r="O129" s="16" t="n">
        <v>0</v>
      </c>
      <c r="P129" s="16" t="n">
        <v>0</v>
      </c>
      <c r="Q129" s="16" t="n">
        <v>0</v>
      </c>
      <c r="R129" s="16" t="n">
        <v>0</v>
      </c>
      <c r="S129" s="16" t="n">
        <v>0</v>
      </c>
      <c r="T129" s="16" t="n">
        <v>0</v>
      </c>
      <c r="U129" s="16" t="n">
        <v>0</v>
      </c>
      <c r="V129" s="16"/>
      <c r="W129" s="16"/>
      <c r="X129" s="16" t="n">
        <v>0</v>
      </c>
      <c r="Y129" s="16" t="n">
        <v>0</v>
      </c>
      <c r="Z129" s="16" t="n">
        <v>0</v>
      </c>
      <c r="AA129" s="16" t="n">
        <v>0</v>
      </c>
      <c r="AB129" s="16" t="n">
        <v>0</v>
      </c>
      <c r="AC129" s="16" t="n">
        <v>0</v>
      </c>
      <c r="AD129" s="16" t="n">
        <v>0</v>
      </c>
      <c r="AE129" s="16" t="n">
        <v>0</v>
      </c>
      <c r="AF129" s="16" t="n">
        <v>0</v>
      </c>
      <c r="AG129" s="16" t="n">
        <v>0</v>
      </c>
    </row>
    <row r="130" customFormat="false" ht="15.75" hidden="false" customHeight="false" outlineLevel="0" collapsed="false">
      <c r="A130" s="27" t="n">
        <v>36922</v>
      </c>
      <c r="B130" s="16" t="n">
        <v>0</v>
      </c>
      <c r="C130" s="16" t="n">
        <v>0</v>
      </c>
      <c r="D130" s="16" t="n">
        <v>0</v>
      </c>
      <c r="E130" s="16"/>
      <c r="F130" s="16"/>
      <c r="G130" s="16"/>
      <c r="H130" s="16" t="n">
        <v>0</v>
      </c>
      <c r="I130" s="16" t="n">
        <v>0</v>
      </c>
      <c r="J130" s="16"/>
      <c r="K130" s="16" t="n">
        <v>0</v>
      </c>
      <c r="L130" s="16" t="n">
        <v>0</v>
      </c>
      <c r="M130" s="16" t="n">
        <v>0</v>
      </c>
      <c r="N130" s="16" t="n">
        <v>0</v>
      </c>
      <c r="O130" s="16" t="n">
        <v>0</v>
      </c>
      <c r="P130" s="16" t="n">
        <v>0</v>
      </c>
      <c r="Q130" s="16" t="n">
        <v>0</v>
      </c>
      <c r="R130" s="16" t="n">
        <v>0</v>
      </c>
      <c r="S130" s="16" t="n">
        <v>0</v>
      </c>
      <c r="T130" s="16" t="n">
        <v>0</v>
      </c>
      <c r="U130" s="16" t="n">
        <v>0</v>
      </c>
      <c r="V130" s="16"/>
      <c r="W130" s="16"/>
      <c r="X130" s="16" t="n">
        <v>0</v>
      </c>
      <c r="Y130" s="16" t="n">
        <v>0</v>
      </c>
      <c r="Z130" s="16" t="n">
        <v>0</v>
      </c>
      <c r="AA130" s="16" t="n">
        <v>0</v>
      </c>
      <c r="AB130" s="16" t="n">
        <v>0</v>
      </c>
      <c r="AC130" s="16" t="n">
        <v>0</v>
      </c>
      <c r="AD130" s="16" t="n">
        <v>0</v>
      </c>
      <c r="AE130" s="16" t="n">
        <v>0</v>
      </c>
      <c r="AF130" s="16" t="n">
        <v>0</v>
      </c>
      <c r="AG130" s="16" t="n">
        <v>0</v>
      </c>
    </row>
    <row r="131" customFormat="false" ht="15.75" hidden="false" customHeight="false" outlineLevel="0" collapsed="false">
      <c r="A131" s="27" t="n">
        <v>36923</v>
      </c>
      <c r="B131" s="16" t="n">
        <v>0</v>
      </c>
      <c r="C131" s="16" t="n">
        <v>0</v>
      </c>
      <c r="D131" s="16" t="n">
        <v>0</v>
      </c>
      <c r="E131" s="16"/>
      <c r="F131" s="16"/>
      <c r="G131" s="16"/>
      <c r="H131" s="16" t="n">
        <v>0</v>
      </c>
      <c r="I131" s="16" t="n">
        <v>0</v>
      </c>
      <c r="J131" s="16"/>
      <c r="K131" s="16" t="n">
        <v>0</v>
      </c>
      <c r="L131" s="16" t="n">
        <v>0</v>
      </c>
      <c r="M131" s="16" t="n">
        <v>0</v>
      </c>
      <c r="N131" s="16" t="n">
        <v>0</v>
      </c>
      <c r="O131" s="16" t="n">
        <v>0</v>
      </c>
      <c r="P131" s="16" t="n">
        <v>0</v>
      </c>
      <c r="Q131" s="16" t="n">
        <v>0</v>
      </c>
      <c r="R131" s="16" t="n">
        <v>0</v>
      </c>
      <c r="S131" s="16" t="n">
        <v>0</v>
      </c>
      <c r="T131" s="16" t="n">
        <v>0</v>
      </c>
      <c r="U131" s="16" t="n">
        <v>0</v>
      </c>
      <c r="V131" s="16"/>
      <c r="W131" s="16"/>
      <c r="X131" s="16" t="n">
        <v>0</v>
      </c>
      <c r="Y131" s="16" t="n">
        <v>0</v>
      </c>
      <c r="Z131" s="16" t="n">
        <v>0</v>
      </c>
      <c r="AA131" s="16" t="n">
        <v>0</v>
      </c>
      <c r="AB131" s="16" t="n">
        <v>0</v>
      </c>
      <c r="AC131" s="16" t="n">
        <v>0</v>
      </c>
      <c r="AD131" s="16" t="n">
        <v>0</v>
      </c>
      <c r="AE131" s="16" t="n">
        <v>0</v>
      </c>
      <c r="AF131" s="16" t="n">
        <v>0</v>
      </c>
      <c r="AG131" s="16" t="n">
        <v>0</v>
      </c>
    </row>
    <row r="132" customFormat="false" ht="15.75" hidden="false" customHeight="false" outlineLevel="0" collapsed="false">
      <c r="A132" s="27" t="n">
        <v>36924</v>
      </c>
      <c r="B132" s="16" t="n">
        <v>0</v>
      </c>
      <c r="C132" s="16" t="n">
        <v>0</v>
      </c>
      <c r="D132" s="16" t="n">
        <v>0</v>
      </c>
      <c r="E132" s="16"/>
      <c r="F132" s="16"/>
      <c r="G132" s="16"/>
      <c r="H132" s="16" t="n">
        <v>0</v>
      </c>
      <c r="I132" s="16" t="n">
        <v>0</v>
      </c>
      <c r="J132" s="16"/>
      <c r="K132" s="16" t="n">
        <v>0</v>
      </c>
      <c r="L132" s="16" t="n">
        <v>0</v>
      </c>
      <c r="M132" s="16" t="n">
        <v>0</v>
      </c>
      <c r="N132" s="16" t="n">
        <v>0</v>
      </c>
      <c r="O132" s="16" t="n">
        <v>0</v>
      </c>
      <c r="P132" s="16" t="n">
        <v>0</v>
      </c>
      <c r="Q132" s="16" t="n">
        <v>0</v>
      </c>
      <c r="R132" s="16" t="n">
        <v>0</v>
      </c>
      <c r="S132" s="16" t="n">
        <v>0</v>
      </c>
      <c r="T132" s="16" t="n">
        <v>0</v>
      </c>
      <c r="U132" s="16" t="n">
        <v>0</v>
      </c>
      <c r="V132" s="16"/>
      <c r="W132" s="16"/>
      <c r="X132" s="16" t="n">
        <v>0</v>
      </c>
      <c r="Y132" s="16" t="n">
        <v>0</v>
      </c>
      <c r="Z132" s="16" t="n">
        <v>0</v>
      </c>
      <c r="AA132" s="16" t="n">
        <v>0</v>
      </c>
      <c r="AB132" s="16" t="n">
        <v>0</v>
      </c>
      <c r="AC132" s="16" t="n">
        <v>0</v>
      </c>
      <c r="AD132" s="16" t="n">
        <v>0</v>
      </c>
      <c r="AE132" s="16" t="n">
        <v>0</v>
      </c>
      <c r="AF132" s="16" t="n">
        <v>0</v>
      </c>
      <c r="AG132" s="16" t="n">
        <v>0</v>
      </c>
    </row>
    <row r="133" customFormat="false" ht="15.75" hidden="false" customHeight="false" outlineLevel="0" collapsed="false">
      <c r="A133" s="27" t="n">
        <v>36927</v>
      </c>
      <c r="B133" s="16" t="n">
        <v>0</v>
      </c>
      <c r="C133" s="16" t="n">
        <v>0</v>
      </c>
      <c r="D133" s="16" t="n">
        <v>0</v>
      </c>
      <c r="E133" s="16"/>
      <c r="F133" s="16"/>
      <c r="G133" s="16"/>
      <c r="H133" s="16" t="n">
        <v>0</v>
      </c>
      <c r="I133" s="16" t="n">
        <v>0</v>
      </c>
      <c r="J133" s="16"/>
      <c r="K133" s="16" t="n">
        <v>0</v>
      </c>
      <c r="L133" s="16" t="n">
        <v>0</v>
      </c>
      <c r="M133" s="16" t="n">
        <v>0</v>
      </c>
      <c r="N133" s="16" t="n">
        <v>0</v>
      </c>
      <c r="O133" s="16" t="n">
        <v>0</v>
      </c>
      <c r="P133" s="16" t="n">
        <v>0</v>
      </c>
      <c r="Q133" s="16" t="n">
        <v>0</v>
      </c>
      <c r="R133" s="16" t="n">
        <v>0</v>
      </c>
      <c r="S133" s="16" t="n">
        <v>0</v>
      </c>
      <c r="T133" s="16" t="n">
        <v>0</v>
      </c>
      <c r="U133" s="16" t="n">
        <v>0</v>
      </c>
      <c r="V133" s="16"/>
      <c r="W133" s="16"/>
      <c r="X133" s="16" t="n">
        <v>0</v>
      </c>
      <c r="Y133" s="16" t="n">
        <v>0</v>
      </c>
      <c r="Z133" s="16" t="n">
        <v>0</v>
      </c>
      <c r="AA133" s="16" t="n">
        <v>0</v>
      </c>
      <c r="AB133" s="16" t="n">
        <v>0</v>
      </c>
      <c r="AC133" s="16" t="n">
        <v>0</v>
      </c>
      <c r="AD133" s="16" t="n">
        <v>0</v>
      </c>
      <c r="AE133" s="16" t="n">
        <v>0</v>
      </c>
      <c r="AF133" s="16" t="n">
        <v>0</v>
      </c>
      <c r="AG133" s="16" t="n">
        <v>0</v>
      </c>
    </row>
    <row r="134" customFormat="false" ht="15.75" hidden="false" customHeight="false" outlineLevel="0" collapsed="false">
      <c r="A134" s="27" t="n">
        <v>36928</v>
      </c>
      <c r="B134" s="16" t="n">
        <v>0</v>
      </c>
      <c r="C134" s="16" t="n">
        <v>0</v>
      </c>
      <c r="D134" s="16" t="n">
        <v>0</v>
      </c>
      <c r="E134" s="16"/>
      <c r="F134" s="16"/>
      <c r="G134" s="16"/>
      <c r="H134" s="16" t="n">
        <v>0</v>
      </c>
      <c r="I134" s="16" t="n">
        <v>0</v>
      </c>
      <c r="J134" s="16"/>
      <c r="K134" s="16" t="n">
        <v>0</v>
      </c>
      <c r="L134" s="16" t="n">
        <v>0</v>
      </c>
      <c r="M134" s="16" t="n">
        <v>0</v>
      </c>
      <c r="N134" s="16" t="n">
        <v>0</v>
      </c>
      <c r="O134" s="16" t="n">
        <v>0</v>
      </c>
      <c r="P134" s="16" t="n">
        <v>0</v>
      </c>
      <c r="Q134" s="16" t="n">
        <v>0</v>
      </c>
      <c r="R134" s="16" t="n">
        <v>0</v>
      </c>
      <c r="S134" s="16" t="n">
        <v>0</v>
      </c>
      <c r="T134" s="16" t="n">
        <v>0</v>
      </c>
      <c r="U134" s="16" t="n">
        <v>0</v>
      </c>
      <c r="V134" s="16"/>
      <c r="W134" s="16"/>
      <c r="X134" s="16" t="n">
        <v>0</v>
      </c>
      <c r="Y134" s="16" t="n">
        <v>0</v>
      </c>
      <c r="Z134" s="16" t="n">
        <v>0</v>
      </c>
      <c r="AA134" s="16" t="n">
        <v>0</v>
      </c>
      <c r="AB134" s="16" t="n">
        <v>0</v>
      </c>
      <c r="AC134" s="16" t="n">
        <v>-230788.389999999</v>
      </c>
      <c r="AD134" s="16" t="n">
        <v>0</v>
      </c>
      <c r="AE134" s="16" t="n">
        <v>0</v>
      </c>
      <c r="AF134" s="16" t="n">
        <v>0</v>
      </c>
      <c r="AG134" s="16" t="n">
        <v>0</v>
      </c>
    </row>
    <row r="135" customFormat="false" ht="15.75" hidden="false" customHeight="false" outlineLevel="0" collapsed="false">
      <c r="A135" s="27" t="n">
        <v>36929</v>
      </c>
      <c r="B135" s="16" t="n">
        <v>0</v>
      </c>
      <c r="C135" s="16" t="n">
        <v>0</v>
      </c>
      <c r="D135" s="16" t="n">
        <v>0</v>
      </c>
      <c r="E135" s="16"/>
      <c r="F135" s="16"/>
      <c r="G135" s="16"/>
      <c r="H135" s="16" t="n">
        <v>0</v>
      </c>
      <c r="I135" s="16" t="n">
        <v>0</v>
      </c>
      <c r="J135" s="16"/>
      <c r="K135" s="16" t="n">
        <v>0</v>
      </c>
      <c r="L135" s="16" t="n">
        <v>0</v>
      </c>
      <c r="M135" s="16" t="n">
        <v>0</v>
      </c>
      <c r="N135" s="16" t="n">
        <v>0</v>
      </c>
      <c r="O135" s="16" t="n">
        <v>0</v>
      </c>
      <c r="P135" s="16" t="n">
        <v>0</v>
      </c>
      <c r="Q135" s="16" t="n">
        <v>0</v>
      </c>
      <c r="R135" s="16" t="n">
        <v>0</v>
      </c>
      <c r="S135" s="16" t="n">
        <v>0</v>
      </c>
      <c r="T135" s="16" t="n">
        <v>0</v>
      </c>
      <c r="U135" s="16" t="n">
        <v>0</v>
      </c>
      <c r="V135" s="16"/>
      <c r="W135" s="16"/>
      <c r="X135" s="16" t="n">
        <v>0</v>
      </c>
      <c r="Y135" s="16" t="n">
        <v>0</v>
      </c>
      <c r="Z135" s="16" t="n">
        <v>0</v>
      </c>
      <c r="AA135" s="16" t="n">
        <v>0</v>
      </c>
      <c r="AB135" s="16" t="n">
        <v>0</v>
      </c>
      <c r="AC135" s="16" t="n">
        <v>0</v>
      </c>
      <c r="AD135" s="16" t="n">
        <v>0</v>
      </c>
      <c r="AE135" s="16" t="n">
        <v>0</v>
      </c>
      <c r="AF135" s="16" t="n">
        <v>0</v>
      </c>
      <c r="AG135" s="16" t="n">
        <v>0</v>
      </c>
    </row>
    <row r="136" customFormat="false" ht="15.75" hidden="false" customHeight="false" outlineLevel="0" collapsed="false">
      <c r="A136" s="27" t="n">
        <v>36930</v>
      </c>
      <c r="B136" s="16" t="n">
        <v>0</v>
      </c>
      <c r="C136" s="16" t="n">
        <v>0</v>
      </c>
      <c r="D136" s="16" t="n">
        <v>0</v>
      </c>
      <c r="E136" s="16"/>
      <c r="F136" s="16"/>
      <c r="G136" s="16"/>
      <c r="H136" s="16" t="n">
        <v>0</v>
      </c>
      <c r="I136" s="16" t="n">
        <v>0</v>
      </c>
      <c r="J136" s="16"/>
      <c r="K136" s="16" t="n">
        <v>0</v>
      </c>
      <c r="L136" s="16" t="n">
        <v>0</v>
      </c>
      <c r="M136" s="16" t="n">
        <v>0</v>
      </c>
      <c r="N136" s="16" t="n">
        <v>0</v>
      </c>
      <c r="O136" s="16" t="n">
        <v>0</v>
      </c>
      <c r="P136" s="16" t="n">
        <v>0</v>
      </c>
      <c r="Q136" s="16" t="n">
        <v>0</v>
      </c>
      <c r="R136" s="16" t="n">
        <v>0</v>
      </c>
      <c r="S136" s="16" t="n">
        <v>0</v>
      </c>
      <c r="T136" s="16" t="n">
        <v>0</v>
      </c>
      <c r="U136" s="16" t="n">
        <v>0</v>
      </c>
      <c r="V136" s="16"/>
      <c r="W136" s="16"/>
      <c r="X136" s="16" t="n">
        <v>0</v>
      </c>
      <c r="Y136" s="16" t="n">
        <v>0</v>
      </c>
      <c r="Z136" s="16" t="n">
        <v>0</v>
      </c>
      <c r="AA136" s="16" t="n">
        <v>0</v>
      </c>
      <c r="AB136" s="16" t="n">
        <v>0</v>
      </c>
      <c r="AC136" s="16" t="n">
        <v>0</v>
      </c>
      <c r="AD136" s="16" t="n">
        <v>0</v>
      </c>
      <c r="AE136" s="16" t="n">
        <v>0</v>
      </c>
      <c r="AF136" s="16" t="n">
        <v>0</v>
      </c>
      <c r="AG136" s="16" t="n">
        <v>0</v>
      </c>
    </row>
    <row r="137" customFormat="false" ht="15.75" hidden="false" customHeight="false" outlineLevel="0" collapsed="false">
      <c r="A137" s="27" t="n">
        <v>36931</v>
      </c>
      <c r="B137" s="16" t="n">
        <v>0</v>
      </c>
      <c r="C137" s="16" t="n">
        <v>0</v>
      </c>
      <c r="D137" s="16" t="n">
        <v>0</v>
      </c>
      <c r="E137" s="16"/>
      <c r="F137" s="16"/>
      <c r="G137" s="16"/>
      <c r="H137" s="16" t="n">
        <v>0</v>
      </c>
      <c r="I137" s="16" t="n">
        <v>0</v>
      </c>
      <c r="J137" s="16"/>
      <c r="K137" s="16" t="n">
        <v>0</v>
      </c>
      <c r="L137" s="16" t="n">
        <v>0</v>
      </c>
      <c r="M137" s="16" t="n">
        <v>0</v>
      </c>
      <c r="N137" s="16" t="n">
        <v>0</v>
      </c>
      <c r="O137" s="16" t="n">
        <v>0</v>
      </c>
      <c r="P137" s="16" t="n">
        <v>0</v>
      </c>
      <c r="Q137" s="16" t="n">
        <v>0</v>
      </c>
      <c r="R137" s="16" t="n">
        <v>0</v>
      </c>
      <c r="S137" s="16" t="n">
        <v>0</v>
      </c>
      <c r="T137" s="16" t="n">
        <v>0</v>
      </c>
      <c r="U137" s="16" t="n">
        <v>0</v>
      </c>
      <c r="V137" s="16"/>
      <c r="W137" s="16"/>
      <c r="X137" s="16" t="n">
        <v>0</v>
      </c>
      <c r="Y137" s="16" t="n">
        <v>0</v>
      </c>
      <c r="Z137" s="16" t="n">
        <v>0</v>
      </c>
      <c r="AA137" s="16" t="n">
        <v>0</v>
      </c>
      <c r="AB137" s="16" t="n">
        <v>0</v>
      </c>
      <c r="AC137" s="16" t="n">
        <v>0</v>
      </c>
      <c r="AD137" s="16" t="n">
        <v>0</v>
      </c>
      <c r="AE137" s="16" t="n">
        <v>0</v>
      </c>
      <c r="AF137" s="16" t="n">
        <v>0</v>
      </c>
      <c r="AG137" s="16" t="n">
        <v>0</v>
      </c>
    </row>
    <row r="138" customFormat="false" ht="15.75" hidden="false" customHeight="false" outlineLevel="0" collapsed="false">
      <c r="A138" s="27" t="n">
        <v>36934</v>
      </c>
      <c r="B138" s="16" t="n">
        <v>0</v>
      </c>
      <c r="C138" s="16" t="n">
        <v>0</v>
      </c>
      <c r="D138" s="16" t="n">
        <v>0</v>
      </c>
      <c r="E138" s="16"/>
      <c r="F138" s="16"/>
      <c r="G138" s="16"/>
      <c r="H138" s="16" t="n">
        <v>0</v>
      </c>
      <c r="I138" s="16" t="n">
        <v>0</v>
      </c>
      <c r="J138" s="16"/>
      <c r="K138" s="16" t="n">
        <v>0</v>
      </c>
      <c r="L138" s="16" t="n">
        <v>0</v>
      </c>
      <c r="M138" s="16" t="n">
        <v>0</v>
      </c>
      <c r="N138" s="16" t="n">
        <v>0</v>
      </c>
      <c r="O138" s="16" t="n">
        <v>0</v>
      </c>
      <c r="P138" s="16" t="n">
        <v>0</v>
      </c>
      <c r="Q138" s="16" t="n">
        <v>0</v>
      </c>
      <c r="R138" s="16" t="n">
        <v>0</v>
      </c>
      <c r="S138" s="16" t="n">
        <v>0</v>
      </c>
      <c r="T138" s="16" t="n">
        <v>0</v>
      </c>
      <c r="U138" s="16" t="n">
        <v>0</v>
      </c>
      <c r="V138" s="16"/>
      <c r="W138" s="16"/>
      <c r="X138" s="16" t="n">
        <v>0</v>
      </c>
      <c r="Y138" s="16" t="n">
        <v>0</v>
      </c>
      <c r="Z138" s="16" t="n">
        <v>0</v>
      </c>
      <c r="AA138" s="16" t="n">
        <v>0</v>
      </c>
      <c r="AB138" s="16" t="n">
        <v>0</v>
      </c>
      <c r="AC138" s="16" t="n">
        <v>0</v>
      </c>
      <c r="AD138" s="16" t="n">
        <v>0</v>
      </c>
      <c r="AE138" s="16" t="n">
        <v>0</v>
      </c>
      <c r="AF138" s="16" t="n">
        <v>0</v>
      </c>
      <c r="AG138" s="16" t="n">
        <v>0</v>
      </c>
    </row>
    <row r="139" customFormat="false" ht="15.75" hidden="false" customHeight="false" outlineLevel="0" collapsed="false">
      <c r="A139" s="27" t="n">
        <v>36935</v>
      </c>
      <c r="B139" s="16" t="n">
        <v>0</v>
      </c>
      <c r="C139" s="16" t="n">
        <v>0</v>
      </c>
      <c r="D139" s="16" t="n">
        <v>0</v>
      </c>
      <c r="E139" s="16"/>
      <c r="F139" s="16"/>
      <c r="G139" s="16"/>
      <c r="H139" s="16" t="n">
        <v>0</v>
      </c>
      <c r="I139" s="16" t="n">
        <v>0</v>
      </c>
      <c r="J139" s="16"/>
      <c r="K139" s="16" t="n">
        <v>0</v>
      </c>
      <c r="L139" s="16" t="n">
        <v>0</v>
      </c>
      <c r="M139" s="16" t="n">
        <v>0</v>
      </c>
      <c r="N139" s="16" t="n">
        <v>0</v>
      </c>
      <c r="O139" s="16" t="n">
        <v>0</v>
      </c>
      <c r="P139" s="16" t="n">
        <v>0</v>
      </c>
      <c r="Q139" s="16" t="n">
        <v>0</v>
      </c>
      <c r="R139" s="16" t="n">
        <v>0</v>
      </c>
      <c r="S139" s="16" t="n">
        <v>0</v>
      </c>
      <c r="T139" s="16" t="n">
        <v>0</v>
      </c>
      <c r="U139" s="16" t="n">
        <v>0</v>
      </c>
      <c r="V139" s="16"/>
      <c r="W139" s="16"/>
      <c r="X139" s="16" t="n">
        <v>0</v>
      </c>
      <c r="Y139" s="16" t="n">
        <v>0</v>
      </c>
      <c r="Z139" s="16" t="n">
        <v>0</v>
      </c>
      <c r="AA139" s="16" t="n">
        <v>0</v>
      </c>
      <c r="AB139" s="16" t="n">
        <v>0</v>
      </c>
      <c r="AC139" s="16" t="n">
        <v>0</v>
      </c>
      <c r="AD139" s="16" t="n">
        <v>0</v>
      </c>
      <c r="AE139" s="16" t="n">
        <v>0</v>
      </c>
      <c r="AF139" s="16" t="n">
        <v>0</v>
      </c>
      <c r="AG139" s="16" t="n">
        <v>0</v>
      </c>
    </row>
    <row r="140" customFormat="false" ht="15.75" hidden="false" customHeight="false" outlineLevel="0" collapsed="false">
      <c r="A140" s="27" t="n">
        <v>36936</v>
      </c>
      <c r="B140" s="16" t="n">
        <v>0</v>
      </c>
      <c r="C140" s="16" t="n">
        <v>0</v>
      </c>
      <c r="D140" s="16" t="n">
        <v>0</v>
      </c>
      <c r="E140" s="16"/>
      <c r="F140" s="16"/>
      <c r="G140" s="16"/>
      <c r="H140" s="16" t="n">
        <v>0</v>
      </c>
      <c r="I140" s="16" t="n">
        <v>0</v>
      </c>
      <c r="J140" s="16"/>
      <c r="K140" s="16" t="n">
        <v>0</v>
      </c>
      <c r="L140" s="16" t="n">
        <v>0</v>
      </c>
      <c r="M140" s="16" t="n">
        <v>0</v>
      </c>
      <c r="N140" s="16" t="n">
        <v>0</v>
      </c>
      <c r="O140" s="16" t="n">
        <v>0</v>
      </c>
      <c r="P140" s="16" t="n">
        <v>0</v>
      </c>
      <c r="Q140" s="16" t="n">
        <v>0</v>
      </c>
      <c r="R140" s="16" t="n">
        <v>0</v>
      </c>
      <c r="S140" s="16" t="n">
        <v>0</v>
      </c>
      <c r="T140" s="16" t="n">
        <v>0</v>
      </c>
      <c r="U140" s="16" t="n">
        <v>0</v>
      </c>
      <c r="V140" s="16"/>
      <c r="W140" s="16"/>
      <c r="X140" s="16" t="n">
        <v>0</v>
      </c>
      <c r="Y140" s="16" t="n">
        <v>0</v>
      </c>
      <c r="Z140" s="16" t="n">
        <v>0</v>
      </c>
      <c r="AA140" s="16" t="n">
        <v>0</v>
      </c>
      <c r="AB140" s="16" t="n">
        <v>0</v>
      </c>
      <c r="AC140" s="16" t="n">
        <v>0</v>
      </c>
      <c r="AD140" s="16" t="n">
        <v>0</v>
      </c>
      <c r="AE140" s="16" t="n">
        <v>0</v>
      </c>
      <c r="AF140" s="16" t="n">
        <v>0</v>
      </c>
      <c r="AG140" s="16" t="n">
        <v>0</v>
      </c>
    </row>
    <row r="141" customFormat="false" ht="15.75" hidden="false" customHeight="false" outlineLevel="0" collapsed="false">
      <c r="A141" s="27" t="n">
        <v>36937</v>
      </c>
      <c r="B141" s="16" t="n">
        <v>0</v>
      </c>
      <c r="C141" s="16" t="n">
        <v>0</v>
      </c>
      <c r="D141" s="16" t="n">
        <v>0</v>
      </c>
      <c r="E141" s="16"/>
      <c r="F141" s="16"/>
      <c r="G141" s="16"/>
      <c r="H141" s="16" t="n">
        <v>0</v>
      </c>
      <c r="I141" s="16" t="n">
        <v>0</v>
      </c>
      <c r="J141" s="16"/>
      <c r="K141" s="16" t="n">
        <v>0</v>
      </c>
      <c r="L141" s="16" t="n">
        <v>0</v>
      </c>
      <c r="M141" s="16" t="n">
        <v>0</v>
      </c>
      <c r="N141" s="16" t="n">
        <v>0</v>
      </c>
      <c r="O141" s="16" t="n">
        <v>0</v>
      </c>
      <c r="P141" s="16" t="n">
        <v>0</v>
      </c>
      <c r="Q141" s="16" t="n">
        <v>0</v>
      </c>
      <c r="R141" s="16" t="n">
        <v>0</v>
      </c>
      <c r="S141" s="16" t="n">
        <v>0</v>
      </c>
      <c r="T141" s="16" t="n">
        <v>0</v>
      </c>
      <c r="U141" s="16" t="n">
        <v>0</v>
      </c>
      <c r="V141" s="16"/>
      <c r="W141" s="16"/>
      <c r="X141" s="16" t="n">
        <v>0</v>
      </c>
      <c r="Y141" s="16" t="n">
        <v>0</v>
      </c>
      <c r="Z141" s="16" t="n">
        <v>0</v>
      </c>
      <c r="AA141" s="16" t="n">
        <v>0</v>
      </c>
      <c r="AB141" s="16" t="n">
        <v>0</v>
      </c>
      <c r="AC141" s="16" t="n">
        <v>0</v>
      </c>
      <c r="AD141" s="16" t="n">
        <v>0</v>
      </c>
      <c r="AE141" s="16" t="n">
        <v>0</v>
      </c>
      <c r="AF141" s="16" t="n">
        <v>0</v>
      </c>
      <c r="AG141" s="16" t="n">
        <v>0</v>
      </c>
    </row>
    <row r="142" customFormat="false" ht="15.75" hidden="false" customHeight="false" outlineLevel="0" collapsed="false">
      <c r="A142" s="27" t="n">
        <v>36938</v>
      </c>
      <c r="B142" s="16" t="n">
        <v>0</v>
      </c>
      <c r="C142" s="16" t="n">
        <v>0</v>
      </c>
      <c r="D142" s="16" t="n">
        <v>0</v>
      </c>
      <c r="E142" s="16"/>
      <c r="F142" s="16"/>
      <c r="G142" s="16"/>
      <c r="H142" s="16" t="n">
        <v>0</v>
      </c>
      <c r="I142" s="16" t="n">
        <v>0</v>
      </c>
      <c r="J142" s="16"/>
      <c r="K142" s="16" t="n">
        <v>0</v>
      </c>
      <c r="L142" s="16" t="n">
        <v>0</v>
      </c>
      <c r="M142" s="16" t="n">
        <v>0</v>
      </c>
      <c r="N142" s="16" t="n">
        <v>0</v>
      </c>
      <c r="O142" s="16" t="n">
        <v>0</v>
      </c>
      <c r="P142" s="16" t="n">
        <v>0</v>
      </c>
      <c r="Q142" s="16" t="n">
        <v>0</v>
      </c>
      <c r="R142" s="16" t="n">
        <v>0</v>
      </c>
      <c r="S142" s="16" t="n">
        <v>0</v>
      </c>
      <c r="T142" s="16" t="n">
        <v>0</v>
      </c>
      <c r="U142" s="16" t="n">
        <v>0</v>
      </c>
      <c r="V142" s="16"/>
      <c r="W142" s="16"/>
      <c r="X142" s="16" t="n">
        <v>0</v>
      </c>
      <c r="Y142" s="16" t="n">
        <v>0</v>
      </c>
      <c r="Z142" s="16" t="n">
        <v>0</v>
      </c>
      <c r="AA142" s="16" t="n">
        <v>0</v>
      </c>
      <c r="AB142" s="16" t="n">
        <v>0</v>
      </c>
      <c r="AC142" s="16" t="n">
        <v>0</v>
      </c>
      <c r="AD142" s="16" t="n">
        <v>0</v>
      </c>
      <c r="AE142" s="16" t="n">
        <v>0</v>
      </c>
      <c r="AF142" s="16" t="n">
        <v>0</v>
      </c>
      <c r="AG142" s="16" t="n">
        <v>0</v>
      </c>
    </row>
    <row r="143" customFormat="false" ht="15.75" hidden="false" customHeight="false" outlineLevel="0" collapsed="false">
      <c r="A143" s="27" t="n">
        <v>36942</v>
      </c>
      <c r="B143" s="16" t="n">
        <v>0</v>
      </c>
      <c r="C143" s="16" t="n">
        <v>0</v>
      </c>
      <c r="D143" s="16" t="n">
        <v>0</v>
      </c>
      <c r="E143" s="16"/>
      <c r="F143" s="16"/>
      <c r="G143" s="16"/>
      <c r="H143" s="16" t="n">
        <v>0</v>
      </c>
      <c r="I143" s="16" t="n">
        <v>0</v>
      </c>
      <c r="J143" s="16"/>
      <c r="K143" s="16" t="n">
        <v>0</v>
      </c>
      <c r="L143" s="16" t="n">
        <v>0</v>
      </c>
      <c r="M143" s="16" t="n">
        <v>0</v>
      </c>
      <c r="N143" s="16" t="n">
        <v>0</v>
      </c>
      <c r="O143" s="16" t="n">
        <v>0</v>
      </c>
      <c r="P143" s="16" t="n">
        <v>0</v>
      </c>
      <c r="Q143" s="16" t="n">
        <v>0</v>
      </c>
      <c r="R143" s="16" t="n">
        <v>0</v>
      </c>
      <c r="S143" s="16" t="n">
        <v>0</v>
      </c>
      <c r="T143" s="16" t="n">
        <v>0</v>
      </c>
      <c r="U143" s="16" t="n">
        <v>0</v>
      </c>
      <c r="V143" s="16"/>
      <c r="W143" s="16"/>
      <c r="X143" s="16" t="n">
        <v>0</v>
      </c>
      <c r="Y143" s="16" t="n">
        <v>0</v>
      </c>
      <c r="Z143" s="16" t="n">
        <v>0</v>
      </c>
      <c r="AA143" s="16" t="n">
        <v>0</v>
      </c>
      <c r="AB143" s="16" t="n">
        <v>0</v>
      </c>
      <c r="AC143" s="16" t="n">
        <v>0</v>
      </c>
      <c r="AD143" s="16" t="n">
        <v>0</v>
      </c>
      <c r="AE143" s="16" t="n">
        <v>0</v>
      </c>
      <c r="AF143" s="16" t="n">
        <v>0</v>
      </c>
      <c r="AG143" s="16" t="n">
        <v>0</v>
      </c>
    </row>
    <row r="144" customFormat="false" ht="15.75" hidden="false" customHeight="false" outlineLevel="0" collapsed="false">
      <c r="A144" s="27" t="n">
        <v>36943</v>
      </c>
      <c r="B144" s="16" t="n">
        <v>0</v>
      </c>
      <c r="C144" s="16" t="n">
        <v>0</v>
      </c>
      <c r="D144" s="16" t="n">
        <v>0</v>
      </c>
      <c r="E144" s="16"/>
      <c r="F144" s="16"/>
      <c r="G144" s="16"/>
      <c r="H144" s="16" t="n">
        <v>0</v>
      </c>
      <c r="I144" s="16" t="n">
        <v>0</v>
      </c>
      <c r="J144" s="16"/>
      <c r="K144" s="16" t="n">
        <v>0</v>
      </c>
      <c r="L144" s="16" t="n">
        <v>0</v>
      </c>
      <c r="M144" s="16" t="n">
        <v>0</v>
      </c>
      <c r="N144" s="16" t="n">
        <v>0</v>
      </c>
      <c r="O144" s="16" t="n">
        <v>0</v>
      </c>
      <c r="P144" s="16" t="n">
        <v>0</v>
      </c>
      <c r="Q144" s="16" t="n">
        <v>0</v>
      </c>
      <c r="R144" s="16" t="n">
        <v>0</v>
      </c>
      <c r="S144" s="16" t="n">
        <v>2217.0700000003</v>
      </c>
      <c r="T144" s="16" t="n">
        <v>0</v>
      </c>
      <c r="U144" s="16" t="n">
        <v>0</v>
      </c>
      <c r="V144" s="16"/>
      <c r="W144" s="16"/>
      <c r="X144" s="16" t="n">
        <v>0</v>
      </c>
      <c r="Y144" s="16" t="n">
        <v>0</v>
      </c>
      <c r="Z144" s="16" t="n">
        <v>0</v>
      </c>
      <c r="AA144" s="16" t="n">
        <v>0</v>
      </c>
      <c r="AB144" s="16" t="n">
        <v>0</v>
      </c>
      <c r="AC144" s="16" t="n">
        <v>0</v>
      </c>
      <c r="AD144" s="16" t="n">
        <v>0</v>
      </c>
      <c r="AE144" s="16" t="n">
        <v>1030821.38</v>
      </c>
      <c r="AF144" s="16" t="n">
        <v>0</v>
      </c>
      <c r="AG144" s="16" t="n">
        <v>0</v>
      </c>
    </row>
    <row r="145" customFormat="false" ht="15.75" hidden="false" customHeight="false" outlineLevel="0" collapsed="false">
      <c r="A145" s="27" t="n">
        <v>36944</v>
      </c>
      <c r="B145" s="16" t="n">
        <v>0</v>
      </c>
      <c r="C145" s="16" t="n">
        <v>0</v>
      </c>
      <c r="D145" s="16" t="n">
        <v>0</v>
      </c>
      <c r="E145" s="16"/>
      <c r="F145" s="16"/>
      <c r="G145" s="16"/>
      <c r="H145" s="16" t="n">
        <v>0</v>
      </c>
      <c r="I145" s="16" t="n">
        <v>0</v>
      </c>
      <c r="J145" s="16"/>
      <c r="K145" s="16" t="n">
        <v>0</v>
      </c>
      <c r="L145" s="16" t="n">
        <v>0</v>
      </c>
      <c r="M145" s="16" t="n">
        <v>0</v>
      </c>
      <c r="N145" s="16" t="n">
        <v>0</v>
      </c>
      <c r="O145" s="16" t="n">
        <v>0</v>
      </c>
      <c r="P145" s="16" t="n">
        <v>0</v>
      </c>
      <c r="Q145" s="16" t="n">
        <v>0</v>
      </c>
      <c r="R145" s="16" t="n">
        <v>0</v>
      </c>
      <c r="S145" s="16" t="n">
        <v>0</v>
      </c>
      <c r="T145" s="16" t="n">
        <v>0</v>
      </c>
      <c r="U145" s="16" t="n">
        <v>0</v>
      </c>
      <c r="V145" s="16"/>
      <c r="W145" s="16"/>
      <c r="X145" s="16" t="n">
        <v>0</v>
      </c>
      <c r="Y145" s="16" t="n">
        <v>0</v>
      </c>
      <c r="Z145" s="16" t="n">
        <v>0</v>
      </c>
      <c r="AA145" s="16" t="n">
        <v>0</v>
      </c>
      <c r="AB145" s="16" t="n">
        <v>0</v>
      </c>
      <c r="AC145" s="16" t="n">
        <v>0</v>
      </c>
      <c r="AD145" s="16" t="n">
        <v>0</v>
      </c>
      <c r="AE145" s="16" t="n">
        <v>0</v>
      </c>
      <c r="AF145" s="16" t="n">
        <v>0</v>
      </c>
      <c r="AG145" s="16" t="n">
        <v>0</v>
      </c>
    </row>
    <row r="146" customFormat="false" ht="15.75" hidden="false" customHeight="false" outlineLevel="0" collapsed="false">
      <c r="A146" s="27" t="n">
        <v>36945</v>
      </c>
      <c r="B146" s="16" t="n">
        <v>0</v>
      </c>
      <c r="C146" s="16" t="n">
        <v>0</v>
      </c>
      <c r="D146" s="16" t="n">
        <v>0</v>
      </c>
      <c r="E146" s="16"/>
      <c r="F146" s="16"/>
      <c r="G146" s="16"/>
      <c r="H146" s="16" t="n">
        <v>0</v>
      </c>
      <c r="I146" s="16" t="n">
        <v>0</v>
      </c>
      <c r="J146" s="16"/>
      <c r="K146" s="16" t="n">
        <v>0</v>
      </c>
      <c r="L146" s="16" t="n">
        <v>0</v>
      </c>
      <c r="M146" s="16" t="n">
        <v>0</v>
      </c>
      <c r="N146" s="16" t="n">
        <v>0</v>
      </c>
      <c r="O146" s="16" t="n">
        <v>0</v>
      </c>
      <c r="P146" s="16" t="n">
        <v>0</v>
      </c>
      <c r="Q146" s="16" t="n">
        <v>0</v>
      </c>
      <c r="R146" s="16" t="n">
        <v>0</v>
      </c>
      <c r="S146" s="16" t="n">
        <v>0</v>
      </c>
      <c r="T146" s="16" t="n">
        <v>0</v>
      </c>
      <c r="U146" s="16" t="n">
        <v>0</v>
      </c>
      <c r="V146" s="16"/>
      <c r="W146" s="16"/>
      <c r="X146" s="16" t="n">
        <v>0</v>
      </c>
      <c r="Y146" s="16" t="n">
        <v>0</v>
      </c>
      <c r="Z146" s="16" t="n">
        <v>0</v>
      </c>
      <c r="AA146" s="16" t="n">
        <v>0</v>
      </c>
      <c r="AB146" s="16" t="n">
        <v>0</v>
      </c>
      <c r="AC146" s="16" t="n">
        <v>0</v>
      </c>
      <c r="AD146" s="16" t="n">
        <v>0</v>
      </c>
      <c r="AE146" s="16" t="n">
        <v>0</v>
      </c>
      <c r="AF146" s="16" t="n">
        <v>0</v>
      </c>
      <c r="AG146" s="16" t="n">
        <v>0</v>
      </c>
    </row>
    <row r="147" customFormat="false" ht="15.75" hidden="false" customHeight="false" outlineLevel="0" collapsed="false">
      <c r="A147" s="27" t="n">
        <v>36948</v>
      </c>
      <c r="B147" s="16" t="n">
        <v>0</v>
      </c>
      <c r="C147" s="16" t="n">
        <v>0</v>
      </c>
      <c r="D147" s="16" t="n">
        <v>0</v>
      </c>
      <c r="E147" s="16"/>
      <c r="F147" s="16"/>
      <c r="G147" s="16"/>
      <c r="H147" s="16" t="n">
        <v>0</v>
      </c>
      <c r="I147" s="16" t="n">
        <v>0</v>
      </c>
      <c r="J147" s="16"/>
      <c r="K147" s="16" t="n">
        <v>0</v>
      </c>
      <c r="L147" s="16" t="n">
        <v>0</v>
      </c>
      <c r="M147" s="16" t="n">
        <v>0</v>
      </c>
      <c r="N147" s="16" t="n">
        <v>0</v>
      </c>
      <c r="O147" s="16" t="n">
        <v>0</v>
      </c>
      <c r="P147" s="16" t="n">
        <v>0</v>
      </c>
      <c r="Q147" s="16" t="n">
        <v>0</v>
      </c>
      <c r="R147" s="16" t="n">
        <v>0</v>
      </c>
      <c r="S147" s="16" t="n">
        <v>0</v>
      </c>
      <c r="T147" s="16" t="n">
        <v>0</v>
      </c>
      <c r="U147" s="16" t="n">
        <v>0</v>
      </c>
      <c r="V147" s="16"/>
      <c r="W147" s="16"/>
      <c r="X147" s="16" t="n">
        <v>0</v>
      </c>
      <c r="Y147" s="16" t="n">
        <v>0</v>
      </c>
      <c r="Z147" s="16" t="n">
        <v>0</v>
      </c>
      <c r="AA147" s="16" t="n">
        <v>0</v>
      </c>
      <c r="AB147" s="16" t="n">
        <v>0</v>
      </c>
      <c r="AC147" s="16" t="n">
        <v>0</v>
      </c>
      <c r="AD147" s="16" t="n">
        <v>0</v>
      </c>
      <c r="AE147" s="16" t="n">
        <v>0</v>
      </c>
      <c r="AF147" s="16" t="n">
        <v>0</v>
      </c>
      <c r="AG147" s="16" t="n">
        <v>0</v>
      </c>
    </row>
    <row r="148" customFormat="false" ht="15.75" hidden="false" customHeight="false" outlineLevel="0" collapsed="false">
      <c r="A148" s="27" t="n">
        <v>36949</v>
      </c>
      <c r="B148" s="16" t="n">
        <v>0</v>
      </c>
      <c r="C148" s="16" t="n">
        <v>0</v>
      </c>
      <c r="D148" s="16" t="n">
        <v>0</v>
      </c>
      <c r="E148" s="16"/>
      <c r="F148" s="16"/>
      <c r="G148" s="16"/>
      <c r="H148" s="16" t="n">
        <v>0</v>
      </c>
      <c r="I148" s="16" t="n">
        <v>0</v>
      </c>
      <c r="J148" s="16"/>
      <c r="K148" s="16" t="n">
        <v>0</v>
      </c>
      <c r="L148" s="16" t="n">
        <v>0</v>
      </c>
      <c r="M148" s="16" t="n">
        <v>0</v>
      </c>
      <c r="N148" s="16" t="n">
        <v>0</v>
      </c>
      <c r="O148" s="16" t="n">
        <v>0</v>
      </c>
      <c r="P148" s="16" t="n">
        <v>0</v>
      </c>
      <c r="Q148" s="16" t="n">
        <v>0</v>
      </c>
      <c r="R148" s="16" t="n">
        <v>0</v>
      </c>
      <c r="S148" s="16" t="n">
        <v>0</v>
      </c>
      <c r="T148" s="16" t="n">
        <v>0</v>
      </c>
      <c r="U148" s="16" t="n">
        <v>0</v>
      </c>
      <c r="V148" s="16"/>
      <c r="W148" s="16"/>
      <c r="X148" s="16" t="n">
        <v>0</v>
      </c>
      <c r="Y148" s="16" t="n">
        <v>0</v>
      </c>
      <c r="Z148" s="16" t="n">
        <v>0</v>
      </c>
      <c r="AA148" s="16" t="n">
        <v>0</v>
      </c>
      <c r="AB148" s="16" t="n">
        <v>0</v>
      </c>
      <c r="AC148" s="16" t="n">
        <v>0</v>
      </c>
      <c r="AD148" s="16" t="n">
        <v>0</v>
      </c>
      <c r="AE148" s="16" t="n">
        <v>0</v>
      </c>
      <c r="AF148" s="16" t="n">
        <v>0</v>
      </c>
      <c r="AG148" s="16" t="n">
        <v>0</v>
      </c>
    </row>
    <row r="149" customFormat="false" ht="15.75" hidden="false" customHeight="false" outlineLevel="0" collapsed="false">
      <c r="A149" s="27" t="n">
        <v>36950</v>
      </c>
      <c r="B149" s="16" t="n">
        <v>0</v>
      </c>
      <c r="C149" s="16" t="n">
        <v>0</v>
      </c>
      <c r="D149" s="16" t="n">
        <v>0</v>
      </c>
      <c r="E149" s="16"/>
      <c r="F149" s="16"/>
      <c r="G149" s="16"/>
      <c r="H149" s="16" t="n">
        <v>0</v>
      </c>
      <c r="I149" s="16" t="n">
        <v>0</v>
      </c>
      <c r="J149" s="16"/>
      <c r="K149" s="16" t="n">
        <v>0</v>
      </c>
      <c r="L149" s="16" t="n">
        <v>0</v>
      </c>
      <c r="M149" s="16" t="n">
        <v>0</v>
      </c>
      <c r="N149" s="16" t="n">
        <v>0</v>
      </c>
      <c r="O149" s="16" t="n">
        <v>0</v>
      </c>
      <c r="P149" s="16" t="n">
        <v>0</v>
      </c>
      <c r="Q149" s="16" t="n">
        <v>0</v>
      </c>
      <c r="R149" s="16" t="n">
        <v>0</v>
      </c>
      <c r="S149" s="16" t="n">
        <v>0</v>
      </c>
      <c r="T149" s="16" t="n">
        <v>0</v>
      </c>
      <c r="U149" s="16" t="n">
        <v>0</v>
      </c>
      <c r="V149" s="16"/>
      <c r="W149" s="16"/>
      <c r="X149" s="16" t="n">
        <v>0</v>
      </c>
      <c r="Y149" s="16" t="n">
        <v>0</v>
      </c>
      <c r="Z149" s="16" t="n">
        <v>0</v>
      </c>
      <c r="AA149" s="16" t="n">
        <v>0</v>
      </c>
      <c r="AB149" s="16" t="n">
        <v>0</v>
      </c>
      <c r="AC149" s="16" t="n">
        <v>0</v>
      </c>
      <c r="AD149" s="16" t="n">
        <v>0</v>
      </c>
      <c r="AE149" s="16" t="n">
        <v>0</v>
      </c>
      <c r="AF149" s="16" t="n">
        <v>0</v>
      </c>
      <c r="AG149" s="16" t="n">
        <v>0</v>
      </c>
    </row>
    <row r="150" customFormat="false" ht="15.75" hidden="false" customHeight="false" outlineLevel="0" collapsed="false">
      <c r="A150" s="27" t="n">
        <v>36951</v>
      </c>
      <c r="B150" s="16" t="n">
        <v>0</v>
      </c>
      <c r="C150" s="16" t="n">
        <v>0</v>
      </c>
      <c r="D150" s="16" t="n">
        <v>0</v>
      </c>
      <c r="E150" s="16"/>
      <c r="F150" s="16"/>
      <c r="G150" s="16"/>
      <c r="H150" s="16" t="n">
        <v>0</v>
      </c>
      <c r="I150" s="16" t="n">
        <v>0</v>
      </c>
      <c r="J150" s="16"/>
      <c r="K150" s="16" t="n">
        <v>0</v>
      </c>
      <c r="L150" s="16" t="n">
        <v>0</v>
      </c>
      <c r="M150" s="16" t="n">
        <v>0</v>
      </c>
      <c r="N150" s="16" t="n">
        <v>0</v>
      </c>
      <c r="O150" s="16" t="n">
        <v>0</v>
      </c>
      <c r="P150" s="16" t="n">
        <v>0</v>
      </c>
      <c r="Q150" s="16" t="n">
        <v>0</v>
      </c>
      <c r="R150" s="16" t="n">
        <v>0</v>
      </c>
      <c r="S150" s="16" t="n">
        <v>0</v>
      </c>
      <c r="T150" s="16" t="n">
        <v>0</v>
      </c>
      <c r="U150" s="16" t="n">
        <v>0</v>
      </c>
      <c r="V150" s="16"/>
      <c r="W150" s="16"/>
      <c r="X150" s="16" t="n">
        <v>0</v>
      </c>
      <c r="Y150" s="16" t="n">
        <v>0</v>
      </c>
      <c r="Z150" s="16" t="n">
        <v>0</v>
      </c>
      <c r="AA150" s="16" t="n">
        <v>0</v>
      </c>
      <c r="AB150" s="16" t="n">
        <v>0</v>
      </c>
      <c r="AC150" s="16" t="n">
        <v>0</v>
      </c>
      <c r="AD150" s="16" t="n">
        <v>0</v>
      </c>
      <c r="AE150" s="16" t="n">
        <v>0</v>
      </c>
      <c r="AF150" s="16" t="n">
        <v>0</v>
      </c>
      <c r="AG150" s="16" t="n">
        <v>0</v>
      </c>
    </row>
    <row r="151" customFormat="false" ht="15.75" hidden="false" customHeight="false" outlineLevel="0" collapsed="false">
      <c r="A151" s="27" t="n">
        <v>36952</v>
      </c>
      <c r="B151" s="16" t="n">
        <v>0</v>
      </c>
      <c r="C151" s="16" t="n">
        <v>0</v>
      </c>
      <c r="D151" s="16" t="n">
        <v>0</v>
      </c>
      <c r="E151" s="16"/>
      <c r="F151" s="16"/>
      <c r="G151" s="16"/>
      <c r="H151" s="16" t="n">
        <v>0</v>
      </c>
      <c r="I151" s="16" t="n">
        <v>0</v>
      </c>
      <c r="J151" s="16"/>
      <c r="K151" s="16" t="n">
        <v>0</v>
      </c>
      <c r="L151" s="16" t="n">
        <v>0</v>
      </c>
      <c r="M151" s="16" t="n">
        <v>0</v>
      </c>
      <c r="N151" s="16" t="n">
        <v>0</v>
      </c>
      <c r="O151" s="16" t="n">
        <v>0</v>
      </c>
      <c r="P151" s="16" t="n">
        <v>0</v>
      </c>
      <c r="Q151" s="16" t="n">
        <v>0</v>
      </c>
      <c r="R151" s="16" t="n">
        <v>0</v>
      </c>
      <c r="S151" s="16" t="n">
        <v>0</v>
      </c>
      <c r="T151" s="16" t="n">
        <v>0</v>
      </c>
      <c r="U151" s="16" t="n">
        <v>0</v>
      </c>
      <c r="V151" s="16"/>
      <c r="W151" s="16"/>
      <c r="X151" s="16" t="n">
        <v>0</v>
      </c>
      <c r="Y151" s="16" t="n">
        <v>0</v>
      </c>
      <c r="Z151" s="16" t="n">
        <v>0</v>
      </c>
      <c r="AA151" s="16" t="n">
        <v>0</v>
      </c>
      <c r="AB151" s="16" t="n">
        <v>0</v>
      </c>
      <c r="AC151" s="16" t="n">
        <v>0</v>
      </c>
      <c r="AD151" s="16" t="n">
        <v>0</v>
      </c>
      <c r="AE151" s="16" t="n">
        <v>0</v>
      </c>
      <c r="AF151" s="16" t="n">
        <v>0</v>
      </c>
      <c r="AG151" s="16" t="n">
        <v>0</v>
      </c>
    </row>
    <row r="152" customFormat="false" ht="15.75" hidden="false" customHeight="false" outlineLevel="0" collapsed="false">
      <c r="A152" s="27" t="n">
        <v>36955</v>
      </c>
      <c r="B152" s="16" t="n">
        <v>0</v>
      </c>
      <c r="C152" s="16" t="n">
        <v>0</v>
      </c>
      <c r="D152" s="16" t="n">
        <v>0</v>
      </c>
      <c r="E152" s="16"/>
      <c r="F152" s="16"/>
      <c r="G152" s="16"/>
      <c r="H152" s="16" t="n">
        <v>0</v>
      </c>
      <c r="I152" s="16" t="n">
        <v>0</v>
      </c>
      <c r="J152" s="16"/>
      <c r="K152" s="16" t="n">
        <v>0</v>
      </c>
      <c r="L152" s="16" t="n">
        <v>0</v>
      </c>
      <c r="M152" s="16" t="n">
        <v>0</v>
      </c>
      <c r="N152" s="16" t="n">
        <v>0</v>
      </c>
      <c r="O152" s="16" t="n">
        <v>0</v>
      </c>
      <c r="P152" s="16" t="n">
        <v>0</v>
      </c>
      <c r="Q152" s="16" t="n">
        <v>0</v>
      </c>
      <c r="R152" s="16" t="n">
        <v>0</v>
      </c>
      <c r="S152" s="16" t="n">
        <v>0</v>
      </c>
      <c r="T152" s="16" t="n">
        <v>0</v>
      </c>
      <c r="U152" s="16" t="n">
        <v>0</v>
      </c>
      <c r="V152" s="16"/>
      <c r="W152" s="16"/>
      <c r="X152" s="16" t="n">
        <v>0</v>
      </c>
      <c r="Y152" s="16" t="n">
        <v>0</v>
      </c>
      <c r="Z152" s="16" t="n">
        <v>0</v>
      </c>
      <c r="AA152" s="16" t="n">
        <v>0</v>
      </c>
      <c r="AB152" s="16" t="n">
        <v>0</v>
      </c>
      <c r="AC152" s="16" t="n">
        <v>0</v>
      </c>
      <c r="AD152" s="16" t="n">
        <v>0</v>
      </c>
      <c r="AE152" s="16" t="n">
        <v>0</v>
      </c>
      <c r="AF152" s="16" t="n">
        <v>0</v>
      </c>
      <c r="AG152" s="16" t="n">
        <v>0</v>
      </c>
    </row>
    <row r="153" customFormat="false" ht="15.75" hidden="false" customHeight="false" outlineLevel="0" collapsed="false">
      <c r="A153" s="27" t="n">
        <v>36956</v>
      </c>
      <c r="B153" s="16" t="n">
        <v>0</v>
      </c>
      <c r="C153" s="16" t="n">
        <v>0</v>
      </c>
      <c r="D153" s="16" t="n">
        <v>0</v>
      </c>
      <c r="E153" s="16"/>
      <c r="F153" s="16"/>
      <c r="G153" s="16"/>
      <c r="H153" s="16" t="n">
        <v>0</v>
      </c>
      <c r="I153" s="16" t="n">
        <v>0</v>
      </c>
      <c r="J153" s="16"/>
      <c r="K153" s="16" t="n">
        <v>0</v>
      </c>
      <c r="L153" s="16" t="n">
        <v>0</v>
      </c>
      <c r="M153" s="16" t="n">
        <v>0</v>
      </c>
      <c r="N153" s="16" t="n">
        <v>0</v>
      </c>
      <c r="O153" s="16" t="n">
        <v>0</v>
      </c>
      <c r="P153" s="16" t="n">
        <v>0</v>
      </c>
      <c r="Q153" s="16" t="n">
        <v>0</v>
      </c>
      <c r="R153" s="16" t="n">
        <v>0</v>
      </c>
      <c r="S153" s="16" t="n">
        <v>0</v>
      </c>
      <c r="T153" s="16" t="n">
        <v>0</v>
      </c>
      <c r="U153" s="16" t="n">
        <v>0</v>
      </c>
      <c r="V153" s="16"/>
      <c r="W153" s="16"/>
      <c r="X153" s="16" t="n">
        <v>0</v>
      </c>
      <c r="Y153" s="16" t="n">
        <v>0</v>
      </c>
      <c r="Z153" s="16" t="n">
        <v>0</v>
      </c>
      <c r="AA153" s="16" t="n">
        <v>0</v>
      </c>
      <c r="AB153" s="16" t="n">
        <v>0</v>
      </c>
      <c r="AC153" s="16" t="n">
        <v>200068.24</v>
      </c>
      <c r="AD153" s="16" t="n">
        <v>0</v>
      </c>
      <c r="AE153" s="16" t="n">
        <v>0</v>
      </c>
      <c r="AF153" s="16" t="n">
        <v>0</v>
      </c>
      <c r="AG153" s="16" t="n">
        <v>0</v>
      </c>
    </row>
    <row r="154" customFormat="false" ht="15.75" hidden="false" customHeight="false" outlineLevel="0" collapsed="false">
      <c r="A154" s="27" t="n">
        <v>36957</v>
      </c>
      <c r="B154" s="16" t="n">
        <v>0</v>
      </c>
      <c r="C154" s="16" t="n">
        <v>0</v>
      </c>
      <c r="D154" s="16" t="n">
        <v>0</v>
      </c>
      <c r="E154" s="16"/>
      <c r="F154" s="16"/>
      <c r="G154" s="16"/>
      <c r="H154" s="16" t="n">
        <v>0</v>
      </c>
      <c r="I154" s="16" t="n">
        <v>0</v>
      </c>
      <c r="J154" s="16"/>
      <c r="K154" s="16" t="n">
        <v>0</v>
      </c>
      <c r="L154" s="16" t="n">
        <v>0</v>
      </c>
      <c r="M154" s="16" t="n">
        <v>0</v>
      </c>
      <c r="N154" s="16" t="n">
        <v>0</v>
      </c>
      <c r="O154" s="16" t="n">
        <v>0</v>
      </c>
      <c r="P154" s="16" t="n">
        <v>0</v>
      </c>
      <c r="Q154" s="16" t="n">
        <v>0</v>
      </c>
      <c r="R154" s="16" t="n">
        <v>0</v>
      </c>
      <c r="S154" s="16" t="n">
        <v>0</v>
      </c>
      <c r="T154" s="16" t="n">
        <v>0</v>
      </c>
      <c r="U154" s="16" t="n">
        <v>0</v>
      </c>
      <c r="V154" s="16"/>
      <c r="W154" s="16"/>
      <c r="X154" s="16" t="n">
        <v>0</v>
      </c>
      <c r="Y154" s="16" t="n">
        <v>0</v>
      </c>
      <c r="Z154" s="16" t="n">
        <v>0</v>
      </c>
      <c r="AA154" s="16" t="n">
        <v>0</v>
      </c>
      <c r="AB154" s="16" t="n">
        <v>0</v>
      </c>
      <c r="AC154" s="16" t="n">
        <v>0</v>
      </c>
      <c r="AD154" s="16" t="n">
        <v>0</v>
      </c>
      <c r="AE154" s="16" t="n">
        <v>0</v>
      </c>
      <c r="AF154" s="16" t="n">
        <v>0</v>
      </c>
      <c r="AG154" s="16" t="n">
        <v>0</v>
      </c>
    </row>
    <row r="155" customFormat="false" ht="15.75" hidden="false" customHeight="false" outlineLevel="0" collapsed="false">
      <c r="A155" s="27" t="n">
        <v>36958</v>
      </c>
      <c r="B155" s="16" t="n">
        <v>0</v>
      </c>
      <c r="C155" s="16" t="n">
        <v>0</v>
      </c>
      <c r="D155" s="16" t="n">
        <v>0</v>
      </c>
      <c r="E155" s="16"/>
      <c r="F155" s="16"/>
      <c r="G155" s="16"/>
      <c r="H155" s="16" t="n">
        <v>0</v>
      </c>
      <c r="I155" s="16" t="n">
        <v>0</v>
      </c>
      <c r="J155" s="16"/>
      <c r="K155" s="16" t="n">
        <v>0</v>
      </c>
      <c r="L155" s="16" t="n">
        <v>0</v>
      </c>
      <c r="M155" s="16" t="n">
        <v>0</v>
      </c>
      <c r="N155" s="16" t="n">
        <v>0</v>
      </c>
      <c r="O155" s="16" t="n">
        <v>0</v>
      </c>
      <c r="P155" s="16" t="n">
        <v>0</v>
      </c>
      <c r="Q155" s="16" t="n">
        <v>0</v>
      </c>
      <c r="R155" s="16" t="n">
        <v>0</v>
      </c>
      <c r="S155" s="16" t="n">
        <v>0</v>
      </c>
      <c r="T155" s="16" t="n">
        <v>0</v>
      </c>
      <c r="U155" s="16" t="n">
        <v>0</v>
      </c>
      <c r="V155" s="16"/>
      <c r="W155" s="16"/>
      <c r="X155" s="16" t="n">
        <v>0</v>
      </c>
      <c r="Y155" s="16" t="n">
        <v>0</v>
      </c>
      <c r="Z155" s="16" t="n">
        <v>0</v>
      </c>
      <c r="AA155" s="16" t="n">
        <v>0</v>
      </c>
      <c r="AB155" s="16" t="n">
        <v>0</v>
      </c>
      <c r="AC155" s="16" t="n">
        <v>0</v>
      </c>
      <c r="AD155" s="16" t="n">
        <v>0</v>
      </c>
      <c r="AE155" s="16" t="n">
        <v>0</v>
      </c>
      <c r="AF155" s="16" t="n">
        <v>0</v>
      </c>
      <c r="AG155" s="16" t="n">
        <v>0</v>
      </c>
    </row>
    <row r="156" customFormat="false" ht="15.75" hidden="false" customHeight="false" outlineLevel="0" collapsed="false">
      <c r="A156" s="27" t="n">
        <v>36959</v>
      </c>
      <c r="B156" s="16" t="n">
        <v>0</v>
      </c>
      <c r="C156" s="16" t="n">
        <v>0</v>
      </c>
      <c r="D156" s="16" t="n">
        <v>0</v>
      </c>
      <c r="E156" s="16"/>
      <c r="F156" s="16"/>
      <c r="G156" s="16"/>
      <c r="H156" s="16" t="n">
        <v>0</v>
      </c>
      <c r="I156" s="16" t="n">
        <v>0</v>
      </c>
      <c r="J156" s="16"/>
      <c r="K156" s="16" t="n">
        <v>0</v>
      </c>
      <c r="L156" s="16" t="n">
        <v>0</v>
      </c>
      <c r="M156" s="16" t="n">
        <v>0</v>
      </c>
      <c r="N156" s="16" t="n">
        <v>0</v>
      </c>
      <c r="O156" s="16" t="n">
        <v>0</v>
      </c>
      <c r="P156" s="16" t="n">
        <v>0</v>
      </c>
      <c r="Q156" s="16" t="n">
        <v>0</v>
      </c>
      <c r="R156" s="16" t="n">
        <v>0</v>
      </c>
      <c r="S156" s="16" t="n">
        <v>0</v>
      </c>
      <c r="T156" s="16" t="n">
        <v>0</v>
      </c>
      <c r="U156" s="16" t="n">
        <v>0</v>
      </c>
      <c r="V156" s="16"/>
      <c r="W156" s="16"/>
      <c r="X156" s="16" t="n">
        <v>0</v>
      </c>
      <c r="Y156" s="16" t="n">
        <v>0</v>
      </c>
      <c r="Z156" s="16" t="n">
        <v>0</v>
      </c>
      <c r="AA156" s="16" t="n">
        <v>0</v>
      </c>
      <c r="AB156" s="16" t="n">
        <v>0</v>
      </c>
      <c r="AC156" s="16" t="n">
        <v>0</v>
      </c>
      <c r="AD156" s="16" t="n">
        <v>0</v>
      </c>
      <c r="AE156" s="16" t="n">
        <v>0</v>
      </c>
      <c r="AF156" s="16" t="n">
        <v>0</v>
      </c>
      <c r="AG156" s="16" t="n">
        <v>0</v>
      </c>
    </row>
    <row r="157" customFormat="false" ht="15.75" hidden="false" customHeight="false" outlineLevel="0" collapsed="false">
      <c r="A157" s="27" t="n">
        <v>36962</v>
      </c>
      <c r="B157" s="16" t="n">
        <v>0</v>
      </c>
      <c r="C157" s="16" t="n">
        <v>0</v>
      </c>
      <c r="D157" s="16" t="n">
        <v>0</v>
      </c>
      <c r="E157" s="16"/>
      <c r="F157" s="16"/>
      <c r="G157" s="16"/>
      <c r="H157" s="16" t="n">
        <v>0</v>
      </c>
      <c r="I157" s="16" t="n">
        <v>0</v>
      </c>
      <c r="J157" s="16"/>
      <c r="K157" s="16" t="n">
        <v>0</v>
      </c>
      <c r="L157" s="16" t="n">
        <v>0</v>
      </c>
      <c r="M157" s="16" t="n">
        <v>0</v>
      </c>
      <c r="N157" s="16" t="n">
        <v>0</v>
      </c>
      <c r="O157" s="16" t="n">
        <v>0</v>
      </c>
      <c r="P157" s="16" t="n">
        <v>0</v>
      </c>
      <c r="Q157" s="16" t="n">
        <v>0</v>
      </c>
      <c r="R157" s="16" t="n">
        <v>0</v>
      </c>
      <c r="S157" s="16" t="n">
        <v>0</v>
      </c>
      <c r="T157" s="16" t="n">
        <v>0</v>
      </c>
      <c r="U157" s="16" t="n">
        <v>0</v>
      </c>
      <c r="V157" s="16"/>
      <c r="W157" s="16"/>
      <c r="X157" s="16" t="n">
        <v>0</v>
      </c>
      <c r="Y157" s="16" t="n">
        <v>0</v>
      </c>
      <c r="Z157" s="16" t="n">
        <v>0</v>
      </c>
      <c r="AA157" s="16" t="n">
        <v>0</v>
      </c>
      <c r="AB157" s="16" t="n">
        <v>0</v>
      </c>
      <c r="AC157" s="16" t="n">
        <v>0</v>
      </c>
      <c r="AD157" s="16" t="n">
        <v>0</v>
      </c>
      <c r="AE157" s="16" t="n">
        <v>0</v>
      </c>
      <c r="AF157" s="16" t="n">
        <v>0</v>
      </c>
      <c r="AG157" s="16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119</v>
      </c>
      <c r="B374" s="0" t="s">
        <v>119</v>
      </c>
      <c r="C374" s="0" t="s">
        <v>119</v>
      </c>
      <c r="D374" s="0" t="s">
        <v>119</v>
      </c>
      <c r="E374" s="0" t="s">
        <v>119</v>
      </c>
      <c r="F374" s="0" t="s">
        <v>119</v>
      </c>
      <c r="G374" s="0" t="s">
        <v>119</v>
      </c>
      <c r="H374" s="0" t="s">
        <v>119</v>
      </c>
      <c r="I374" s="0" t="s">
        <v>119</v>
      </c>
      <c r="J374" s="0" t="s">
        <v>119</v>
      </c>
      <c r="K374" s="0" t="s">
        <v>119</v>
      </c>
      <c r="L374" s="0" t="s">
        <v>119</v>
      </c>
      <c r="M374" s="0" t="s">
        <v>119</v>
      </c>
      <c r="N374" s="0" t="s">
        <v>119</v>
      </c>
      <c r="O374" s="0" t="s">
        <v>119</v>
      </c>
      <c r="P374" s="0" t="s">
        <v>119</v>
      </c>
      <c r="Q374" s="0" t="s">
        <v>119</v>
      </c>
      <c r="R374" s="0" t="s">
        <v>119</v>
      </c>
      <c r="S374" s="0" t="s">
        <v>119</v>
      </c>
      <c r="T374" s="0" t="s">
        <v>119</v>
      </c>
      <c r="U374" s="0" t="s">
        <v>119</v>
      </c>
      <c r="V374" s="0" t="s">
        <v>119</v>
      </c>
      <c r="W374" s="0" t="s">
        <v>119</v>
      </c>
      <c r="X374" s="0" t="s">
        <v>119</v>
      </c>
      <c r="Y374" s="0" t="s">
        <v>119</v>
      </c>
      <c r="Z374" s="0" t="s">
        <v>119</v>
      </c>
      <c r="AA374" s="0" t="s">
        <v>119</v>
      </c>
      <c r="AB374" s="0" t="s">
        <v>119</v>
      </c>
      <c r="AC374" s="0" t="s">
        <v>119</v>
      </c>
      <c r="AD374" s="0" t="s">
        <v>119</v>
      </c>
      <c r="AE374" s="0" t="s">
        <v>119</v>
      </c>
      <c r="AF374" s="0" t="s">
        <v>119</v>
      </c>
      <c r="AG374" s="0" t="s">
        <v>119</v>
      </c>
    </row>
    <row r="375" customFormat="false" ht="15.75" hidden="false" customHeight="false" outlineLevel="0" collapsed="false">
      <c r="A375" s="27" t="s">
        <v>6</v>
      </c>
      <c r="B375" s="54" t="n">
        <f aca="false">SUM(B6:B374)</f>
        <v>0</v>
      </c>
      <c r="C375" s="54" t="n">
        <f aca="false">SUM(C6:C374)</f>
        <v>356431.85</v>
      </c>
      <c r="D375" s="54" t="n">
        <f aca="false">SUM(D6:D374)</f>
        <v>0</v>
      </c>
      <c r="E375" s="54" t="n">
        <f aca="false">SUM(E6:E374)</f>
        <v>-372147.13</v>
      </c>
      <c r="F375" s="54" t="n">
        <f aca="false">SUM(F6:F374)</f>
        <v>-12565511</v>
      </c>
      <c r="G375" s="54" t="n">
        <f aca="false">SUM(G6:G374)</f>
        <v>0</v>
      </c>
      <c r="H375" s="54" t="n">
        <f aca="false">SUM(H6:H374)</f>
        <v>0</v>
      </c>
      <c r="I375" s="54" t="n">
        <f aca="false">SUM(I6:I374)</f>
        <v>0</v>
      </c>
      <c r="J375" s="54" t="n">
        <f aca="false">SUM(J6:J374)</f>
        <v>-125000</v>
      </c>
      <c r="K375" s="54" t="n">
        <f aca="false">SUM(K6:K374)</f>
        <v>-2.83122062683105E-007</v>
      </c>
      <c r="L375" s="54" t="n">
        <f aca="false">SUM(L6:L374)</f>
        <v>0</v>
      </c>
      <c r="M375" s="54" t="n">
        <f aca="false">SUM(M6:M374)</f>
        <v>-137317.57</v>
      </c>
      <c r="N375" s="54" t="n">
        <f aca="false">SUM(N6:N374)</f>
        <v>0</v>
      </c>
      <c r="O375" s="54" t="n">
        <f aca="false">SUM(O6:O374)</f>
        <v>-1000000</v>
      </c>
      <c r="P375" s="54" t="n">
        <f aca="false">SUM(P6:P374)</f>
        <v>0</v>
      </c>
      <c r="Q375" s="54" t="n">
        <f aca="false">SUM(Q6:Q374)</f>
        <v>0</v>
      </c>
      <c r="R375" s="54" t="n">
        <f aca="false">SUM(R6:R374)</f>
        <v>0</v>
      </c>
      <c r="S375" s="54" t="n">
        <f aca="false">SUM(S6:S374)</f>
        <v>-103173.049999999</v>
      </c>
      <c r="T375" s="54" t="n">
        <f aca="false">SUM(T6:T374)</f>
        <v>605530.14</v>
      </c>
      <c r="U375" s="54" t="n">
        <f aca="false">SUM(U6:U374)</f>
        <v>-605529.73</v>
      </c>
      <c r="V375" s="54" t="n">
        <f aca="false">SUM(V6:V374)</f>
        <v>-2415598.88</v>
      </c>
      <c r="W375" s="54" t="n">
        <f aca="false">SUM(W6:W374)</f>
        <v>0</v>
      </c>
      <c r="X375" s="88" t="n">
        <f aca="false">SUM(X6:X374)</f>
        <v>0</v>
      </c>
      <c r="Y375" s="54" t="n">
        <f aca="false">SUM(Y6:Y374)</f>
        <v>0</v>
      </c>
      <c r="Z375" s="54" t="n">
        <f aca="false">SUM(Z6:Z374)</f>
        <v>0</v>
      </c>
      <c r="AA375" s="54" t="n">
        <f aca="false">SUM(AA6:AA374)</f>
        <v>679886.66</v>
      </c>
      <c r="AB375" s="54" t="n">
        <f aca="false">SUM(AB6:AB374)</f>
        <v>-679887.15</v>
      </c>
      <c r="AC375" s="54" t="n">
        <f aca="false">SUM(AC6:AC374)</f>
        <v>-16116178.76</v>
      </c>
      <c r="AD375" s="54" t="n">
        <f aca="false">SUM(AD6:AD374)</f>
        <v>-887163.67</v>
      </c>
      <c r="AE375" s="54" t="n">
        <f aca="false">SUM(AE6:AE374)</f>
        <v>2038959.9</v>
      </c>
      <c r="AF375" s="54" t="n">
        <f aca="false">SUM(AF6:AF374)</f>
        <v>0</v>
      </c>
      <c r="AG375" s="54" t="n">
        <f aca="false">SUM(AG6:AG374)</f>
        <v>0</v>
      </c>
    </row>
    <row r="377" customFormat="false" ht="15.75" hidden="false" customHeight="false" outlineLevel="0" collapsed="false">
      <c r="A377" s="27" t="n">
        <f aca="false">+A379</f>
        <v>36962</v>
      </c>
      <c r="B377" s="16" t="n">
        <f aca="false">+B379-B380-B381</f>
        <v>0</v>
      </c>
      <c r="C377" s="16" t="n">
        <f aca="false">+C379-C380-C381</f>
        <v>0</v>
      </c>
      <c r="D377" s="16" t="n">
        <f aca="false">+D379-D380-D381</f>
        <v>0</v>
      </c>
      <c r="E377" s="16"/>
      <c r="F377" s="16"/>
      <c r="G377" s="16"/>
      <c r="H377" s="16" t="n">
        <f aca="false">+H379-H380-H381</f>
        <v>0</v>
      </c>
      <c r="I377" s="16" t="n">
        <f aca="false">+I379-I380-I381</f>
        <v>0</v>
      </c>
      <c r="J377" s="16"/>
      <c r="K377" s="16" t="n">
        <f aca="false">+K379-K380-K381</f>
        <v>0</v>
      </c>
      <c r="L377" s="16" t="n">
        <f aca="false">+L379-L380-L381</f>
        <v>0</v>
      </c>
      <c r="M377" s="16" t="n">
        <f aca="false">+M379-M380-M381</f>
        <v>0</v>
      </c>
      <c r="N377" s="16" t="n">
        <f aca="false">+N379-N380-N381</f>
        <v>0</v>
      </c>
      <c r="O377" s="16" t="n">
        <f aca="false">+O379-O380-O381</f>
        <v>0</v>
      </c>
      <c r="P377" s="16" t="n">
        <f aca="false">+P379-P380-P381</f>
        <v>0</v>
      </c>
      <c r="Q377" s="16" t="n">
        <f aca="false">+Q379-Q380-Q381</f>
        <v>0</v>
      </c>
      <c r="R377" s="16" t="n">
        <f aca="false">+R379-R380-R381</f>
        <v>0</v>
      </c>
      <c r="S377" s="16" t="n">
        <f aca="false">+S379-S380-S381</f>
        <v>0</v>
      </c>
      <c r="T377" s="16" t="n">
        <f aca="false">+T379-T380-T381</f>
        <v>0</v>
      </c>
      <c r="U377" s="16" t="n">
        <f aca="false">+U379-U380-U381</f>
        <v>0</v>
      </c>
      <c r="V377" s="16"/>
      <c r="W377" s="16"/>
      <c r="X377" s="16" t="n">
        <f aca="false">+X379-X380-X381</f>
        <v>0</v>
      </c>
      <c r="Y377" s="16" t="n">
        <f aca="false">+Y379-Y380-Y381</f>
        <v>0</v>
      </c>
      <c r="Z377" s="16" t="n">
        <f aca="false">+Z379-Z380-Z381</f>
        <v>0</v>
      </c>
      <c r="AA377" s="16" t="n">
        <f aca="false">+AA379-AA380-AA381</f>
        <v>0</v>
      </c>
      <c r="AB377" s="16" t="n">
        <f aca="false">+AB379-AB380-AB381</f>
        <v>0</v>
      </c>
      <c r="AC377" s="16" t="n">
        <f aca="false">+AC379-AC380-AC381</f>
        <v>0</v>
      </c>
      <c r="AD377" s="16" t="n">
        <f aca="false">+AD379-AD380-AD381</f>
        <v>0</v>
      </c>
      <c r="AE377" s="16" t="n">
        <f aca="false">+AE379-AE380-AE381</f>
        <v>0</v>
      </c>
      <c r="AF377" s="16" t="n">
        <f aca="false">+AF379-AF380-AF381</f>
        <v>0</v>
      </c>
      <c r="AG377" s="16" t="n">
        <f aca="false">+AG379-AG380-AG381</f>
        <v>0</v>
      </c>
    </row>
    <row r="378" customFormat="false" ht="15.75" hidden="false" customHeight="false" outlineLevel="0" collapsed="false">
      <c r="A378" s="27" t="s">
        <v>120</v>
      </c>
      <c r="C378" s="89" t="n">
        <f aca="false">SUM(B377:AG377)</f>
        <v>0</v>
      </c>
    </row>
    <row r="379" customFormat="false" ht="15.75" hidden="false" customHeight="false" outlineLevel="0" collapsed="false">
      <c r="A379" s="27" t="n">
        <f aca="false">+'MPR Raptor'!$U$3</f>
        <v>36962</v>
      </c>
      <c r="B379" s="16" t="n">
        <f aca="false">INDEX(MPRR,MATCH("Amerada Hess Exposure Raptor I",'MPR Raptor'!$E$3:$E$140,),MATCH("Per Share",'MPR Raptor'!$E$3:$CM$3,))</f>
        <v>1250000</v>
      </c>
      <c r="C379" s="16" t="n">
        <f aca="false">INDEX(MPRR,MATCH("Ameritex Raptor I",'MPR Raptor'!$E$3:$E$140,),MATCH("Per Share",'MPR Raptor'!$E$3:$CM$3,))</f>
        <v>4731610.54</v>
      </c>
      <c r="D379" s="16" t="n">
        <f aca="false">INDEX(MPRR,MATCH("Basic Energy CFPC Raptor I",'MPR Raptor'!$E$3:$E$140,),MATCH("Per Share",'MPR Raptor'!$E$3:$CM$3,))*1000</f>
        <v>1247943.5</v>
      </c>
      <c r="E379" s="16"/>
      <c r="F379" s="16"/>
      <c r="G379" s="16"/>
      <c r="H379" s="16" t="n">
        <f aca="false">INDEX(MPRR,MATCH("City Forest IPC Raptor I",'MPR Raptor'!$E$3:$E$140,),MATCH("Per Share",'MPR Raptor'!$E$3:$CM$3,))</f>
        <v>1663000</v>
      </c>
      <c r="I379" s="16" t="n">
        <f aca="false">INDEX(MPRR,MATCH("Ecogas Loan Raptor I",'MPR Raptor'!$E$3:$E$140,),MATCH("Per Share",'MPR Raptor'!$E$3:$CM$3,))+0</f>
        <v>0</v>
      </c>
      <c r="J379" s="16"/>
      <c r="K379" s="16" t="n">
        <f aca="false">INDEX(MPRR,MATCH("Heartland Steel Common Raptor I",'MPR Raptor'!$E$3:$E$140,),MATCH("Per Share",'MPR Raptor'!$E$3:$CM$3,))*'Daily Position'!$H$25</f>
        <v>0</v>
      </c>
      <c r="L379" s="16" t="n">
        <f aca="false">INDEX(MPRR,MATCH("Heartland Steel Common Condor Raptor I",'MPR Raptor'!$E$3:$E$140,),MATCH("Per Share",'MPR Raptor'!$E$3:$CM$3,))</f>
        <v>0</v>
      </c>
      <c r="M379" s="16" t="n">
        <f aca="false">INDEX(MPRR,MATCH("Heartland Contingent Construction Loan Raptor I",'MPR Raptor'!$E$3:$E$140,),MATCH("Per Share",'MPR Raptor'!$E$3:$CM$3,))</f>
        <v>0</v>
      </c>
      <c r="N379" s="16" t="n">
        <f aca="false">INDEX(MPRR,MATCH("Heartland Steel Warrants Raptor I",'MPR Raptor'!$E$3:$E$140,),MATCH("Per Share",'MPR Raptor'!$E$3:$CM$3,))</f>
        <v>0</v>
      </c>
      <c r="O379" s="16" t="n">
        <f aca="false">INDEX(MPRR,MATCH("Hughes Rawls Loan Raptor I",'MPR Raptor'!$E$3:$E$140,),MATCH("Per Share",'MPR Raptor'!$E$3:$CM$3,))</f>
        <v>0</v>
      </c>
      <c r="P379" s="16" t="n">
        <f aca="false">INDEX(MPRR,MATCH("Hughes Rawls Note Raptor I",'MPR Raptor'!$E$3:$E$140,),MATCH("Per Share",'MPR Raptor'!$E$3:$CM$3,))</f>
        <v>0</v>
      </c>
      <c r="Q379" s="16" t="n">
        <f aca="false">INDEX(MPRR,MATCH("Hornbeck-Leevac Warrants Raptor I",'MPR Raptor'!$E$3:$E$140,),MATCH("Per Share",'MPR Raptor'!$E$3:$CM$3,))</f>
        <v>23513434.5</v>
      </c>
      <c r="R379" s="16" t="n">
        <f aca="false">INDEX(MPRR,MATCH("Industrial Holdings Raptor I",'MPR Raptor'!$E$3:$E$140,),MATCH("Per Share",'MPR Raptor'!$E$3:$CM$3,))</f>
        <v>7121810</v>
      </c>
      <c r="S379" s="16" t="n">
        <f aca="false">INDEX(MPRR,MATCH("Invasion Energy Raptor I",'MPR Raptor'!$E$3:$E$140,),MATCH("Per Share",'MPR Raptor'!$E$3:$CM$3,))</f>
        <v>5540833.95</v>
      </c>
      <c r="T379" s="16" t="n">
        <f aca="false">INDEX(MPRR,MATCH("Juniper Raptor I",'MPR Raptor'!$E$3:$E$140,),MATCH("Per Share",'MPR Raptor'!$E$3:$CM$3,))</f>
        <v>21605090</v>
      </c>
      <c r="U379" s="16" t="n">
        <f aca="false">INDEX(MPRR,MATCH("Juniper Exposure Raptor I",'MPR Raptor'!$E$3:$E$140,),MATCH("Per Share",'MPR Raptor'!$E$3:$CM$3,))</f>
        <v>1954995.27</v>
      </c>
      <c r="V379" s="16"/>
      <c r="W379" s="16"/>
      <c r="X379" s="16" t="n">
        <f aca="false">INDEX(MPRR,MATCH("LSI Warrants (AIM) Raptor I",'MPR Raptor'!$E$3:$E$140,),MATCH("Per Share",'MPR Raptor'!$E$3:$CM$3,))</f>
        <v>0</v>
      </c>
      <c r="Y379" s="16" t="n">
        <f aca="false">INDEX(MPRR,MATCH("Oconto Falls Common Raptor I",'MPR Raptor'!$E$3:$E$140,),MATCH("Per Share",'MPR Raptor'!$E$3:$CM$3,))</f>
        <v>1803840</v>
      </c>
      <c r="Z379" s="16" t="n">
        <f aca="false">INDEX(MPRR,MATCH("Oconto Falls IPC Raptor I",'MPR Raptor'!$E$3:$E$140,),MATCH("Per Share",'MPR Raptor'!$E$3:$CM$3,))</f>
        <v>2300803</v>
      </c>
      <c r="AA379" s="16" t="n">
        <f aca="false">INDEX(MPRR,MATCH("Texland Raptor I",'MPR Raptor'!$E$3:$E$140,),MATCH("Per Share",'MPR Raptor'!$E$3:$CM$3,))</f>
        <v>9231875</v>
      </c>
      <c r="AB379" s="16" t="n">
        <f aca="false">INDEX(MPRR,MATCH("Texland Exposure Raptor I",'MPR Raptor'!$E$3:$E$140,),MATCH("Per Share",'MPR Raptor'!$E$3:$CM$3,))</f>
        <v>1663862.85</v>
      </c>
      <c r="AC379" s="16" t="n">
        <f aca="false">INDEX(MPRR,MATCH("Vastar Raptor I",'MPR Raptor'!$E$3:$E$140,),MATCH("Per Share",'MPR Raptor'!$E$3:$CM$3,))</f>
        <v>200068.24</v>
      </c>
      <c r="AD379" s="16" t="n">
        <f aca="false">INDEX(MPRR,MATCH("Vastar Exposure Raptor I",'MPR Raptor'!$E$3:$E$140,),MATCH("Per Share",'MPR Raptor'!$E$3:$CM$3,))</f>
        <v>162836.33</v>
      </c>
      <c r="AE379" s="16" t="n">
        <f aca="false">INDEX(MPRR,MATCH("Venoco Convertible Raptor I",'MPR Raptor'!$E$3:$E$140,),MATCH("Per Share",'MPR Raptor'!$E$3:$CM$3,))*'Daily Position'!$H$45</f>
        <v>82241446.38</v>
      </c>
      <c r="AF379" s="16" t="n">
        <f aca="false">INDEX(MPRR,MATCH("WB Oil &amp; Gas Raptor I",'MPR Raptor'!$E$3:$E$140,),MATCH("Per Share",'MPR Raptor'!$E$3:$CM$3,))*'Daily Position'!$H$46</f>
        <v>1360000</v>
      </c>
      <c r="AG379" s="16" t="n">
        <f aca="false">INDEX(MPRR,MATCH("Merlin Credit Derivative Raptor I",'MPR Raptor'!$E$3:$E$140,),MATCH("Per Share",'MPR Raptor'!$E$3:$CM$3,))</f>
        <v>30637565.036478</v>
      </c>
    </row>
    <row r="380" customFormat="false" ht="15.75" hidden="false" customHeight="false" outlineLevel="0" collapsed="false">
      <c r="A380" s="27" t="n">
        <f aca="false">+A379-1</f>
        <v>36961</v>
      </c>
      <c r="B380" s="16" t="n">
        <f aca="false">INDEX(MPRR,MATCH("Amerada Hess Exposure Raptor I",'MPR Raptor'!$E$3:$E$140,),MATCH("Value",'MPR Raptor'!$E$3:$CM$3,))</f>
        <v>1250000</v>
      </c>
      <c r="C380" s="16" t="n">
        <f aca="false">INDEX(MPRR,MATCH("Ameritex Raptor I",'MPR Raptor'!$E$3:$E$140,),MATCH("Value",'MPR Raptor'!$E$3:$CM$3,))</f>
        <v>4731610.54</v>
      </c>
      <c r="D380" s="16" t="n">
        <f aca="false">INDEX(MPRR,MATCH("Basic Energy CFPC Raptor I",'MPR Raptor'!$E$3:$E$140,),MATCH("Value",'MPR Raptor'!$E$3:$CM$3,))</f>
        <v>1247943.5</v>
      </c>
      <c r="E380" s="16"/>
      <c r="F380" s="16"/>
      <c r="G380" s="16"/>
      <c r="H380" s="16" t="n">
        <f aca="false">INDEX(MPRR,MATCH("City Forest IPC Raptor I",'MPR Raptor'!$E$3:$E$140,),MATCH("Value",'MPR Raptor'!$E$3:$CM$3,))</f>
        <v>1663000</v>
      </c>
      <c r="I380" s="16" t="n">
        <f aca="false">INDEX(MPRR,MATCH("Ecogas Loan Raptor I",'MPR Raptor'!$E$3:$E$140,),MATCH("Value",'MPR Raptor'!$E$3:$CM$3,))</f>
        <v>0</v>
      </c>
      <c r="J380" s="16"/>
      <c r="K380" s="16" t="n">
        <f aca="false">INDEX(MPRR,MATCH("Heartland Steel Common Raptor I",'MPR Raptor'!$E$3:$E$140,),MATCH("Value",'MPR Raptor'!$E$3:$CM$3,))</f>
        <v>0</v>
      </c>
      <c r="L380" s="16" t="n">
        <f aca="false">INDEX(MPRR,MATCH("Heartland Steel Common Condor Raptor I",'MPR Raptor'!$E$3:$E$140,),MATCH("Value",'MPR Raptor'!$E$3:$CM$3,))</f>
        <v>0</v>
      </c>
      <c r="M380" s="16" t="n">
        <f aca="false">INDEX(MPRR,MATCH("Heartland Contingent Construction Loan Raptor I",'MPR Raptor'!$E$3:$E$140,),MATCH("Value",'MPR Raptor'!$E$3:$CM$3,))</f>
        <v>0</v>
      </c>
      <c r="N380" s="16" t="n">
        <f aca="false">INDEX(MPRR,MATCH("Heartland Steel Warrants Raptor I",'MPR Raptor'!$E$3:$E$140,),MATCH("Value",'MPR Raptor'!$E$3:$CM$3,))</f>
        <v>0</v>
      </c>
      <c r="O380" s="16" t="n">
        <f aca="false">INDEX(MPRR,MATCH("Hughes Rawls Loan Raptor I",'MPR Raptor'!$E$3:$E$140,),MATCH("Value",'MPR Raptor'!$E$3:$CM$3,))</f>
        <v>0</v>
      </c>
      <c r="P380" s="16" t="n">
        <f aca="false">INDEX(MPRR,MATCH("Hughes Rawls Note Raptor I",'MPR Raptor'!$E$3:$E$140,),MATCH("Value",'MPR Raptor'!$E$3:$CM$3,))</f>
        <v>0</v>
      </c>
      <c r="Q380" s="16" t="n">
        <f aca="false">INDEX(MPRR,MATCH("Hornbeck-Leevac Warrants Raptor I",'MPR Raptor'!$E$3:$E$140,),MATCH("Value",'MPR Raptor'!$E$3:$CM$3,))</f>
        <v>23513434.5</v>
      </c>
      <c r="R380" s="16" t="n">
        <f aca="false">INDEX(MPRR,MATCH("Industrial Holdings Raptor I",'MPR Raptor'!$E$3:$E$140,),MATCH("Value",'MPR Raptor'!$E$3:$CM$3,))</f>
        <v>7121810</v>
      </c>
      <c r="S380" s="16" t="n">
        <f aca="false">INDEX(MPRR,MATCH("Invasion Energy Raptor I",'MPR Raptor'!$E$3:$E$140,),MATCH("Value",'MPR Raptor'!$E$3:$CM$3,))</f>
        <v>5540833.95</v>
      </c>
      <c r="T380" s="16" t="n">
        <f aca="false">INDEX(MPRR,MATCH("Juniper Raptor I",'MPR Raptor'!$E$3:$E$140,),MATCH("Value",'MPR Raptor'!$E$3:$CM$3,))</f>
        <v>21605090</v>
      </c>
      <c r="U380" s="16" t="n">
        <f aca="false">INDEX(MPRR,MATCH("Juniper Exposure Raptor I",'MPR Raptor'!$E$3:$E$140,),MATCH("Value",'MPR Raptor'!$E$3:$CM$3,))</f>
        <v>1954995.27</v>
      </c>
      <c r="V380" s="16"/>
      <c r="W380" s="16"/>
      <c r="X380" s="16" t="n">
        <f aca="false">INDEX(MPRR,MATCH("LSI Warrants (AIM) Raptor I",'MPR Raptor'!$E$3:$E$140,),MATCH("Value",'MPR Raptor'!$E$3:$CM$3,))</f>
        <v>0</v>
      </c>
      <c r="Y380" s="16" t="n">
        <f aca="false">INDEX(MPRR,MATCH("Oconto Falls Common Raptor I",'MPR Raptor'!$E$3:$E$140,),MATCH("Value",'MPR Raptor'!$E$3:$CM$3,))</f>
        <v>1803840</v>
      </c>
      <c r="Z380" s="16" t="n">
        <f aca="false">INDEX(MPRR,MATCH("Oconto Falls IPC Raptor I",'MPR Raptor'!$E$3:$E$140,),MATCH("Value",'MPR Raptor'!$E$3:$CM$3,))</f>
        <v>2300803</v>
      </c>
      <c r="AA380" s="16" t="n">
        <f aca="false">INDEX(MPRR,MATCH("Texland Raptor I",'MPR Raptor'!$E$3:$E$140,),MATCH("Value",'MPR Raptor'!$E$3:$CM$3,))</f>
        <v>9231875</v>
      </c>
      <c r="AB380" s="16" t="n">
        <f aca="false">INDEX(MPRR,MATCH("Texland Exposure Raptor I",'MPR Raptor'!$E$3:$E$140,),MATCH("Value",'MPR Raptor'!$E$3:$CM$3,))</f>
        <v>1663862.85</v>
      </c>
      <c r="AC380" s="16" t="n">
        <f aca="false">INDEX(MPRR,MATCH("Vastar Raptor I",'MPR Raptor'!$E$3:$E$140,),MATCH("Value",'MPR Raptor'!$E$3:$CM$3,))</f>
        <v>200068.24</v>
      </c>
      <c r="AD380" s="16" t="n">
        <f aca="false">INDEX(MPRR,MATCH("Vastar Exposure Raptor I",'MPR Raptor'!$E$3:$E$140,),MATCH("Value",'MPR Raptor'!$E$3:$CM$3,))</f>
        <v>162836.33</v>
      </c>
      <c r="AE380" s="16" t="n">
        <f aca="false">INDEX(MPRR,MATCH("Venoco Convertible Raptor I",'MPR Raptor'!$E$3:$E$140,),MATCH("Value",'MPR Raptor'!$E$3:$CM$3,))</f>
        <v>82241446.38</v>
      </c>
      <c r="AF380" s="16" t="n">
        <f aca="false">INDEX(MPRR,MATCH("WB Oil &amp; Gas Raptor I",'MPR Raptor'!$E$3:$E$140,),MATCH("Value",'MPR Raptor'!$E$3:$CM$3,))</f>
        <v>1360000</v>
      </c>
      <c r="AG380" s="16" t="n">
        <f aca="false">INDEX(MPRR,MATCH("Merlin Credit Derivative Raptor I",'MPR Raptor'!$E$3:$E$140,),MATCH("Value",'MPR Raptor'!$E$3:$CM$3,))</f>
        <v>30637565.036478</v>
      </c>
    </row>
    <row r="381" customFormat="false" ht="15.75" hidden="false" customHeight="false" outlineLevel="0" collapsed="false">
      <c r="A381" s="27" t="n">
        <f aca="false">+A379</f>
        <v>36962</v>
      </c>
      <c r="B381" s="16" t="n">
        <f aca="false">INDEX(MPRR,MATCH("Amerada Hess Exposure Raptor I",'MPR Raptor'!$E$3:$E$140,),MATCH("Asset P&amp;L",'MPR Raptor'!$E$3:$CM$3,))</f>
        <v>0</v>
      </c>
      <c r="C381" s="16" t="n">
        <f aca="false">INDEX(MPRR,MATCH("Ameritex Raptor I",'MPR Raptor'!$E$3:$E$140,),MATCH("Asset P&amp;L",'MPR Raptor'!$E$3:$CM$3,))</f>
        <v>0</v>
      </c>
      <c r="D381" s="16" t="n">
        <f aca="false">INDEX(MPRR,MATCH("Basic Energy CFPC Raptor I",'MPR Raptor'!$E$3:$E$140,),MATCH("Asset P&amp;L",'MPR Raptor'!$E$3:$CM$3,))</f>
        <v>0</v>
      </c>
      <c r="E381" s="16"/>
      <c r="F381" s="16"/>
      <c r="G381" s="16"/>
      <c r="H381" s="16" t="n">
        <f aca="false">INDEX(MPRR,MATCH("City Forest IPC Raptor I",'MPR Raptor'!$E$3:$E$140,),MATCH("Asset P&amp;L",'MPR Raptor'!$E$3:$CM$3,))</f>
        <v>0</v>
      </c>
      <c r="I381" s="16" t="n">
        <f aca="false">INDEX(MPRR,MATCH("Ecogas Loan Raptor I",'MPR Raptor'!$E$3:$E$140,),MATCH("Asset P&amp;L",'MPR Raptor'!$E$3:$CM$3,))</f>
        <v>0</v>
      </c>
      <c r="J381" s="16"/>
      <c r="K381" s="16" t="n">
        <f aca="false">INDEX(MPRR,MATCH("Heartland Steel Common Raptor I",'MPR Raptor'!$E$3:$E$140,),MATCH("Asset P&amp;L",'MPR Raptor'!$E$3:$CM$3,))</f>
        <v>0</v>
      </c>
      <c r="L381" s="16" t="n">
        <f aca="false">INDEX(MPRR,MATCH("Heartland Steel Common Condor Raptor I",'MPR Raptor'!$E$3:$E$140,),MATCH("Asset P&amp;L",'MPR Raptor'!$E$3:$CM$3,))</f>
        <v>0</v>
      </c>
      <c r="M381" s="16" t="n">
        <f aca="false">INDEX(MPRR,MATCH("Heartland Contingent Construction Loan Raptor I",'MPR Raptor'!$E$3:$E$140,),MATCH("Asset P&amp;L",'MPR Raptor'!$E$3:$CM$3,))</f>
        <v>0</v>
      </c>
      <c r="N381" s="16" t="n">
        <f aca="false">INDEX(MPRR,MATCH("Heartland Steel Warrants Raptor I",'MPR Raptor'!$E$3:$E$140,),MATCH("Asset P&amp;L",'MPR Raptor'!$E$3:$CM$3,))</f>
        <v>0</v>
      </c>
      <c r="O381" s="16" t="n">
        <f aca="false">INDEX(MPRR,MATCH("Hughes Rawls Loan Raptor I",'MPR Raptor'!$E$3:$E$140,),MATCH("Asset P&amp;L",'MPR Raptor'!$E$3:$CM$3,))</f>
        <v>0</v>
      </c>
      <c r="P381" s="16" t="n">
        <f aca="false">INDEX(MPRR,MATCH("Hughes Rawls Note Raptor I",'MPR Raptor'!$E$3:$E$140,),MATCH("Asset P&amp;L",'MPR Raptor'!$E$3:$CM$3,))</f>
        <v>0</v>
      </c>
      <c r="Q381" s="16" t="n">
        <f aca="false">INDEX(MPRR,MATCH("Hornbeck-Leevac Warrants Raptor I",'MPR Raptor'!$E$3:$E$140,),MATCH("Asset P&amp;L",'MPR Raptor'!$E$3:$CM$3,))</f>
        <v>0</v>
      </c>
      <c r="R381" s="16" t="n">
        <f aca="false">INDEX(MPRR,MATCH("Industrial Holdings Raptor I",'MPR Raptor'!$E$3:$E$140,),MATCH("Asset P&amp;L",'MPR Raptor'!$E$3:$CM$3,))</f>
        <v>0</v>
      </c>
      <c r="S381" s="16" t="n">
        <f aca="false">INDEX(MPRR,MATCH("Invasion Energy Raptor I",'MPR Raptor'!$E$3:$E$140,),MATCH("Asset P&amp;L",'MPR Raptor'!$E$3:$CM$3,))</f>
        <v>0</v>
      </c>
      <c r="T381" s="16" t="n">
        <f aca="false">INDEX(MPRR,MATCH("Juniper Raptor I",'MPR Raptor'!$E$3:$E$140,),MATCH("Asset P&amp;L",'MPR Raptor'!$E$3:$CM$3,))</f>
        <v>0</v>
      </c>
      <c r="U381" s="16" t="n">
        <f aca="false">INDEX(MPRR,MATCH("Juniper Exposure Raptor I",'MPR Raptor'!$E$3:$E$140,),MATCH("Asset P&amp;L",'MPR Raptor'!$E$3:$CM$3,))</f>
        <v>0</v>
      </c>
      <c r="V381" s="16"/>
      <c r="W381" s="16"/>
      <c r="X381" s="16" t="n">
        <f aca="false">INDEX(MPRR,MATCH("LSI Warrants (AIM) Raptor I",'MPR Raptor'!$E$3:$E$140,),MATCH("Asset P&amp;L",'MPR Raptor'!$E$3:$CM$3,))</f>
        <v>0</v>
      </c>
      <c r="Y381" s="16" t="n">
        <f aca="false">INDEX(MPRR,MATCH("Oconto Falls Common Raptor I",'MPR Raptor'!$E$3:$E$140,),MATCH("Asset P&amp;L",'MPR Raptor'!$E$3:$CM$3,))</f>
        <v>0</v>
      </c>
      <c r="Z381" s="16" t="n">
        <f aca="false">INDEX(MPRR,MATCH("Oconto Falls IPC Raptor I",'MPR Raptor'!$E$3:$E$140,),MATCH("Asset P&amp;L",'MPR Raptor'!$E$3:$CM$3,))</f>
        <v>0</v>
      </c>
      <c r="AA381" s="16" t="n">
        <f aca="false">INDEX(MPRR,MATCH("Texland Raptor I",'MPR Raptor'!$E$3:$E$140,),MATCH("Asset P&amp;L",'MPR Raptor'!$E$3:$CM$3,))</f>
        <v>0</v>
      </c>
      <c r="AB381" s="16" t="n">
        <f aca="false">INDEX(MPRR,MATCH("Texland Exposure Raptor I",'MPR Raptor'!$E$3:$E$140,),MATCH("Asset P&amp;L",'MPR Raptor'!$E$3:$CM$3,))</f>
        <v>0</v>
      </c>
      <c r="AC381" s="16" t="n">
        <f aca="false">INDEX(MPRR,MATCH("Vastar Raptor I",'MPR Raptor'!$E$3:$E$140,),MATCH("Asset P&amp;L",'MPR Raptor'!$E$3:$CM$3,))</f>
        <v>0</v>
      </c>
      <c r="AD381" s="16" t="n">
        <f aca="false">INDEX(MPRR,MATCH("Vastar Exposure Raptor I",'MPR Raptor'!$E$3:$E$140,),MATCH("Asset P&amp;L",'MPR Raptor'!$E$3:$CM$3,))</f>
        <v>0</v>
      </c>
      <c r="AE381" s="16" t="n">
        <f aca="false">INDEX(MPRR,MATCH("Venoco Convertible Raptor I",'MPR Raptor'!$E$3:$E$140,),MATCH("Asset P&amp;L",'MPR Raptor'!$E$3:$CM$3,))</f>
        <v>0</v>
      </c>
      <c r="AF381" s="16" t="n">
        <f aca="false">INDEX(MPRR,MATCH("WB Oil &amp; Gas Raptor I",'MPR Raptor'!$E$3:$E$140,),MATCH("Asset P&amp;L",'MPR Raptor'!$E$3:$CM$3,))</f>
        <v>0</v>
      </c>
      <c r="AG381" s="16" t="n">
        <f aca="false">INDEX(MPRR,MATCH("Merlin Credit Derivative Raptor I",'MPR Raptor'!$E$3:$E$140,),MATCH("Asset P&amp;L",'MPR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7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0" width="23.49"/>
    <col collapsed="false" customWidth="true" hidden="false" outlineLevel="0" max="2" min="2" style="90" width="12.12"/>
    <col collapsed="false" customWidth="true" hidden="false" outlineLevel="0" max="3" min="3" style="90" width="2.99"/>
    <col collapsed="false" customWidth="true" hidden="false" outlineLevel="0" max="4" min="4" style="90" width="15.62"/>
    <col collapsed="false" customWidth="true" hidden="false" outlineLevel="0" max="5" min="5" style="90" width="11.49"/>
    <col collapsed="false" customWidth="true" hidden="false" outlineLevel="0" max="6" min="6" style="91" width="1.74"/>
    <col collapsed="false" customWidth="true" hidden="false" outlineLevel="0" max="7" min="7" style="90" width="1.99"/>
    <col collapsed="false" customWidth="true" hidden="false" outlineLevel="0" max="8" min="8" style="90" width="41.87"/>
    <col collapsed="false" customWidth="true" hidden="false" outlineLevel="0" max="9" min="9" style="92" width="14.62"/>
    <col collapsed="false" customWidth="true" hidden="false" outlineLevel="0" max="10" min="10" style="90" width="1.74"/>
    <col collapsed="false" customWidth="true" hidden="false" outlineLevel="0" max="11" min="11" style="91" width="1.49"/>
    <col collapsed="false" customWidth="true" hidden="false" outlineLevel="0" max="12" min="12" style="90" width="24.24"/>
    <col collapsed="false" customWidth="true" hidden="false" outlineLevel="0" max="13" min="13" style="90" width="13.11"/>
    <col collapsed="false" customWidth="true" hidden="false" outlineLevel="0" max="14" min="14" style="90" width="3.49"/>
    <col collapsed="false" customWidth="true" hidden="false" outlineLevel="0" max="15" min="15" style="90" width="15.37"/>
    <col collapsed="false" customWidth="true" hidden="false" outlineLevel="0" max="16" min="16" style="90" width="12.74"/>
    <col collapsed="false" customWidth="true" hidden="false" outlineLevel="0" max="17" min="17" style="91" width="3.24"/>
    <col collapsed="false" customWidth="true" hidden="false" outlineLevel="0" max="18" min="18" style="90" width="12.37"/>
    <col collapsed="false" customWidth="true" hidden="false" outlineLevel="0" max="19" min="19" style="90" width="10.11"/>
    <col collapsed="false" customWidth="true" hidden="false" outlineLevel="0" max="20" min="20" style="90" width="10.74"/>
    <col collapsed="false" customWidth="true" hidden="false" outlineLevel="0" max="21" min="21" style="90" width="10.49"/>
    <col collapsed="false" customWidth="true" hidden="false" outlineLevel="0" max="22" min="22" style="90" width="11.12"/>
    <col collapsed="false" customWidth="true" hidden="false" outlineLevel="0" max="23" min="23" style="90" width="12.49"/>
    <col collapsed="false" customWidth="false" hidden="false" outlineLevel="0" max="257" min="24" style="90" width="8.99"/>
  </cols>
  <sheetData>
    <row r="1" customFormat="false" ht="15.75" hidden="false" customHeight="false" outlineLevel="0" collapsed="false">
      <c r="A1" s="93" t="s">
        <v>121</v>
      </c>
    </row>
    <row r="2" customFormat="false" ht="15.75" hidden="false" customHeight="false" outlineLevel="0" collapsed="false">
      <c r="A2" s="90" t="s">
        <v>122</v>
      </c>
      <c r="H2" s="94" t="n">
        <f aca="false">+Summary!C5</f>
        <v>36962</v>
      </c>
      <c r="I2" s="94"/>
      <c r="J2" s="95"/>
      <c r="L2" s="94" t="n">
        <f aca="false">H2</f>
        <v>36962</v>
      </c>
      <c r="M2" s="94"/>
      <c r="N2" s="94"/>
      <c r="O2" s="94"/>
      <c r="P2" s="94"/>
    </row>
    <row r="3" customFormat="false" ht="16.5" hidden="false" customHeight="false" outlineLevel="0" collapsed="false">
      <c r="H3" s="96" t="s">
        <v>123</v>
      </c>
      <c r="I3" s="96"/>
      <c r="J3" s="97"/>
      <c r="L3" s="96" t="s">
        <v>123</v>
      </c>
      <c r="M3" s="96"/>
      <c r="N3" s="96"/>
      <c r="O3" s="96"/>
      <c r="P3" s="96"/>
    </row>
    <row r="4" customFormat="false" ht="15.75" hidden="false" customHeight="false" outlineLevel="0" collapsed="false">
      <c r="A4" s="98" t="s">
        <v>124</v>
      </c>
      <c r="B4" s="98"/>
      <c r="C4" s="98"/>
      <c r="D4" s="98"/>
      <c r="E4" s="98"/>
      <c r="F4" s="98"/>
      <c r="H4" s="99" t="s">
        <v>125</v>
      </c>
      <c r="I4" s="100"/>
      <c r="J4" s="91"/>
    </row>
    <row r="5" customFormat="false" ht="16.5" hidden="false" customHeight="false" outlineLevel="0" collapsed="false">
      <c r="A5" s="101" t="s">
        <v>126</v>
      </c>
      <c r="B5" s="101"/>
      <c r="D5" s="101" t="s">
        <v>127</v>
      </c>
      <c r="E5" s="101"/>
      <c r="H5" s="102" t="s">
        <v>128</v>
      </c>
      <c r="I5" s="103" t="n">
        <f aca="false">+VLOOKUP(+Summary!C5,ene,2)</f>
        <v>61.27</v>
      </c>
      <c r="J5" s="91"/>
      <c r="L5" s="98" t="s">
        <v>129</v>
      </c>
      <c r="M5" s="98"/>
      <c r="N5" s="98"/>
      <c r="O5" s="98"/>
      <c r="P5" s="98"/>
      <c r="Q5" s="97"/>
    </row>
    <row r="6" customFormat="false" ht="15.75" hidden="false" customHeight="false" outlineLevel="0" collapsed="false">
      <c r="A6" s="90" t="s">
        <v>130</v>
      </c>
      <c r="B6" s="90" t="n">
        <f aca="false">E6+E9+E10</f>
        <v>71001000</v>
      </c>
      <c r="D6" s="90" t="s">
        <v>131</v>
      </c>
      <c r="E6" s="90" t="n">
        <v>41000000</v>
      </c>
      <c r="F6" s="104" t="s">
        <v>132</v>
      </c>
      <c r="H6" s="102" t="s">
        <v>133</v>
      </c>
      <c r="I6" s="105" t="n">
        <f aca="false">+'Cash-Int-Trans'!H64</f>
        <v>0.0594</v>
      </c>
      <c r="J6" s="91"/>
      <c r="L6" s="106" t="s">
        <v>134</v>
      </c>
      <c r="M6" s="107" t="n">
        <f aca="false">H2</f>
        <v>36962</v>
      </c>
      <c r="N6" s="108"/>
      <c r="O6" s="108"/>
      <c r="P6" s="108"/>
      <c r="Q6" s="109"/>
    </row>
    <row r="7" customFormat="false" ht="16.5" hidden="false" customHeight="false" outlineLevel="0" collapsed="false">
      <c r="A7" s="90" t="s">
        <v>135</v>
      </c>
      <c r="B7" s="90" t="n">
        <v>50000000</v>
      </c>
      <c r="D7" s="90" t="s">
        <v>136</v>
      </c>
      <c r="E7" s="90" t="n">
        <f aca="false">B11-E6-E9-E10</f>
        <v>400000000</v>
      </c>
      <c r="H7" s="110" t="s">
        <v>137</v>
      </c>
      <c r="I7" s="110"/>
      <c r="J7" s="91"/>
      <c r="L7" s="101" t="s">
        <v>126</v>
      </c>
      <c r="M7" s="101"/>
      <c r="O7" s="101" t="s">
        <v>127</v>
      </c>
      <c r="P7" s="101"/>
    </row>
    <row r="8" customFormat="false" ht="15.75" hidden="false" customHeight="false" outlineLevel="0" collapsed="false">
      <c r="A8" s="90" t="s">
        <v>138</v>
      </c>
      <c r="B8" s="90" t="n">
        <f aca="false">B18</f>
        <v>350000000</v>
      </c>
      <c r="C8" s="111" t="s">
        <v>139</v>
      </c>
      <c r="H8" s="112" t="s">
        <v>140</v>
      </c>
      <c r="I8" s="113"/>
      <c r="J8" s="91"/>
      <c r="L8" s="90" t="s">
        <v>141</v>
      </c>
      <c r="M8" s="90" t="n">
        <f aca="false">+'Cash-Int-Trans'!B47</f>
        <v>41021450.5849544</v>
      </c>
      <c r="O8" s="90" t="s">
        <v>142</v>
      </c>
      <c r="P8" s="90" t="n">
        <f aca="false">+E6-'Cash-Int-Trans'!B4+'Cash-Int-Trans'!B9</f>
        <v>0</v>
      </c>
      <c r="Q8" s="114" t="str">
        <f aca="false">IF(P8&lt;&gt;0,"Not OK Check Put Value Table","OK")</f>
        <v>OK</v>
      </c>
    </row>
    <row r="9" customFormat="false" ht="15.75" hidden="false" customHeight="false" outlineLevel="0" collapsed="false">
      <c r="D9" s="90" t="s">
        <v>143</v>
      </c>
      <c r="E9" s="92" t="n">
        <f aca="false">30000000</f>
        <v>30000000</v>
      </c>
      <c r="F9" s="115" t="s">
        <v>144</v>
      </c>
      <c r="H9" s="91"/>
      <c r="I9" s="116"/>
      <c r="J9" s="91"/>
      <c r="L9" s="90" t="s">
        <v>135</v>
      </c>
      <c r="M9" s="90" t="n">
        <f aca="false">+B7-Amort!B24</f>
        <v>50000000</v>
      </c>
      <c r="O9" s="90" t="s">
        <v>131</v>
      </c>
      <c r="P9" s="90" t="n">
        <f aca="false">+'Cash-Int-Trans'!B12-'Cash-Int-Trans'!B5</f>
        <v>30637565.04</v>
      </c>
    </row>
    <row r="10" customFormat="false" ht="15.75" hidden="false" customHeight="false" outlineLevel="0" collapsed="false">
      <c r="D10" s="90" t="s">
        <v>104</v>
      </c>
      <c r="E10" s="90" t="n">
        <v>1000</v>
      </c>
      <c r="H10" s="117" t="s">
        <v>145</v>
      </c>
      <c r="I10" s="117"/>
      <c r="J10" s="91"/>
      <c r="L10" s="90" t="s">
        <v>138</v>
      </c>
      <c r="M10" s="90" t="n">
        <f aca="false">B8+I15</f>
        <v>405991566.502283</v>
      </c>
      <c r="N10" s="111"/>
      <c r="O10" s="90" t="s">
        <v>146</v>
      </c>
      <c r="P10" s="90" t="n">
        <f aca="false">IF(I20&gt;0,0,-I20)</f>
        <v>354391714.533522</v>
      </c>
    </row>
    <row r="11" customFormat="false" ht="16.5" hidden="false" customHeight="false" outlineLevel="0" collapsed="false">
      <c r="A11" s="118" t="s">
        <v>6</v>
      </c>
      <c r="B11" s="119" t="n">
        <f aca="false">SUM(B6:B10)</f>
        <v>471001000</v>
      </c>
      <c r="C11" s="120" t="s">
        <v>147</v>
      </c>
      <c r="D11" s="118" t="s">
        <v>6</v>
      </c>
      <c r="E11" s="119" t="n">
        <f aca="false">SUM(E6:E10)</f>
        <v>471001000</v>
      </c>
      <c r="F11" s="114"/>
      <c r="H11" s="121" t="s">
        <v>148</v>
      </c>
      <c r="I11" s="122" t="n">
        <f aca="false">H2</f>
        <v>36962</v>
      </c>
      <c r="J11" s="91"/>
      <c r="L11" s="90" t="s">
        <v>149</v>
      </c>
      <c r="M11" s="90" t="n">
        <f aca="false">+Amort!B28</f>
        <v>1575000</v>
      </c>
      <c r="O11" s="90" t="s">
        <v>150</v>
      </c>
      <c r="P11" s="90" t="n">
        <f aca="false">IF(I19&lt;0,-I19,0)</f>
        <v>0</v>
      </c>
      <c r="R11" s="26"/>
    </row>
    <row r="12" customFormat="false" ht="16.5" hidden="false" customHeight="false" outlineLevel="0" collapsed="false">
      <c r="H12" s="91" t="s">
        <v>151</v>
      </c>
      <c r="I12" s="116" t="n">
        <f aca="false">+'Cash-Int-Trans'!B7</f>
        <v>42462896.96</v>
      </c>
      <c r="J12" s="123" t="s">
        <v>152</v>
      </c>
      <c r="O12" s="90" t="s">
        <v>136</v>
      </c>
      <c r="P12" s="90" t="n">
        <f aca="false">E7-I16+'Cash-Int-Trans'!B10+'Cash-Int-Trans'!B13-I21</f>
        <v>467011296.409562</v>
      </c>
    </row>
    <row r="13" customFormat="false" ht="15.75" hidden="false" customHeight="false" outlineLevel="0" collapsed="false">
      <c r="A13" s="124" t="s">
        <v>153</v>
      </c>
      <c r="D13" s="125" t="s">
        <v>154</v>
      </c>
      <c r="E13" s="125" t="s">
        <v>35</v>
      </c>
      <c r="F13" s="126"/>
      <c r="H13" s="91" t="s">
        <v>155</v>
      </c>
      <c r="I13" s="116" t="n">
        <f aca="false">+'Cash-Int-Trans'!B50</f>
        <v>3406561.69606548</v>
      </c>
      <c r="J13" s="123"/>
      <c r="L13" s="90" t="s">
        <v>156</v>
      </c>
      <c r="M13" s="90" t="n">
        <f aca="false">IF(I19&gt;0,I19,0)</f>
        <v>150262298.9</v>
      </c>
      <c r="O13" s="90" t="s">
        <v>143</v>
      </c>
      <c r="P13" s="90" t="n">
        <f aca="false">IF(+I23+I35+'Cash-Int-Trans'!D28-'Cash-Int-Trans'!D27&gt;'Cash-Int-Trans'!D28,'Cash-Int-Trans'!D28,IF(+I23+I35+'Cash-Int-Trans'!D28&lt;0,0,+I23+I35+'Cash-Int-Trans'!D28-'Cash-Int-Trans'!D27))</f>
        <v>0</v>
      </c>
      <c r="Q13" s="127" t="s">
        <v>157</v>
      </c>
    </row>
    <row r="14" customFormat="false" ht="15.75" hidden="false" customHeight="false" outlineLevel="0" collapsed="false">
      <c r="A14" s="90" t="s">
        <v>158</v>
      </c>
      <c r="B14" s="90" t="n">
        <f aca="false">D14*E14</f>
        <v>263611837.5</v>
      </c>
      <c r="D14" s="72" t="n">
        <f aca="false">3224799+514376</f>
        <v>3739175</v>
      </c>
      <c r="E14" s="128" t="n">
        <v>70.5</v>
      </c>
      <c r="H14" s="91" t="s">
        <v>159</v>
      </c>
      <c r="I14" s="116" t="n">
        <f aca="false">+Amort!B29</f>
        <v>3188888.88888889</v>
      </c>
      <c r="J14" s="91"/>
      <c r="L14" s="90" t="s">
        <v>160</v>
      </c>
      <c r="M14" s="90" t="n">
        <f aca="false">IF(I20&gt;0,I20,0)</f>
        <v>0</v>
      </c>
      <c r="O14" s="90" t="s">
        <v>104</v>
      </c>
      <c r="P14" s="90" t="n">
        <f aca="false">M15-SUM(P8:P13)</f>
        <v>-203190259.995847</v>
      </c>
    </row>
    <row r="15" customFormat="false" ht="16.5" hidden="false" customHeight="false" outlineLevel="0" collapsed="false">
      <c r="A15" s="90" t="s">
        <v>161</v>
      </c>
      <c r="B15" s="129" t="n">
        <f aca="false">D15*E15</f>
        <v>273311227.5</v>
      </c>
      <c r="D15" s="130" t="n">
        <v>3876755</v>
      </c>
      <c r="E15" s="128" t="n">
        <v>70.5</v>
      </c>
      <c r="H15" s="91" t="s">
        <v>162</v>
      </c>
      <c r="I15" s="116" t="n">
        <f aca="false">-B17*A35/(3*365)</f>
        <v>55991566.5022831</v>
      </c>
      <c r="J15" s="131" t="s">
        <v>163</v>
      </c>
      <c r="L15" s="118" t="s">
        <v>6</v>
      </c>
      <c r="M15" s="119" t="n">
        <f aca="false">SUM(M8:M14)</f>
        <v>648850315.987238</v>
      </c>
      <c r="N15" s="120"/>
      <c r="O15" s="118" t="s">
        <v>6</v>
      </c>
      <c r="P15" s="119" t="n">
        <f aca="false">SUM(P8:P14)</f>
        <v>648850315.987238</v>
      </c>
      <c r="Q15" s="132" t="s">
        <v>164</v>
      </c>
    </row>
    <row r="16" customFormat="false" ht="16.5" hidden="false" customHeight="false" outlineLevel="0" collapsed="false">
      <c r="A16" s="90" t="s">
        <v>165</v>
      </c>
      <c r="B16" s="90" t="n">
        <f aca="false">SUM(B14:B15)</f>
        <v>536923065</v>
      </c>
      <c r="D16" s="90" t="n">
        <f aca="false">+D14+D15</f>
        <v>7615930</v>
      </c>
      <c r="H16" s="91" t="s">
        <v>166</v>
      </c>
      <c r="I16" s="133" t="n">
        <f aca="false">-'Cash-Int-Trans'!B71</f>
        <v>-25284022.8371636</v>
      </c>
      <c r="J16" s="91"/>
      <c r="P16" s="90" t="n">
        <f aca="false">M15-P15</f>
        <v>0</v>
      </c>
      <c r="Q16" s="114" t="str">
        <f aca="false">IF(ROUND(P16,0)=0,"","8/31/00 Balance Sheet does not Balance!")</f>
        <v/>
      </c>
    </row>
    <row r="17" customFormat="false" ht="15.75" hidden="false" customHeight="false" outlineLevel="0" collapsed="false">
      <c r="A17" s="90" t="s">
        <v>167</v>
      </c>
      <c r="B17" s="90" t="n">
        <f aca="false">-B16+350000000</f>
        <v>-186923065</v>
      </c>
      <c r="C17" s="134" t="s">
        <v>168</v>
      </c>
      <c r="D17" s="135" t="n">
        <f aca="false">1-B18/B16</f>
        <v>0.348137521341163</v>
      </c>
      <c r="I17" s="90" t="n">
        <f aca="false">SUM(I12:I16)</f>
        <v>79765891.2100738</v>
      </c>
    </row>
    <row r="18" customFormat="false" ht="16.5" hidden="false" customHeight="false" outlineLevel="0" collapsed="false">
      <c r="A18" s="90" t="s">
        <v>169</v>
      </c>
      <c r="B18" s="119" t="n">
        <f aca="false">B16+B17</f>
        <v>350000000</v>
      </c>
      <c r="C18" s="111" t="s">
        <v>139</v>
      </c>
      <c r="L18" s="136" t="s">
        <v>170</v>
      </c>
      <c r="M18" s="117"/>
      <c r="N18" s="117"/>
      <c r="O18" s="117"/>
      <c r="P18" s="117"/>
    </row>
    <row r="19" customFormat="false" ht="16.5" hidden="false" customHeight="false" outlineLevel="0" collapsed="false">
      <c r="H19" s="90" t="s">
        <v>171</v>
      </c>
      <c r="I19" s="90" t="n">
        <f aca="false">IF(I5&lt;81,(81-I5)*(D14+D15),IF(I5&gt;116,(116-I5)*(+D14+D15),0))</f>
        <v>150262298.9</v>
      </c>
      <c r="J19" s="91"/>
      <c r="L19" s="137" t="s">
        <v>172</v>
      </c>
      <c r="M19" s="90" t="n">
        <f aca="false">+E9+I33</f>
        <v>36000000</v>
      </c>
      <c r="N19" s="90" t="s">
        <v>173</v>
      </c>
      <c r="P19" s="90" t="n">
        <f aca="false">+M19/0.0302</f>
        <v>1192052980.13245</v>
      </c>
      <c r="T19" s="138"/>
    </row>
    <row r="20" customFormat="false" ht="16.5" hidden="false" customHeight="false" outlineLevel="0" collapsed="false">
      <c r="A20" s="139" t="s">
        <v>174</v>
      </c>
      <c r="B20" s="139"/>
      <c r="C20" s="139"/>
      <c r="D20" s="139"/>
      <c r="E20" s="139"/>
      <c r="H20" s="90" t="s">
        <v>175</v>
      </c>
      <c r="I20" s="90" t="n">
        <f aca="false">+'Daily Position'!P59</f>
        <v>-354391714.533522</v>
      </c>
      <c r="M20" s="140"/>
      <c r="N20" s="141" t="s">
        <v>176</v>
      </c>
      <c r="O20" s="140"/>
      <c r="P20" s="129" t="n">
        <f aca="false">-B11</f>
        <v>-471001000</v>
      </c>
    </row>
    <row r="21" customFormat="false" ht="15.75" hidden="false" customHeight="false" outlineLevel="0" collapsed="false">
      <c r="A21" s="142" t="s">
        <v>177</v>
      </c>
      <c r="B21" s="142"/>
      <c r="E21" s="90" t="n">
        <f aca="false">B11</f>
        <v>471001000</v>
      </c>
      <c r="F21" s="143" t="s">
        <v>147</v>
      </c>
      <c r="H21" s="90" t="s">
        <v>178</v>
      </c>
      <c r="I21" s="129" t="n">
        <f aca="false">+'Daily Position'!Q59</f>
        <v>-73827735.5723987</v>
      </c>
      <c r="J21" s="91"/>
      <c r="K21" s="90"/>
      <c r="M21" s="140"/>
      <c r="N21" s="141" t="s">
        <v>179</v>
      </c>
      <c r="O21" s="140"/>
      <c r="P21" s="91" t="n">
        <f aca="false">+P19+P20</f>
        <v>721051980.13245</v>
      </c>
    </row>
    <row r="22" customFormat="false" ht="15.75" hidden="false" customHeight="false" outlineLevel="0" collapsed="false">
      <c r="A22" s="90" t="s">
        <v>180</v>
      </c>
      <c r="B22" s="90" t="s">
        <v>154</v>
      </c>
      <c r="D22" s="90" t="n">
        <v>7171418</v>
      </c>
      <c r="H22" s="0"/>
      <c r="I22" s="144" t="n">
        <f aca="false">SUM(I19:I21)</f>
        <v>-277957151.20592</v>
      </c>
      <c r="J22" s="91"/>
      <c r="K22" s="90"/>
      <c r="N22" s="90" t="s">
        <v>181</v>
      </c>
      <c r="P22" s="90" t="n">
        <f aca="false">-'Daily Position'!I65</f>
        <v>-625525845.66775</v>
      </c>
    </row>
    <row r="23" customFormat="false" ht="16.5" hidden="false" customHeight="false" outlineLevel="0" collapsed="false">
      <c r="A23" s="90" t="s">
        <v>182</v>
      </c>
      <c r="B23" s="90" t="s">
        <v>183</v>
      </c>
      <c r="D23" s="128" t="n">
        <v>57.5</v>
      </c>
      <c r="E23" s="129" t="n">
        <f aca="false">D22*D23</f>
        <v>412356535</v>
      </c>
      <c r="H23" s="145" t="s">
        <v>184</v>
      </c>
      <c r="I23" s="146" t="n">
        <f aca="false">I22+I17</f>
        <v>-198191259.995847</v>
      </c>
      <c r="J23" s="147" t="s">
        <v>185</v>
      </c>
      <c r="N23" s="90" t="s">
        <v>97</v>
      </c>
      <c r="P23" s="148" t="n">
        <f aca="false">+'Daily Position'!Q61</f>
        <v>-74791624.7105499</v>
      </c>
    </row>
    <row r="24" customFormat="false" ht="16.5" hidden="false" customHeight="false" outlineLevel="0" collapsed="false">
      <c r="A24" s="90" t="s">
        <v>186</v>
      </c>
      <c r="E24" s="90" t="n">
        <f aca="false">SUM(E21:E23)</f>
        <v>883357535</v>
      </c>
      <c r="H24" s="91"/>
      <c r="I24" s="116"/>
      <c r="J24" s="91"/>
      <c r="P24" s="91"/>
    </row>
    <row r="25" customFormat="false" ht="15.75" hidden="false" customHeight="false" outlineLevel="0" collapsed="false">
      <c r="A25" s="90" t="s">
        <v>187</v>
      </c>
      <c r="E25" s="129" t="n">
        <f aca="false">E6</f>
        <v>41000000</v>
      </c>
      <c r="F25" s="104" t="s">
        <v>132</v>
      </c>
      <c r="H25" s="117" t="s">
        <v>188</v>
      </c>
      <c r="I25" s="117"/>
      <c r="J25" s="91"/>
      <c r="N25" s="90" t="s">
        <v>189</v>
      </c>
      <c r="P25" s="90" t="n">
        <f aca="false">+P21+P22+P23</f>
        <v>20734509.7541502</v>
      </c>
    </row>
    <row r="26" customFormat="false" ht="15.75" hidden="false" customHeight="false" outlineLevel="0" collapsed="false">
      <c r="E26" s="90" t="n">
        <f aca="false">E24-E25</f>
        <v>842357535</v>
      </c>
      <c r="H26" s="91" t="s">
        <v>190</v>
      </c>
      <c r="I26" s="116"/>
      <c r="J26" s="91"/>
      <c r="K26" s="90"/>
      <c r="L26" s="91"/>
      <c r="M26" s="91"/>
      <c r="N26" s="91"/>
      <c r="O26" s="91"/>
      <c r="P26" s="91"/>
    </row>
    <row r="27" customFormat="false" ht="15.75" hidden="false" customHeight="false" outlineLevel="0" collapsed="false">
      <c r="A27" s="90" t="s">
        <v>191</v>
      </c>
      <c r="E27" s="149" t="n">
        <v>0.0302</v>
      </c>
      <c r="H27" s="91" t="s">
        <v>192</v>
      </c>
      <c r="I27" s="116" t="n">
        <f aca="false">E9</f>
        <v>30000000</v>
      </c>
      <c r="J27" s="115" t="s">
        <v>144</v>
      </c>
    </row>
    <row r="28" customFormat="false" ht="15.75" hidden="false" customHeight="false" outlineLevel="0" collapsed="false">
      <c r="A28" s="90" t="s">
        <v>193</v>
      </c>
      <c r="E28" s="90" t="n">
        <f aca="false">E26*E27</f>
        <v>25439197.557</v>
      </c>
      <c r="H28" s="91" t="s">
        <v>194</v>
      </c>
      <c r="I28" s="133" t="n">
        <f aca="false">-B17</f>
        <v>186923065</v>
      </c>
      <c r="J28" s="150" t="s">
        <v>168</v>
      </c>
    </row>
    <row r="29" customFormat="false" ht="15.75" hidden="false" customHeight="false" outlineLevel="0" collapsed="false">
      <c r="A29" s="90" t="s">
        <v>195</v>
      </c>
      <c r="E29" s="90" t="n">
        <f aca="false">E9</f>
        <v>30000000</v>
      </c>
      <c r="F29" s="115" t="s">
        <v>144</v>
      </c>
      <c r="H29" s="91" t="s">
        <v>196</v>
      </c>
      <c r="I29" s="116" t="n">
        <f aca="false">SUM(I27:I28)</f>
        <v>216923065</v>
      </c>
      <c r="J29" s="91"/>
      <c r="L29" s="151" t="s">
        <v>197</v>
      </c>
      <c r="M29" s="151"/>
    </row>
    <row r="30" customFormat="false" ht="15.75" hidden="false" customHeight="false" outlineLevel="0" collapsed="false">
      <c r="A30" s="152" t="s">
        <v>198</v>
      </c>
      <c r="B30" s="144"/>
      <c r="C30" s="144"/>
      <c r="D30" s="144"/>
      <c r="E30" s="153" t="str">
        <f aca="false">IF(E29&gt;=E28,"Test Passed","Test Failed")</f>
        <v>Test Passed</v>
      </c>
      <c r="H30" s="91"/>
      <c r="I30" s="116"/>
      <c r="J30" s="91"/>
      <c r="L30" s="90" t="s">
        <v>199</v>
      </c>
    </row>
    <row r="31" customFormat="false" ht="15.75" hidden="false" customHeight="false" outlineLevel="0" collapsed="false">
      <c r="H31" s="91" t="s">
        <v>200</v>
      </c>
      <c r="I31" s="116" t="n">
        <f aca="false">I23</f>
        <v>-198191259.995847</v>
      </c>
      <c r="J31" s="147" t="s">
        <v>185</v>
      </c>
      <c r="L31" s="90" t="s">
        <v>201</v>
      </c>
      <c r="M31" s="90" t="n">
        <f aca="false">E9+'Cash-Int-Trans'!B17</f>
        <v>36000000</v>
      </c>
    </row>
    <row r="32" customFormat="false" ht="16.5" hidden="false" customHeight="false" outlineLevel="0" collapsed="false">
      <c r="A32" s="154" t="s">
        <v>202</v>
      </c>
      <c r="B32" s="155"/>
      <c r="H32" s="91" t="s">
        <v>203</v>
      </c>
      <c r="I32" s="116" t="n">
        <f aca="false">(D14+D15)*(I5-E14)</f>
        <v>-70295033.9</v>
      </c>
      <c r="J32" s="147"/>
      <c r="L32" s="90" t="s">
        <v>204</v>
      </c>
      <c r="M32" s="129" t="n">
        <f aca="false">E10</f>
        <v>1000</v>
      </c>
    </row>
    <row r="33" customFormat="false" ht="15.75" hidden="false" customHeight="false" outlineLevel="0" collapsed="false">
      <c r="A33" s="156" t="n">
        <v>36634</v>
      </c>
      <c r="B33" s="91" t="s">
        <v>205</v>
      </c>
      <c r="C33" s="0"/>
      <c r="D33" s="0"/>
      <c r="E33" s="0"/>
      <c r="H33" s="90" t="s">
        <v>206</v>
      </c>
      <c r="I33" s="92" t="n">
        <f aca="false">+'Cash-Int-Trans'!B17</f>
        <v>6000000</v>
      </c>
      <c r="M33" s="90" t="n">
        <f aca="false">SUM(M31:M32)</f>
        <v>36001000</v>
      </c>
    </row>
    <row r="34" customFormat="false" ht="15.75" hidden="false" customHeight="false" outlineLevel="0" collapsed="false">
      <c r="A34" s="157" t="n">
        <f aca="false">+Summary!C5</f>
        <v>36962</v>
      </c>
      <c r="B34" s="91" t="s">
        <v>207</v>
      </c>
      <c r="C34" s="0"/>
      <c r="D34" s="0"/>
      <c r="E34" s="0"/>
      <c r="H34" s="91" t="s">
        <v>208</v>
      </c>
      <c r="I34" s="116" t="n">
        <f aca="false">-I15</f>
        <v>-55991566.5022831</v>
      </c>
      <c r="J34" s="131" t="s">
        <v>163</v>
      </c>
      <c r="L34" s="90" t="s">
        <v>209</v>
      </c>
      <c r="M34" s="90" t="n">
        <f aca="false">I23</f>
        <v>-198191259.995847</v>
      </c>
    </row>
    <row r="35" customFormat="false" ht="16.5" hidden="false" customHeight="false" outlineLevel="0" collapsed="false">
      <c r="A35" s="158" t="n">
        <f aca="false">A34-A33</f>
        <v>328</v>
      </c>
      <c r="B35" s="91" t="s">
        <v>210</v>
      </c>
      <c r="C35" s="0"/>
      <c r="D35" s="0"/>
      <c r="E35" s="0"/>
      <c r="H35" s="91" t="s">
        <v>211</v>
      </c>
      <c r="I35" s="116" t="n">
        <f aca="false">+'Cash-Int-Trans'!B16</f>
        <v>-41000000</v>
      </c>
      <c r="J35" s="159"/>
      <c r="L35" s="90" t="s">
        <v>212</v>
      </c>
      <c r="M35" s="129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45" t="s">
        <v>213</v>
      </c>
      <c r="I36" s="160" t="n">
        <f aca="false">SUM(I29:I35)</f>
        <v>-142554795.39813</v>
      </c>
      <c r="J36" s="91"/>
      <c r="L36" s="90" t="s">
        <v>214</v>
      </c>
      <c r="M36" s="90" t="n">
        <f aca="false">SUM(M33:M35)</f>
        <v>-203190259.995847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90" t="s">
        <v>215</v>
      </c>
      <c r="K37" s="90"/>
      <c r="L37" s="90" t="s">
        <v>216</v>
      </c>
      <c r="M37" s="90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90"/>
      <c r="L38" s="90" t="s">
        <v>217</v>
      </c>
      <c r="M38" s="129" t="n">
        <f aca="false">P14</f>
        <v>-203190259.995847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90"/>
      <c r="M39" s="90" t="n">
        <f aca="false">M36-M37-M38</f>
        <v>0</v>
      </c>
      <c r="N39" s="161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90" t="s">
        <v>218</v>
      </c>
      <c r="M40" s="90" t="n">
        <f aca="false">ROUND(M36-SUM(M37:M38),0)</f>
        <v>0</v>
      </c>
      <c r="N40" s="162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90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0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90"/>
      <c r="L43" s="136" t="s">
        <v>170</v>
      </c>
      <c r="M43" s="117"/>
      <c r="N43" s="117"/>
      <c r="O43" s="117"/>
      <c r="P43" s="117"/>
      <c r="Q43" s="116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0"/>
      <c r="H44" s="163"/>
      <c r="L44" s="137" t="s">
        <v>177</v>
      </c>
      <c r="M44" s="137"/>
      <c r="P44" s="90" t="n">
        <f aca="false">M15</f>
        <v>648850315.987238</v>
      </c>
      <c r="Q44" s="132" t="s">
        <v>164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90"/>
      <c r="I45" s="90"/>
      <c r="L45" s="90" t="s">
        <v>219</v>
      </c>
      <c r="M45" s="140" t="n">
        <f aca="false">+'Daily Position'!I47</f>
        <v>93746590</v>
      </c>
      <c r="N45" s="140"/>
      <c r="O45" s="140" t="n">
        <f aca="false">-P9</f>
        <v>-30637565.04</v>
      </c>
      <c r="P45" s="90" t="n">
        <f aca="false">+M45+O45</f>
        <v>63109024.96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90"/>
      <c r="I46" s="90"/>
      <c r="L46" s="90" t="s">
        <v>220</v>
      </c>
      <c r="M46" s="140" t="n">
        <f aca="false">+'Daily Position'!I59-M45</f>
        <v>639935139.07</v>
      </c>
      <c r="N46" s="140"/>
      <c r="O46" s="140" t="n">
        <f aca="false">-P10</f>
        <v>-354391714.533522</v>
      </c>
      <c r="P46" s="129" t="n">
        <f aca="false">+M46+O46</f>
        <v>285543424.536478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90"/>
      <c r="I47" s="90"/>
      <c r="L47" s="90" t="s">
        <v>221</v>
      </c>
      <c r="P47" s="90" t="n">
        <f aca="false">+P44+P45+P46</f>
        <v>997502765.483716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90"/>
      <c r="I48" s="90"/>
      <c r="L48" s="90" t="s">
        <v>191</v>
      </c>
      <c r="P48" s="149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90"/>
      <c r="I49" s="90"/>
      <c r="L49" s="90" t="s">
        <v>193</v>
      </c>
      <c r="P49" s="90" t="n">
        <f aca="false">P47*P48</f>
        <v>30124583.5176082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90"/>
      <c r="I50" s="90"/>
      <c r="L50" s="90" t="s">
        <v>195</v>
      </c>
      <c r="P50" s="90" t="n">
        <f aca="false">P13</f>
        <v>0</v>
      </c>
      <c r="Q50" s="127" t="s">
        <v>157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90"/>
      <c r="I51" s="90"/>
      <c r="L51" s="152" t="s">
        <v>198</v>
      </c>
      <c r="M51" s="144"/>
      <c r="N51" s="144"/>
      <c r="O51" s="144"/>
      <c r="P51" s="153" t="str">
        <f aca="false">IF(P50&gt;=P49,"Test Passed","Test Failed")</f>
        <v>Test Failed</v>
      </c>
      <c r="Q51" s="127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0"/>
      <c r="I52" s="90"/>
      <c r="L52" s="91" t="s">
        <v>222</v>
      </c>
      <c r="M52" s="91"/>
      <c r="N52" s="91"/>
      <c r="O52" s="91"/>
      <c r="P52" s="91" t="n">
        <f aca="false">P50-P49</f>
        <v>-30124583.5176082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90"/>
      <c r="I53" s="90"/>
      <c r="L53" s="145" t="s">
        <v>223</v>
      </c>
      <c r="M53" s="145"/>
      <c r="N53" s="145"/>
      <c r="O53" s="145"/>
      <c r="P53" s="145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90"/>
      <c r="I54" s="90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0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1" activeCellId="0" sqref="B7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7" min="7" style="0" width="10.49"/>
  </cols>
  <sheetData>
    <row r="1" customFormat="false" ht="16.5" hidden="false" customHeight="false" outlineLevel="0" collapsed="false">
      <c r="A1" s="164" t="s">
        <v>224</v>
      </c>
      <c r="B1" s="164"/>
    </row>
    <row r="3" customFormat="false" ht="15.75" hidden="false" customHeight="false" outlineLevel="0" collapsed="false">
      <c r="A3" s="91" t="s">
        <v>225</v>
      </c>
      <c r="B3" s="92"/>
      <c r="C3" s="90"/>
    </row>
    <row r="4" customFormat="false" ht="15.75" hidden="false" customHeight="false" outlineLevel="0" collapsed="false">
      <c r="A4" s="163" t="s">
        <v>226</v>
      </c>
      <c r="B4" s="116" t="n">
        <f aca="false">IF(Summary!C5&lt;'Cash-Int-Trans'!D4,0,37034148)</f>
        <v>37034148</v>
      </c>
      <c r="C4" s="90"/>
      <c r="D4" s="59" t="n">
        <v>36741</v>
      </c>
    </row>
    <row r="5" customFormat="false" ht="15.75" hidden="false" customHeight="false" outlineLevel="0" collapsed="false">
      <c r="A5" s="163" t="s">
        <v>227</v>
      </c>
      <c r="B5" s="116" t="n">
        <f aca="false">IF(Summary!C5&lt;'Cash-Int-Trans'!D5,0,36066314-30637565.04)</f>
        <v>5428748.96</v>
      </c>
      <c r="C5" s="90"/>
      <c r="D5" s="59" t="n">
        <v>36910</v>
      </c>
    </row>
    <row r="6" customFormat="false" ht="15.75" hidden="false" customHeight="false" outlineLevel="0" collapsed="false">
      <c r="A6" s="90"/>
      <c r="B6" s="92"/>
      <c r="C6" s="90"/>
    </row>
    <row r="7" customFormat="false" ht="16.5" hidden="false" customHeight="false" outlineLevel="0" collapsed="false">
      <c r="A7" s="90" t="s">
        <v>228</v>
      </c>
      <c r="B7" s="165" t="n">
        <f aca="false">SUM(B3:B6)</f>
        <v>42462896.96</v>
      </c>
      <c r="C7" s="123" t="s">
        <v>152</v>
      </c>
    </row>
    <row r="8" customFormat="false" ht="16.5" hidden="false" customHeight="false" outlineLevel="0" collapsed="false">
      <c r="A8" s="90"/>
      <c r="B8" s="92"/>
      <c r="C8" s="90"/>
    </row>
    <row r="9" customFormat="false" ht="15.75" hidden="false" customHeight="false" outlineLevel="0" collapsed="false">
      <c r="A9" s="90" t="s">
        <v>229</v>
      </c>
      <c r="B9" s="92" t="n">
        <f aca="false">IF(Summary!C5&lt;'Cash-Int-Trans'!D9,0,-Financials!E6+B4)</f>
        <v>-3965852</v>
      </c>
      <c r="C9" s="90"/>
      <c r="D9" s="59" t="n">
        <v>36741</v>
      </c>
    </row>
    <row r="10" customFormat="false" ht="15.75" hidden="false" customHeight="false" outlineLevel="0" collapsed="false">
      <c r="A10" s="90" t="s">
        <v>230</v>
      </c>
      <c r="B10" s="92" t="n">
        <f aca="false">-B9</f>
        <v>3965852</v>
      </c>
      <c r="C10" s="90"/>
      <c r="D10" s="59" t="n">
        <f aca="false">+D9</f>
        <v>36741</v>
      </c>
    </row>
    <row r="11" customFormat="false" ht="15.75" hidden="false" customHeight="false" outlineLevel="0" collapsed="false">
      <c r="A11" s="90"/>
      <c r="B11" s="90"/>
      <c r="C11" s="90"/>
    </row>
    <row r="12" customFormat="false" ht="15.75" hidden="false" customHeight="false" outlineLevel="0" collapsed="false">
      <c r="A12" s="90" t="s">
        <v>231</v>
      </c>
      <c r="B12" s="92" t="n">
        <f aca="false">IF(Summary!C5&lt;'Cash-Int-Trans'!D12,0,36066314)</f>
        <v>36066314</v>
      </c>
      <c r="C12" s="90"/>
      <c r="D12" s="59" t="n">
        <v>36741</v>
      </c>
    </row>
    <row r="13" customFormat="false" ht="15.75" hidden="false" customHeight="false" outlineLevel="0" collapsed="false">
      <c r="A13" s="90" t="s">
        <v>232</v>
      </c>
      <c r="B13" s="92" t="n">
        <f aca="false">-B12</f>
        <v>-36066314</v>
      </c>
      <c r="C13" s="90"/>
      <c r="D13" s="59" t="n">
        <f aca="false">+D12</f>
        <v>36741</v>
      </c>
    </row>
    <row r="14" customFormat="false" ht="15.75" hidden="false" customHeight="false" outlineLevel="0" collapsed="false">
      <c r="A14" s="90"/>
      <c r="B14" s="90"/>
      <c r="C14" s="90"/>
    </row>
    <row r="15" customFormat="false" ht="15.75" hidden="false" customHeight="false" outlineLevel="0" collapsed="false">
      <c r="A15" s="90" t="s">
        <v>233</v>
      </c>
      <c r="B15" s="92"/>
      <c r="C15" s="90"/>
    </row>
    <row r="16" customFormat="false" ht="15.75" hidden="false" customHeight="false" outlineLevel="0" collapsed="false">
      <c r="A16" s="90" t="s">
        <v>234</v>
      </c>
      <c r="B16" s="92" t="n">
        <f aca="false">IF(Summary!C5&lt;'Cash-Int-Trans'!D16,0,-41000000)</f>
        <v>-41000000</v>
      </c>
      <c r="C16" s="90"/>
      <c r="D16" s="59" t="n">
        <v>36741</v>
      </c>
    </row>
    <row r="17" customFormat="false" ht="15.75" hidden="false" customHeight="false" outlineLevel="0" collapsed="false">
      <c r="A17" s="90" t="s">
        <v>235</v>
      </c>
      <c r="B17" s="92" t="n">
        <f aca="false">IF(Summary!$C$5&lt;'Cash-Int-Trans'!D17,0,6000000)</f>
        <v>6000000</v>
      </c>
      <c r="C17" s="90"/>
      <c r="D17" s="59" t="n">
        <v>36741</v>
      </c>
    </row>
    <row r="18" customFormat="false" ht="15.75" hidden="false" customHeight="false" outlineLevel="0" collapsed="false">
      <c r="A18" s="90"/>
      <c r="B18" s="92"/>
      <c r="C18" s="90"/>
      <c r="D18" s="59"/>
    </row>
    <row r="19" customFormat="false" ht="15.75" hidden="false" customHeight="false" outlineLevel="0" collapsed="false">
      <c r="A19" s="90" t="s">
        <v>236</v>
      </c>
      <c r="B19" s="92" t="n">
        <f aca="false">IF(Summary!$C$5&lt;'Cash-Int-Trans'!D19,0,-Amort!D11)</f>
        <v>-1613888.88888889</v>
      </c>
      <c r="C19" s="90"/>
      <c r="D19" s="59" t="n">
        <v>36800</v>
      </c>
    </row>
    <row r="20" customFormat="false" ht="15.75" hidden="false" customHeight="false" outlineLevel="0" collapsed="false">
      <c r="A20" s="90" t="s">
        <v>237</v>
      </c>
      <c r="B20" s="92" t="n">
        <f aca="false">-B19</f>
        <v>1613888.88888889</v>
      </c>
      <c r="C20" s="90"/>
      <c r="D20" s="59" t="n">
        <f aca="false">+D19</f>
        <v>36800</v>
      </c>
    </row>
    <row r="21" customFormat="false" ht="15.75" hidden="false" customHeight="false" outlineLevel="0" collapsed="false">
      <c r="A21" s="90"/>
      <c r="B21" s="92"/>
      <c r="C21" s="90"/>
    </row>
    <row r="22" customFormat="false" ht="16.5" hidden="false" customHeight="false" outlineLevel="0" collapsed="false">
      <c r="A22" s="164" t="s">
        <v>238</v>
      </c>
      <c r="B22" s="164"/>
      <c r="C22" s="164"/>
      <c r="D22" s="164"/>
      <c r="E22" s="164"/>
      <c r="F22" s="164"/>
    </row>
    <row r="24" customFormat="false" ht="15.75" hidden="false" customHeight="false" outlineLevel="0" collapsed="false">
      <c r="A24" s="0" t="s">
        <v>39</v>
      </c>
      <c r="B24" s="59" t="n">
        <f aca="false">+Summary!C5</f>
        <v>36962</v>
      </c>
    </row>
    <row r="25" customFormat="false" ht="15.75" hidden="false" customHeight="false" outlineLevel="0" collapsed="false">
      <c r="A25" s="0" t="s">
        <v>239</v>
      </c>
      <c r="B25" s="59" t="n">
        <v>36634</v>
      </c>
      <c r="D25" s="16" t="n">
        <f aca="false">IF(B24&gt;(B25-1),30000000,0)</f>
        <v>30000000</v>
      </c>
    </row>
    <row r="26" customFormat="false" ht="15.75" hidden="false" customHeight="false" outlineLevel="0" collapsed="false">
      <c r="A26" s="0" t="s">
        <v>240</v>
      </c>
      <c r="B26" s="59" t="n">
        <v>36741</v>
      </c>
      <c r="D26" s="16" t="n">
        <f aca="false">IF(B24&gt;(B26-1),6000000,0)</f>
        <v>6000000</v>
      </c>
    </row>
    <row r="27" customFormat="false" ht="18" hidden="false" customHeight="false" outlineLevel="0" collapsed="false">
      <c r="A27" s="0" t="s">
        <v>241</v>
      </c>
      <c r="B27" s="59" t="n">
        <f aca="false">+Summary!C5</f>
        <v>36962</v>
      </c>
      <c r="D27" s="166" t="n">
        <f aca="false">IF(B27&gt;B26,+(+B27-B26)/365*0.12*D26,0)</f>
        <v>435945.205479452</v>
      </c>
    </row>
    <row r="28" customFormat="false" ht="15.75" hidden="false" customHeight="false" outlineLevel="0" collapsed="false">
      <c r="A28" s="0" t="s">
        <v>242</v>
      </c>
      <c r="D28" s="54" t="n">
        <f aca="false">SUM(D25:D27)</f>
        <v>36435945.2054795</v>
      </c>
    </row>
    <row r="29" customFormat="false" ht="15.75" hidden="false" customHeight="false" outlineLevel="0" collapsed="false">
      <c r="A29" s="90"/>
      <c r="B29" s="92"/>
      <c r="C29" s="90"/>
    </row>
    <row r="30" customFormat="false" ht="16.5" hidden="false" customHeight="false" outlineLevel="0" collapsed="false">
      <c r="A30" s="164" t="s">
        <v>243</v>
      </c>
      <c r="B30" s="164"/>
    </row>
    <row r="32" customFormat="false" ht="15.75" hidden="false" customHeight="false" outlineLevel="0" collapsed="false">
      <c r="A32" s="0" t="s">
        <v>244</v>
      </c>
      <c r="B32" s="90" t="n">
        <f aca="false">+Financials!B6</f>
        <v>71001000</v>
      </c>
      <c r="D32" s="59" t="n">
        <v>36634</v>
      </c>
    </row>
    <row r="34" customFormat="false" ht="15.75" hidden="false" customHeight="false" outlineLevel="0" collapsed="false">
      <c r="A34" s="0" t="s">
        <v>245</v>
      </c>
      <c r="B34" s="90" t="n">
        <f aca="false">+Financials!I23</f>
        <v>-198191259.995847</v>
      </c>
    </row>
    <row r="35" customFormat="false" ht="15.75" hidden="false" customHeight="false" outlineLevel="0" collapsed="false">
      <c r="A35" s="0" t="s">
        <v>246</v>
      </c>
      <c r="B35" s="90" t="n">
        <f aca="false">-Financials!I15</f>
        <v>-55991566.5022831</v>
      </c>
    </row>
    <row r="36" customFormat="false" ht="15.75" hidden="false" customHeight="false" outlineLevel="0" collapsed="false">
      <c r="A36" s="90" t="str">
        <f aca="false">+Financials!H20</f>
        <v>Unrealized Gains / (Losses)</v>
      </c>
      <c r="B36" s="90" t="n">
        <f aca="false">-Financials!I20-Financials!I19</f>
        <v>204129415.633522</v>
      </c>
    </row>
    <row r="38" customFormat="false" ht="15.75" hidden="false" customHeight="false" outlineLevel="0" collapsed="false">
      <c r="A38" s="0" t="s">
        <v>247</v>
      </c>
    </row>
    <row r="39" customFormat="false" ht="15.75" hidden="false" customHeight="false" outlineLevel="0" collapsed="false">
      <c r="A39" s="0" t="s">
        <v>248</v>
      </c>
      <c r="B39" s="90" t="n">
        <f aca="false">+Financials!B7-Financials!M9</f>
        <v>0</v>
      </c>
    </row>
    <row r="40" customFormat="false" ht="15.75" hidden="false" customHeight="false" outlineLevel="0" collapsed="false">
      <c r="A40" s="0" t="s">
        <v>149</v>
      </c>
      <c r="B40" s="90" t="n">
        <f aca="false">0-Financials!M11</f>
        <v>-1575000</v>
      </c>
    </row>
    <row r="41" customFormat="false" ht="15.75" hidden="false" customHeight="false" outlineLevel="0" collapsed="false">
      <c r="A41" s="0" t="s">
        <v>249</v>
      </c>
      <c r="B41" s="90" t="n">
        <f aca="false">-Financials!E7+Financials!P12</f>
        <v>67011296.4095624</v>
      </c>
    </row>
    <row r="42" customFormat="false" ht="15.75" hidden="false" customHeight="false" outlineLevel="0" collapsed="false">
      <c r="A42" s="0" t="s">
        <v>250</v>
      </c>
      <c r="B42" s="90" t="n">
        <f aca="false">-Financials!E6+Financials!P8+Financials!P9</f>
        <v>-10362434.96</v>
      </c>
      <c r="E42" s="90"/>
    </row>
    <row r="44" customFormat="false" ht="15.75" hidden="false" customHeight="false" outlineLevel="0" collapsed="false">
      <c r="A44" s="0" t="s">
        <v>233</v>
      </c>
      <c r="B44" s="90" t="n">
        <f aca="false">+B16</f>
        <v>-41000000</v>
      </c>
    </row>
    <row r="45" customFormat="false" ht="15.75" hidden="false" customHeight="false" outlineLevel="0" collapsed="false">
      <c r="A45" s="0" t="s">
        <v>251</v>
      </c>
      <c r="B45" s="90" t="n">
        <f aca="false">+B17</f>
        <v>6000000</v>
      </c>
    </row>
    <row r="47" customFormat="false" ht="16.5" hidden="false" customHeight="false" outlineLevel="0" collapsed="false">
      <c r="A47" s="0" t="s">
        <v>252</v>
      </c>
      <c r="B47" s="119" t="n">
        <f aca="false">SUM(B32:B46)</f>
        <v>41021450.5849544</v>
      </c>
      <c r="D47" s="90" t="n">
        <f aca="false">+B32+B16+B17+B50+B20</f>
        <v>41021450.5849544</v>
      </c>
      <c r="E47" s="90"/>
    </row>
    <row r="48" customFormat="false" ht="16.5" hidden="false" customHeight="false" outlineLevel="0" collapsed="false"/>
    <row r="49" customFormat="false" ht="16.5" hidden="false" customHeight="false" outlineLevel="0" collapsed="false">
      <c r="A49" s="164" t="s">
        <v>253</v>
      </c>
      <c r="B49" s="164"/>
      <c r="C49" s="164"/>
      <c r="D49" s="164"/>
      <c r="E49" s="164"/>
      <c r="F49" s="164"/>
    </row>
    <row r="50" customFormat="false" ht="15.75" hidden="false" customHeight="false" outlineLevel="0" collapsed="false">
      <c r="A50" s="167" t="s">
        <v>155</v>
      </c>
      <c r="B50" s="168" t="n">
        <f aca="false">+B56+B62+B68</f>
        <v>3406561.69606548</v>
      </c>
    </row>
    <row r="51" customFormat="false" ht="15.75" hidden="false" customHeight="false" outlineLevel="0" collapsed="false">
      <c r="A51" s="169"/>
      <c r="E51" s="170" t="s">
        <v>254</v>
      </c>
      <c r="F51" s="171"/>
    </row>
    <row r="52" customFormat="false" ht="15.75" hidden="false" customHeight="false" outlineLevel="0" collapsed="false">
      <c r="A52" s="0" t="s">
        <v>31</v>
      </c>
      <c r="B52" s="59" t="n">
        <v>36634</v>
      </c>
      <c r="E52" s="172" t="n">
        <v>36631</v>
      </c>
      <c r="F52" s="173" t="n">
        <v>0.0692</v>
      </c>
    </row>
    <row r="53" customFormat="false" ht="15.75" hidden="false" customHeight="false" outlineLevel="0" collapsed="false">
      <c r="A53" s="0" t="s">
        <v>244</v>
      </c>
      <c r="B53" s="90" t="n">
        <v>71001000</v>
      </c>
      <c r="E53" s="172" t="n">
        <v>36661</v>
      </c>
      <c r="F53" s="173" t="n">
        <v>0.0733</v>
      </c>
    </row>
    <row r="54" customFormat="false" ht="15.75" hidden="false" customHeight="false" outlineLevel="0" collapsed="false">
      <c r="A54" s="0" t="s">
        <v>31</v>
      </c>
      <c r="B54" s="59" t="n">
        <f aca="false">IF(Summary!$C$5&lt;'Cash-Int-Trans'!B52,+'Cash-Int-Trans'!B52,IF(Summary!$C$5&gt;'Cash-Int-Trans'!D54,'Cash-Int-Trans'!D54,Summary!$C$5))</f>
        <v>36741</v>
      </c>
      <c r="D54" s="59" t="n">
        <v>36741</v>
      </c>
      <c r="E54" s="172" t="n">
        <v>36692</v>
      </c>
      <c r="F54" s="173" t="n">
        <v>0.074</v>
      </c>
    </row>
    <row r="55" customFormat="false" ht="15.75" hidden="false" customHeight="false" outlineLevel="0" collapsed="false">
      <c r="A55" s="0" t="s">
        <v>255</v>
      </c>
      <c r="B55" s="26" t="n">
        <f aca="false">+B54-B52</f>
        <v>107</v>
      </c>
      <c r="E55" s="172" t="n">
        <v>36722</v>
      </c>
      <c r="F55" s="173" t="n">
        <v>0.0733</v>
      </c>
    </row>
    <row r="56" customFormat="false" ht="15.75" hidden="false" customHeight="false" outlineLevel="0" collapsed="false">
      <c r="A56" s="0" t="s">
        <v>256</v>
      </c>
      <c r="B56" s="174" t="n">
        <f aca="false">+B53*(F56+0.0045)/360*B55</f>
        <v>1623881.62125</v>
      </c>
      <c r="E56" s="175" t="s">
        <v>257</v>
      </c>
      <c r="F56" s="176" t="n">
        <f aca="false">AVERAGE(F52:F55)</f>
        <v>0.07245</v>
      </c>
    </row>
    <row r="58" customFormat="false" ht="15.75" hidden="false" customHeight="false" outlineLevel="0" collapsed="false">
      <c r="A58" s="0" t="s">
        <v>31</v>
      </c>
      <c r="B58" s="59" t="n">
        <f aca="false">+D54</f>
        <v>36741</v>
      </c>
      <c r="E58" s="172" t="n">
        <v>36722</v>
      </c>
      <c r="F58" s="173" t="n">
        <v>0.0733</v>
      </c>
    </row>
    <row r="59" customFormat="false" ht="15.75" hidden="false" customHeight="false" outlineLevel="0" collapsed="false">
      <c r="A59" s="0" t="s">
        <v>244</v>
      </c>
      <c r="B59" s="90" t="n">
        <v>37624882</v>
      </c>
      <c r="E59" s="59" t="n">
        <v>36753</v>
      </c>
      <c r="F59" s="173" t="n">
        <v>0.0724</v>
      </c>
    </row>
    <row r="60" customFormat="false" ht="15.75" hidden="false" customHeight="false" outlineLevel="0" collapsed="false">
      <c r="A60" s="0" t="s">
        <v>31</v>
      </c>
      <c r="B60" s="59" t="n">
        <f aca="false">IF(Summary!$C$5&lt;'Cash-Int-Trans'!B58,+'Cash-Int-Trans'!B58,IF(Summary!$C$5&gt;'Cash-Int-Trans'!D60,'Cash-Int-Trans'!D60,Summary!$C$5))</f>
        <v>36800</v>
      </c>
      <c r="D60" s="59" t="n">
        <v>36800</v>
      </c>
      <c r="E60" s="59" t="n">
        <v>36784</v>
      </c>
      <c r="F60" s="173" t="n">
        <v>0.072</v>
      </c>
    </row>
    <row r="61" customFormat="false" ht="15.75" hidden="false" customHeight="false" outlineLevel="0" collapsed="false">
      <c r="A61" s="0" t="s">
        <v>255</v>
      </c>
      <c r="B61" s="26" t="n">
        <f aca="false">+B60-B58</f>
        <v>59</v>
      </c>
      <c r="D61" s="90"/>
      <c r="E61" s="175" t="s">
        <v>257</v>
      </c>
      <c r="F61" s="176" t="n">
        <f aca="false">AVERAGE(F58:F60)</f>
        <v>0.0725666666666667</v>
      </c>
    </row>
    <row r="62" customFormat="false" ht="15.75" hidden="false" customHeight="false" outlineLevel="0" collapsed="false">
      <c r="A62" s="0" t="s">
        <v>256</v>
      </c>
      <c r="B62" s="174" t="n">
        <f aca="false">+B59*(F61+0.0045)/360*B61</f>
        <v>475216.194801482</v>
      </c>
    </row>
    <row r="64" customFormat="false" ht="15.75" hidden="false" customHeight="false" outlineLevel="0" collapsed="false">
      <c r="A64" s="0" t="s">
        <v>31</v>
      </c>
      <c r="B64" s="59" t="n">
        <f aca="false">+D60</f>
        <v>36800</v>
      </c>
      <c r="E64" s="59" t="n">
        <v>36784</v>
      </c>
      <c r="F64" s="173" t="n">
        <v>0.072</v>
      </c>
      <c r="G64" s="59" t="n">
        <v>36906</v>
      </c>
      <c r="H64" s="173" t="n">
        <v>0.0594</v>
      </c>
    </row>
    <row r="65" customFormat="false" ht="15.75" hidden="false" customHeight="false" outlineLevel="0" collapsed="false">
      <c r="A65" s="0" t="s">
        <v>244</v>
      </c>
      <c r="B65" s="90" t="n">
        <v>39713987</v>
      </c>
      <c r="E65" s="59" t="n">
        <v>36814</v>
      </c>
      <c r="F65" s="173" t="n">
        <v>0.0718</v>
      </c>
      <c r="G65" s="59" t="n">
        <v>36937</v>
      </c>
    </row>
    <row r="66" customFormat="false" ht="15.75" hidden="false" customHeight="false" outlineLevel="0" collapsed="false">
      <c r="A66" s="0" t="s">
        <v>31</v>
      </c>
      <c r="B66" s="59" t="n">
        <f aca="false">IF(Summary!$C$5&lt;'Cash-Int-Trans'!B64,+'Cash-Int-Trans'!B64,Summary!$C$5)</f>
        <v>36962</v>
      </c>
      <c r="E66" s="59" t="n">
        <v>36845</v>
      </c>
      <c r="F66" s="173" t="n">
        <v>0.0713</v>
      </c>
      <c r="G66" s="59" t="n">
        <v>36965</v>
      </c>
    </row>
    <row r="67" customFormat="false" ht="15.75" hidden="false" customHeight="false" outlineLevel="0" collapsed="false">
      <c r="A67" s="0" t="s">
        <v>255</v>
      </c>
      <c r="B67" s="26" t="n">
        <f aca="false">+B66-B64</f>
        <v>162</v>
      </c>
      <c r="E67" s="59" t="n">
        <v>36875</v>
      </c>
      <c r="F67" s="173" t="n">
        <v>0.0688</v>
      </c>
      <c r="G67" s="59" t="n">
        <v>36996</v>
      </c>
    </row>
    <row r="68" customFormat="false" ht="15.75" hidden="false" customHeight="false" outlineLevel="0" collapsed="false">
      <c r="A68" s="0" t="s">
        <v>256</v>
      </c>
      <c r="B68" s="174" t="n">
        <f aca="false">+B65*(F68+0.0045)/360*B67</f>
        <v>1307463.880014</v>
      </c>
      <c r="E68" s="175" t="s">
        <v>257</v>
      </c>
      <c r="F68" s="176" t="n">
        <f aca="false">AVERAGE(F64:F67,H64:H67)</f>
        <v>0.06866</v>
      </c>
    </row>
    <row r="70" customFormat="false" ht="16.5" hidden="false" customHeight="false" outlineLevel="0" collapsed="false">
      <c r="A70" s="164" t="s">
        <v>258</v>
      </c>
      <c r="B70" s="164"/>
      <c r="C70" s="164"/>
      <c r="D70" s="164"/>
      <c r="E70" s="164"/>
      <c r="F70" s="164"/>
    </row>
    <row r="71" customFormat="false" ht="15.75" hidden="false" customHeight="false" outlineLevel="0" collapsed="false">
      <c r="A71" s="167" t="s">
        <v>259</v>
      </c>
      <c r="B71" s="168" t="n">
        <f aca="false">+B73+E78+E82+E86+E90+E94+E98+E102+E106+E110+E114+E118</f>
        <v>25284022.8371636</v>
      </c>
    </row>
    <row r="72" customFormat="false" ht="15.75" hidden="false" customHeight="false" outlineLevel="0" collapsed="false">
      <c r="A72" s="169"/>
    </row>
    <row r="73" customFormat="false" ht="15.75" hidden="false" customHeight="false" outlineLevel="0" collapsed="false">
      <c r="A73" s="0" t="s">
        <v>260</v>
      </c>
      <c r="B73" s="26" t="n">
        <f aca="false">+Amort!B61</f>
        <v>24895046.2536559</v>
      </c>
      <c r="E73" s="170"/>
      <c r="F73" s="170"/>
    </row>
    <row r="74" customFormat="false" ht="15.75" hidden="false" customHeight="false" outlineLevel="0" collapsed="false">
      <c r="B74" s="26"/>
      <c r="E74" s="170"/>
      <c r="F74" s="171"/>
    </row>
    <row r="75" customFormat="false" ht="15.75" hidden="false" customHeight="false" outlineLevel="0" collapsed="false">
      <c r="A75" s="0" t="s">
        <v>261</v>
      </c>
      <c r="B75" s="90"/>
      <c r="E75" s="172"/>
      <c r="F75" s="173"/>
    </row>
    <row r="76" customFormat="false" ht="15.75" hidden="false" customHeight="false" outlineLevel="0" collapsed="false">
      <c r="A76" s="0" t="s">
        <v>262</v>
      </c>
      <c r="B76" s="59" t="n">
        <v>36741</v>
      </c>
      <c r="D76" s="0" t="s">
        <v>31</v>
      </c>
      <c r="E76" s="59" t="n">
        <f aca="false">IF(Summary!C5&gt;Amort!A43,Amort!A43,Summary!C5)</f>
        <v>36800</v>
      </c>
      <c r="F76" s="173"/>
    </row>
    <row r="77" customFormat="false" ht="15.75" hidden="false" customHeight="false" outlineLevel="0" collapsed="false">
      <c r="A77" s="0" t="s">
        <v>263</v>
      </c>
      <c r="B77" s="26" t="n">
        <f aca="false">+B10</f>
        <v>3965852</v>
      </c>
      <c r="D77" s="0" t="s">
        <v>255</v>
      </c>
      <c r="E77" s="26" t="n">
        <f aca="false">IF(E76&gt;B76,+E76-B76,0)</f>
        <v>59</v>
      </c>
      <c r="F77" s="173"/>
    </row>
    <row r="78" customFormat="false" ht="15.75" hidden="false" customHeight="false" outlineLevel="0" collapsed="false">
      <c r="A78" s="90" t="str">
        <f aca="false">+A9</f>
        <v>Cash Settlement on Put</v>
      </c>
      <c r="D78" s="0" t="s">
        <v>264</v>
      </c>
      <c r="E78" s="174" t="n">
        <f aca="false">+B77*0.07/360*E77</f>
        <v>45497.1354444444</v>
      </c>
    </row>
    <row r="79" customFormat="false" ht="15.75" hidden="false" customHeight="false" outlineLevel="0" collapsed="false">
      <c r="A79" s="90"/>
      <c r="E79" s="174"/>
    </row>
    <row r="80" customFormat="false" ht="15.75" hidden="false" customHeight="false" outlineLevel="0" collapsed="false">
      <c r="A80" s="0" t="s">
        <v>262</v>
      </c>
      <c r="B80" s="59" t="n">
        <f aca="false">+D13</f>
        <v>36741</v>
      </c>
      <c r="D80" s="0" t="s">
        <v>31</v>
      </c>
      <c r="E80" s="59" t="n">
        <f aca="false">IF(Summary!C5&gt;Amort!A43,Amort!A43,Summary!C5)</f>
        <v>36800</v>
      </c>
    </row>
    <row r="81" customFormat="false" ht="15.75" hidden="false" customHeight="false" outlineLevel="0" collapsed="false">
      <c r="A81" s="0" t="s">
        <v>263</v>
      </c>
      <c r="B81" s="26" t="n">
        <f aca="false">+B13</f>
        <v>-36066314</v>
      </c>
      <c r="D81" s="0" t="s">
        <v>255</v>
      </c>
      <c r="E81" s="26" t="n">
        <f aca="false">IF(E80&gt;B80,+E80-B80,0)</f>
        <v>59</v>
      </c>
    </row>
    <row r="82" customFormat="false" ht="15.75" hidden="false" customHeight="false" outlineLevel="0" collapsed="false">
      <c r="A82" s="90" t="str">
        <f aca="false">+A12</f>
        <v>Merlin Credit Derivative Put Premium</v>
      </c>
      <c r="D82" s="0" t="s">
        <v>264</v>
      </c>
      <c r="E82" s="174" t="n">
        <f aca="false">+B81*0.07/360*E81</f>
        <v>-413760.768944445</v>
      </c>
    </row>
    <row r="83" customFormat="false" ht="15.75" hidden="false" customHeight="false" outlineLevel="0" collapsed="false">
      <c r="A83" s="90"/>
      <c r="E83" s="174"/>
    </row>
    <row r="84" customFormat="false" ht="15.75" hidden="false" customHeight="false" outlineLevel="0" collapsed="false">
      <c r="A84" s="0" t="s">
        <v>262</v>
      </c>
      <c r="B84" s="59" t="n">
        <f aca="false">+B86</f>
        <v>36831</v>
      </c>
      <c r="D84" s="0" t="s">
        <v>31</v>
      </c>
      <c r="E84" s="59" t="n">
        <f aca="false">IF(Summary!$C$5&gt;Amort!$A$44,Amort!$A$44,Summary!$C$5)</f>
        <v>36962</v>
      </c>
    </row>
    <row r="85" customFormat="false" ht="15.75" hidden="false" customHeight="false" outlineLevel="0" collapsed="false">
      <c r="A85" s="0" t="s">
        <v>263</v>
      </c>
      <c r="B85" s="26" t="n">
        <f aca="false">-'Daily Position'!Q20</f>
        <v>-65511</v>
      </c>
      <c r="D85" s="0" t="s">
        <v>255</v>
      </c>
      <c r="E85" s="26" t="n">
        <f aca="false">IF(E84&gt;B84,+E84-B84,0)</f>
        <v>131</v>
      </c>
    </row>
    <row r="86" customFormat="false" ht="15.75" hidden="false" customHeight="false" outlineLevel="0" collapsed="false">
      <c r="A86" s="0" t="s">
        <v>265</v>
      </c>
      <c r="B86" s="59" t="n">
        <f aca="false">+'Daily Position'!J20</f>
        <v>36831</v>
      </c>
      <c r="D86" s="0" t="s">
        <v>264</v>
      </c>
      <c r="E86" s="174" t="n">
        <f aca="false">+B85*0.07/360*E85</f>
        <v>-1668.71075</v>
      </c>
    </row>
    <row r="87" customFormat="false" ht="15.75" hidden="false" customHeight="false" outlineLevel="0" collapsed="false">
      <c r="A87" s="90"/>
      <c r="E87" s="174"/>
    </row>
    <row r="88" customFormat="false" ht="15.75" hidden="false" customHeight="false" outlineLevel="0" collapsed="false">
      <c r="A88" s="0" t="s">
        <v>262</v>
      </c>
      <c r="B88" s="59" t="n">
        <v>36844</v>
      </c>
      <c r="D88" s="0" t="s">
        <v>31</v>
      </c>
      <c r="E88" s="59" t="n">
        <f aca="false">IF(Summary!$C$5&gt;Amort!$A$44,Amort!$A$44,Summary!$C$5)</f>
        <v>36962</v>
      </c>
    </row>
    <row r="89" customFormat="false" ht="15.75" hidden="false" customHeight="false" outlineLevel="0" collapsed="false">
      <c r="A89" s="0" t="s">
        <v>263</v>
      </c>
      <c r="B89" s="26" t="n">
        <f aca="false">-(+'Daily Position'!Q10+'Daily Position'!Q51)</f>
        <v>-299117.998151162</v>
      </c>
      <c r="D89" s="0" t="s">
        <v>255</v>
      </c>
      <c r="E89" s="26" t="n">
        <f aca="false">IF(E88&gt;B88,+E88-B88,0)</f>
        <v>118</v>
      </c>
    </row>
    <row r="90" customFormat="false" ht="15.75" hidden="false" customHeight="false" outlineLevel="0" collapsed="false">
      <c r="A90" s="0" t="s">
        <v>266</v>
      </c>
      <c r="B90" s="59" t="n">
        <f aca="false">+'Daily Position'!J10</f>
        <v>36839</v>
      </c>
      <c r="D90" s="0" t="s">
        <v>264</v>
      </c>
      <c r="E90" s="174" t="n">
        <f aca="false">+B89*0.07/360*E89</f>
        <v>-6863.09629091276</v>
      </c>
    </row>
    <row r="91" customFormat="false" ht="15.75" hidden="false" customHeight="false" outlineLevel="0" collapsed="false">
      <c r="B91" s="59"/>
      <c r="E91" s="174"/>
    </row>
    <row r="92" customFormat="false" ht="15.75" hidden="false" customHeight="false" outlineLevel="0" collapsed="false">
      <c r="A92" s="0" t="s">
        <v>262</v>
      </c>
      <c r="B92" s="59" t="n">
        <v>36873</v>
      </c>
      <c r="D92" s="0" t="s">
        <v>31</v>
      </c>
      <c r="E92" s="59" t="n">
        <f aca="false">IF(Summary!$C$5&gt;Amort!$A$44,Amort!$A$44,Summary!$C$5)</f>
        <v>36962</v>
      </c>
    </row>
    <row r="93" customFormat="false" ht="15.75" hidden="false" customHeight="false" outlineLevel="0" collapsed="false">
      <c r="A93" s="0" t="s">
        <v>263</v>
      </c>
      <c r="B93" s="26" t="n">
        <f aca="false">-(+'Daily Position'!Q13+'Daily Position'!Q54)</f>
        <v>1166000.12055</v>
      </c>
      <c r="D93" s="0" t="s">
        <v>255</v>
      </c>
      <c r="E93" s="26" t="n">
        <f aca="false">IF(E92&gt;B92,+E92-B92,0)</f>
        <v>89</v>
      </c>
    </row>
    <row r="94" customFormat="false" ht="15.75" hidden="false" customHeight="false" outlineLevel="0" collapsed="false">
      <c r="A94" s="0" t="s">
        <v>267</v>
      </c>
      <c r="B94" s="59" t="n">
        <f aca="false">+'Daily Position'!J13</f>
        <v>36868</v>
      </c>
      <c r="D94" s="0" t="s">
        <v>264</v>
      </c>
      <c r="E94" s="174" t="n">
        <f aca="false">+B93*0.07/360*E93</f>
        <v>20178.2798639625</v>
      </c>
    </row>
    <row r="96" customFormat="false" ht="15.75" hidden="false" customHeight="false" outlineLevel="0" collapsed="false">
      <c r="A96" s="0" t="s">
        <v>262</v>
      </c>
      <c r="B96" s="59" t="n">
        <v>36879</v>
      </c>
      <c r="D96" s="0" t="s">
        <v>31</v>
      </c>
      <c r="E96" s="59" t="n">
        <f aca="false">IF(Summary!$C$5&gt;Amort!$A$44,Amort!$A$44,Summary!$C$5)</f>
        <v>36962</v>
      </c>
    </row>
    <row r="97" customFormat="false" ht="15.75" hidden="false" customHeight="false" outlineLevel="0" collapsed="false">
      <c r="A97" s="0" t="s">
        <v>263</v>
      </c>
      <c r="B97" s="26" t="n">
        <f aca="false">-(+'Daily Position'!Q12+'Daily Position'!Q53)</f>
        <v>-599260.14</v>
      </c>
      <c r="D97" s="0" t="s">
        <v>255</v>
      </c>
      <c r="E97" s="26" t="n">
        <f aca="false">IF(E96&gt;B96,+E96-B96,0)</f>
        <v>83</v>
      </c>
    </row>
    <row r="98" customFormat="false" ht="15.75" hidden="false" customHeight="false" outlineLevel="0" collapsed="false">
      <c r="A98" s="0" t="s">
        <v>268</v>
      </c>
      <c r="B98" s="59" t="n">
        <v>36874</v>
      </c>
      <c r="D98" s="0" t="s">
        <v>264</v>
      </c>
      <c r="E98" s="174" t="n">
        <f aca="false">+B97*0.07/360*E97</f>
        <v>-9671.392815</v>
      </c>
    </row>
    <row r="99" customFormat="false" ht="15.75" hidden="false" customHeight="false" outlineLevel="0" collapsed="false">
      <c r="B99" s="26"/>
    </row>
    <row r="100" customFormat="false" ht="15.75" hidden="false" customHeight="false" outlineLevel="0" collapsed="false">
      <c r="A100" s="0" t="s">
        <v>262</v>
      </c>
      <c r="B100" s="59" t="n">
        <v>36893</v>
      </c>
      <c r="D100" s="0" t="s">
        <v>31</v>
      </c>
      <c r="E100" s="59" t="n">
        <f aca="false">IF(Summary!$C$5&gt;Amort!$A$44,Amort!$A$44,Summary!$C$5)</f>
        <v>36962</v>
      </c>
    </row>
    <row r="101" customFormat="false" ht="15.75" hidden="false" customHeight="false" outlineLevel="0" collapsed="false">
      <c r="A101" s="0" t="s">
        <v>263</v>
      </c>
      <c r="B101" s="26" t="n">
        <f aca="false">-'Daily Position'!Q19-'Daily Position'!Q36</f>
        <v>2417178.99</v>
      </c>
      <c r="D101" s="0" t="s">
        <v>255</v>
      </c>
      <c r="E101" s="26" t="n">
        <f aca="false">IF(E100&gt;B100,+E100-B100,0)</f>
        <v>69</v>
      </c>
    </row>
    <row r="102" customFormat="false" ht="15.75" hidden="false" customHeight="false" outlineLevel="0" collapsed="false">
      <c r="A102" s="0" t="s">
        <v>269</v>
      </c>
      <c r="B102" s="59" t="n">
        <v>36888</v>
      </c>
      <c r="D102" s="0" t="s">
        <v>264</v>
      </c>
      <c r="E102" s="174" t="n">
        <f aca="false">+B101*0.07/360*E101</f>
        <v>32430.4847825</v>
      </c>
    </row>
    <row r="104" customFormat="false" ht="15.75" hidden="false" customHeight="false" outlineLevel="0" collapsed="false">
      <c r="A104" s="0" t="s">
        <v>262</v>
      </c>
      <c r="B104" s="59" t="n">
        <v>36894</v>
      </c>
      <c r="D104" s="0" t="s">
        <v>31</v>
      </c>
      <c r="E104" s="59" t="n">
        <f aca="false">IF(Summary!$C$5&gt;Amort!$A$44,Amort!$A$44,Summary!$C$5)</f>
        <v>36962</v>
      </c>
    </row>
    <row r="105" customFormat="false" ht="15.75" hidden="false" customHeight="false" outlineLevel="0" collapsed="false">
      <c r="A105" s="0" t="s">
        <v>263</v>
      </c>
      <c r="B105" s="26" t="n">
        <f aca="false">-'Daily Position'!Q24</f>
        <v>887500</v>
      </c>
      <c r="D105" s="0" t="s">
        <v>255</v>
      </c>
      <c r="E105" s="26" t="n">
        <f aca="false">IF(E104&gt;B104,+E104-B104,0)</f>
        <v>68</v>
      </c>
    </row>
    <row r="106" customFormat="false" ht="15.75" hidden="false" customHeight="false" outlineLevel="0" collapsed="false">
      <c r="A106" s="0" t="s">
        <v>270</v>
      </c>
      <c r="B106" s="59" t="n">
        <v>36889</v>
      </c>
      <c r="D106" s="0" t="s">
        <v>264</v>
      </c>
      <c r="E106" s="174" t="n">
        <f aca="false">+B105*0.07/360*E105</f>
        <v>11734.7222222222</v>
      </c>
    </row>
    <row r="108" customFormat="false" ht="15.75" hidden="false" customHeight="false" outlineLevel="0" collapsed="false">
      <c r="A108" s="0" t="s">
        <v>262</v>
      </c>
      <c r="B108" s="59" t="n">
        <v>36907</v>
      </c>
      <c r="D108" s="0" t="s">
        <v>31</v>
      </c>
      <c r="E108" s="59" t="n">
        <f aca="false">IF(Summary!$C$5&gt;Amort!$A$44,Amort!$A$44,Summary!$C$5)</f>
        <v>36962</v>
      </c>
    </row>
    <row r="109" customFormat="false" ht="15.75" hidden="false" customHeight="false" outlineLevel="0" collapsed="false">
      <c r="A109" s="0" t="s">
        <v>263</v>
      </c>
      <c r="B109" s="26" t="n">
        <f aca="false">-'Daily Position'!Q6</f>
        <v>132061.02</v>
      </c>
      <c r="D109" s="0" t="s">
        <v>255</v>
      </c>
      <c r="E109" s="26" t="n">
        <f aca="false">IF(E108&gt;B108,+E108-B108,0)</f>
        <v>55</v>
      </c>
    </row>
    <row r="110" customFormat="false" ht="15.75" hidden="false" customHeight="false" outlineLevel="0" collapsed="false">
      <c r="A110" s="0" t="s">
        <v>271</v>
      </c>
      <c r="B110" s="59" t="n">
        <v>36902</v>
      </c>
      <c r="D110" s="0" t="s">
        <v>264</v>
      </c>
      <c r="E110" s="174" t="n">
        <f aca="false">+B109*0.07/360*E109</f>
        <v>1412.31924166667</v>
      </c>
    </row>
    <row r="112" customFormat="false" ht="15.75" hidden="false" customHeight="false" outlineLevel="0" collapsed="false">
      <c r="A112" s="0" t="s">
        <v>262</v>
      </c>
      <c r="B112" s="59" t="n">
        <v>36910</v>
      </c>
      <c r="D112" s="0" t="s">
        <v>31</v>
      </c>
      <c r="E112" s="59" t="n">
        <f aca="false">IF(Summary!$C$5&gt;Amort!$A$44,Amort!$A$44,Summary!$C$5)</f>
        <v>36962</v>
      </c>
    </row>
    <row r="113" customFormat="false" ht="15.75" hidden="false" customHeight="false" outlineLevel="0" collapsed="false">
      <c r="A113" s="0" t="s">
        <v>263</v>
      </c>
      <c r="B113" s="26" t="n">
        <f aca="false">-'Daily Position'!Q5</f>
        <v>7079860.93999988</v>
      </c>
      <c r="D113" s="0" t="s">
        <v>255</v>
      </c>
      <c r="E113" s="26" t="n">
        <f aca="false">IF(E112&gt;B112,+E112-B112,0)</f>
        <v>52</v>
      </c>
    </row>
    <row r="114" customFormat="false" ht="15.75" hidden="false" customHeight="false" outlineLevel="0" collapsed="false">
      <c r="A114" s="0" t="s">
        <v>272</v>
      </c>
      <c r="B114" s="59" t="n">
        <v>36907</v>
      </c>
      <c r="D114" s="0" t="s">
        <v>264</v>
      </c>
      <c r="E114" s="174" t="n">
        <f aca="false">+B113*0.07/360*E113</f>
        <v>71585.2606155544</v>
      </c>
    </row>
    <row r="116" customFormat="false" ht="15.75" hidden="false" customHeight="false" outlineLevel="0" collapsed="false">
      <c r="A116" s="0" t="s">
        <v>262</v>
      </c>
      <c r="B116" s="59" t="n">
        <v>36910</v>
      </c>
      <c r="D116" s="0" t="s">
        <v>31</v>
      </c>
      <c r="E116" s="59" t="n">
        <f aca="false">IF(Summary!$C$5&gt;Amort!$A$44,Amort!$A$44,Summary!$C$5)</f>
        <v>36962</v>
      </c>
    </row>
    <row r="117" customFormat="false" ht="15.75" hidden="false" customHeight="false" outlineLevel="0" collapsed="false">
      <c r="A117" s="0" t="s">
        <v>263</v>
      </c>
      <c r="B117" s="26" t="n">
        <f aca="false">-'Daily Position'!Q47</f>
        <v>63109023.64</v>
      </c>
      <c r="D117" s="0" t="s">
        <v>255</v>
      </c>
      <c r="E117" s="26" t="n">
        <f aca="false">IF(E116&gt;B116,+E116-B116,0)</f>
        <v>52</v>
      </c>
    </row>
    <row r="118" customFormat="false" ht="15.75" hidden="false" customHeight="false" outlineLevel="0" collapsed="false">
      <c r="A118" s="0" t="s">
        <v>273</v>
      </c>
      <c r="B118" s="59" t="n">
        <f aca="false">+B116</f>
        <v>36910</v>
      </c>
      <c r="D118" s="0" t="s">
        <v>264</v>
      </c>
      <c r="E118" s="174" t="n">
        <f aca="false">+B117*0.07/360*E117</f>
        <v>638102.350137778</v>
      </c>
    </row>
  </sheetData>
  <mergeCells count="6">
    <mergeCell ref="A1:B1"/>
    <mergeCell ref="A22:F22"/>
    <mergeCell ref="A30:B30"/>
    <mergeCell ref="A49:F49"/>
    <mergeCell ref="A70:F70"/>
    <mergeCell ref="E73:F7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9" man="true" max="16383" min="0"/>
    <brk id="47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43" activeCellId="0" sqref="D4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0" width="17.12"/>
    <col collapsed="false" customWidth="true" hidden="false" outlineLevel="0" max="3" min="2" style="90" width="11.49"/>
    <col collapsed="false" customWidth="true" hidden="false" outlineLevel="0" max="4" min="4" style="90" width="12.49"/>
    <col collapsed="false" customWidth="true" hidden="false" outlineLevel="0" max="5" min="5" style="90" width="12.12"/>
    <col collapsed="false" customWidth="true" hidden="false" outlineLevel="0" max="8" min="6" style="90" width="11.49"/>
    <col collapsed="false" customWidth="false" hidden="false" outlineLevel="0" max="257" min="9" style="90" width="8.99"/>
  </cols>
  <sheetData>
    <row r="1" customFormat="false" ht="15.75" hidden="false" customHeight="false" outlineLevel="0" collapsed="false">
      <c r="A1" s="93" t="s">
        <v>274</v>
      </c>
      <c r="B1" s="93"/>
      <c r="G1" s="163"/>
      <c r="H1" s="163"/>
    </row>
    <row r="2" customFormat="false" ht="15.75" hidden="false" customHeight="false" outlineLevel="0" collapsed="false">
      <c r="B2" s="177" t="s">
        <v>275</v>
      </c>
    </row>
    <row r="3" customFormat="false" ht="15.75" hidden="false" customHeight="false" outlineLevel="0" collapsed="false">
      <c r="A3" s="90" t="s">
        <v>276</v>
      </c>
      <c r="B3" s="178" t="n">
        <v>50000000</v>
      </c>
    </row>
    <row r="4" customFormat="false" ht="15.75" hidden="false" customHeight="false" outlineLevel="0" collapsed="false">
      <c r="A4" s="90" t="s">
        <v>277</v>
      </c>
      <c r="B4" s="179" t="n">
        <v>0.07</v>
      </c>
    </row>
    <row r="5" customFormat="false" ht="15.75" hidden="false" customHeight="false" outlineLevel="0" collapsed="false">
      <c r="A5" s="90" t="s">
        <v>278</v>
      </c>
      <c r="B5" s="180" t="n">
        <f aca="false">5*12</f>
        <v>60</v>
      </c>
    </row>
    <row r="6" customFormat="false" ht="15.75" hidden="false" customHeight="false" outlineLevel="0" collapsed="false">
      <c r="A6" s="90" t="s">
        <v>279</v>
      </c>
      <c r="B6" s="181" t="n">
        <v>2</v>
      </c>
    </row>
    <row r="7" customFormat="false" ht="15.75" hidden="false" customHeight="false" outlineLevel="0" collapsed="false">
      <c r="A7" s="90" t="s">
        <v>280</v>
      </c>
      <c r="B7" s="90" t="n">
        <v>0</v>
      </c>
    </row>
    <row r="9" customFormat="false" ht="25.5" hidden="false" customHeight="false" outlineLevel="0" collapsed="false">
      <c r="A9" s="182"/>
      <c r="B9" s="183" t="s">
        <v>281</v>
      </c>
      <c r="C9" s="184" t="s">
        <v>244</v>
      </c>
      <c r="D9" s="184" t="s">
        <v>280</v>
      </c>
      <c r="E9" s="184" t="s">
        <v>276</v>
      </c>
      <c r="F9" s="184" t="s">
        <v>256</v>
      </c>
      <c r="G9" s="184" t="s">
        <v>252</v>
      </c>
      <c r="H9" s="184" t="s">
        <v>282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</row>
    <row r="10" customFormat="false" ht="15.75" hidden="false" customHeight="false" outlineLevel="0" collapsed="false">
      <c r="A10" s="59" t="n">
        <v>36634</v>
      </c>
      <c r="B10" s="185" t="n">
        <v>0</v>
      </c>
      <c r="C10" s="90" t="n">
        <f aca="false">B3</f>
        <v>50000000</v>
      </c>
      <c r="D10" s="90" t="n">
        <v>0</v>
      </c>
      <c r="E10" s="90" t="n">
        <f aca="false">D10-F10</f>
        <v>0</v>
      </c>
      <c r="F10" s="90" t="n">
        <v>0</v>
      </c>
      <c r="G10" s="90" t="n">
        <f aca="false">C10-E10</f>
        <v>50000000</v>
      </c>
      <c r="H10" s="90" t="n">
        <f aca="false">+F10</f>
        <v>0</v>
      </c>
      <c r="I10" s="59" t="n">
        <f aca="false">+A10</f>
        <v>36634</v>
      </c>
    </row>
    <row r="11" customFormat="false" ht="15.75" hidden="false" customHeight="false" outlineLevel="0" collapsed="false">
      <c r="A11" s="59" t="n">
        <v>36800</v>
      </c>
      <c r="B11" s="185" t="n">
        <f aca="false">+B10+1</f>
        <v>1</v>
      </c>
      <c r="C11" s="90" t="n">
        <f aca="false">G10</f>
        <v>50000000</v>
      </c>
      <c r="D11" s="90" t="n">
        <f aca="false">+F11</f>
        <v>1613888.88888889</v>
      </c>
      <c r="E11" s="90" t="n">
        <f aca="false">D11-F11</f>
        <v>0</v>
      </c>
      <c r="F11" s="90" t="n">
        <f aca="false">C11*$B$4/360*(A11-A10)</f>
        <v>1613888.88888889</v>
      </c>
      <c r="G11" s="90" t="n">
        <f aca="false">C11-E11</f>
        <v>50000000</v>
      </c>
      <c r="H11" s="90" t="n">
        <f aca="false">+H10+F11</f>
        <v>1613888.88888889</v>
      </c>
      <c r="I11" s="59" t="n">
        <f aca="false">+A11</f>
        <v>36800</v>
      </c>
    </row>
    <row r="12" customFormat="false" ht="15.75" hidden="false" customHeight="false" outlineLevel="0" collapsed="false">
      <c r="A12" s="59" t="n">
        <v>36982</v>
      </c>
      <c r="B12" s="185" t="n">
        <f aca="false">+B11+1</f>
        <v>2</v>
      </c>
      <c r="C12" s="90" t="n">
        <f aca="false">G11</f>
        <v>50000000</v>
      </c>
      <c r="D12" s="90" t="n">
        <f aca="false">+F12</f>
        <v>1769444.44444444</v>
      </c>
      <c r="E12" s="90" t="n">
        <f aca="false">D12-F12</f>
        <v>0</v>
      </c>
      <c r="F12" s="90" t="n">
        <f aca="false">C12*$B$4/360*(A12-A11)</f>
        <v>1769444.44444444</v>
      </c>
      <c r="G12" s="90" t="n">
        <f aca="false">C12-E12</f>
        <v>50000000</v>
      </c>
      <c r="H12" s="90" t="n">
        <f aca="false">+H11+F12</f>
        <v>3383333.33333333</v>
      </c>
      <c r="I12" s="59" t="n">
        <f aca="false">+A12</f>
        <v>36982</v>
      </c>
    </row>
    <row r="13" customFormat="false" ht="15.75" hidden="false" customHeight="false" outlineLevel="0" collapsed="false">
      <c r="A13" s="59" t="n">
        <v>37165</v>
      </c>
      <c r="B13" s="185" t="n">
        <f aca="false">+B12+1</f>
        <v>3</v>
      </c>
      <c r="C13" s="90" t="n">
        <f aca="false">G12</f>
        <v>50000000</v>
      </c>
      <c r="D13" s="90" t="n">
        <f aca="false">+F13</f>
        <v>1779166.66666667</v>
      </c>
      <c r="E13" s="90" t="n">
        <f aca="false">D13-F13</f>
        <v>0</v>
      </c>
      <c r="F13" s="90" t="n">
        <f aca="false">C13*$B$4/360*(A13-A12)</f>
        <v>1779166.66666667</v>
      </c>
      <c r="G13" s="90" t="n">
        <f aca="false">C13-E13</f>
        <v>50000000</v>
      </c>
      <c r="H13" s="90" t="n">
        <f aca="false">+H12+F13</f>
        <v>5162500</v>
      </c>
      <c r="I13" s="59" t="n">
        <f aca="false">+A13</f>
        <v>37165</v>
      </c>
    </row>
    <row r="14" customFormat="false" ht="15.75" hidden="false" customHeight="false" outlineLevel="0" collapsed="false">
      <c r="A14" s="59" t="n">
        <v>37347</v>
      </c>
      <c r="B14" s="185" t="n">
        <f aca="false">+B13+1</f>
        <v>4</v>
      </c>
      <c r="C14" s="90" t="n">
        <f aca="false">G13</f>
        <v>50000000</v>
      </c>
      <c r="D14" s="90" t="n">
        <f aca="false">+F14</f>
        <v>1769444.44444444</v>
      </c>
      <c r="E14" s="90" t="n">
        <f aca="false">D14-F14</f>
        <v>0</v>
      </c>
      <c r="F14" s="90" t="n">
        <f aca="false">C14*$B$4/360*(A14-A13)</f>
        <v>1769444.44444444</v>
      </c>
      <c r="G14" s="90" t="n">
        <f aca="false">C14-E14</f>
        <v>50000000</v>
      </c>
      <c r="H14" s="90" t="n">
        <f aca="false">+H13+F14</f>
        <v>6931944.44444444</v>
      </c>
      <c r="I14" s="59" t="n">
        <f aca="false">+A14</f>
        <v>37347</v>
      </c>
    </row>
    <row r="15" customFormat="false" ht="15.75" hidden="false" customHeight="false" outlineLevel="0" collapsed="false">
      <c r="A15" s="59" t="n">
        <v>37530</v>
      </c>
      <c r="B15" s="185" t="n">
        <f aca="false">+B14+1</f>
        <v>5</v>
      </c>
      <c r="C15" s="90" t="n">
        <f aca="false">G14</f>
        <v>50000000</v>
      </c>
      <c r="D15" s="90" t="n">
        <f aca="false">+F15</f>
        <v>1779166.66666667</v>
      </c>
      <c r="E15" s="90" t="n">
        <f aca="false">D15-F15</f>
        <v>0</v>
      </c>
      <c r="F15" s="90" t="n">
        <f aca="false">C15*$B$4/360*(A15-A14)</f>
        <v>1779166.66666667</v>
      </c>
      <c r="G15" s="90" t="n">
        <f aca="false">C15-E15</f>
        <v>50000000</v>
      </c>
      <c r="H15" s="90" t="n">
        <f aca="false">+H14+F15</f>
        <v>8711111.11111111</v>
      </c>
      <c r="I15" s="59" t="n">
        <f aca="false">+A15</f>
        <v>37530</v>
      </c>
    </row>
    <row r="16" customFormat="false" ht="15.75" hidden="false" customHeight="false" outlineLevel="0" collapsed="false">
      <c r="A16" s="59" t="n">
        <v>37712</v>
      </c>
      <c r="B16" s="185" t="n">
        <f aca="false">+B15+1</f>
        <v>6</v>
      </c>
      <c r="C16" s="90" t="n">
        <f aca="false">G15</f>
        <v>50000000</v>
      </c>
      <c r="D16" s="90" t="n">
        <f aca="false">+F16</f>
        <v>1769444.44444444</v>
      </c>
      <c r="E16" s="90" t="n">
        <f aca="false">D16-F16</f>
        <v>0</v>
      </c>
      <c r="F16" s="90" t="n">
        <f aca="false">C16*$B$4/360*(A16-A15)</f>
        <v>1769444.44444444</v>
      </c>
      <c r="G16" s="90" t="n">
        <f aca="false">C16-E16</f>
        <v>50000000</v>
      </c>
      <c r="H16" s="90" t="n">
        <f aca="false">+H15+F16</f>
        <v>10480555.5555556</v>
      </c>
      <c r="I16" s="59" t="n">
        <f aca="false">+A16</f>
        <v>37712</v>
      </c>
    </row>
    <row r="17" customFormat="false" ht="15.75" hidden="false" customHeight="false" outlineLevel="0" collapsed="false">
      <c r="A17" s="59" t="n">
        <v>37895</v>
      </c>
      <c r="B17" s="185" t="n">
        <f aca="false">+B16+1</f>
        <v>7</v>
      </c>
      <c r="C17" s="90" t="n">
        <f aca="false">G16</f>
        <v>50000000</v>
      </c>
      <c r="D17" s="90" t="n">
        <f aca="false">+F17</f>
        <v>1779166.66666667</v>
      </c>
      <c r="E17" s="90" t="n">
        <f aca="false">D17-F17</f>
        <v>0</v>
      </c>
      <c r="F17" s="90" t="n">
        <f aca="false">C17*$B$4/360*(A17-A16)</f>
        <v>1779166.66666667</v>
      </c>
      <c r="G17" s="90" t="n">
        <f aca="false">C17-E17</f>
        <v>50000000</v>
      </c>
      <c r="H17" s="90" t="n">
        <f aca="false">+H16+F17</f>
        <v>12259722.2222222</v>
      </c>
      <c r="I17" s="59" t="n">
        <f aca="false">+A17</f>
        <v>37895</v>
      </c>
    </row>
    <row r="18" customFormat="false" ht="15.75" hidden="false" customHeight="false" outlineLevel="0" collapsed="false">
      <c r="A18" s="59" t="n">
        <v>38078</v>
      </c>
      <c r="B18" s="185" t="n">
        <f aca="false">+B17+1</f>
        <v>8</v>
      </c>
      <c r="C18" s="90" t="n">
        <f aca="false">G17</f>
        <v>50000000</v>
      </c>
      <c r="D18" s="90" t="n">
        <f aca="false">+F18</f>
        <v>1779166.66666667</v>
      </c>
      <c r="E18" s="90" t="n">
        <f aca="false">D18-F18</f>
        <v>0</v>
      </c>
      <c r="F18" s="90" t="n">
        <f aca="false">C18*$B$4/360*(A18-A17)</f>
        <v>1779166.66666667</v>
      </c>
      <c r="G18" s="90" t="n">
        <f aca="false">C18-E18</f>
        <v>50000000</v>
      </c>
      <c r="H18" s="90" t="n">
        <f aca="false">+H17+F18</f>
        <v>14038888.8888889</v>
      </c>
      <c r="I18" s="59" t="n">
        <f aca="false">+A18</f>
        <v>38078</v>
      </c>
    </row>
    <row r="19" customFormat="false" ht="15.75" hidden="false" customHeight="false" outlineLevel="0" collapsed="false">
      <c r="A19" s="59" t="n">
        <v>38261</v>
      </c>
      <c r="B19" s="185" t="n">
        <f aca="false">+B18+1</f>
        <v>9</v>
      </c>
      <c r="C19" s="90" t="n">
        <f aca="false">G18</f>
        <v>50000000</v>
      </c>
      <c r="D19" s="90" t="n">
        <f aca="false">+F19</f>
        <v>1779166.66666667</v>
      </c>
      <c r="E19" s="90" t="n">
        <f aca="false">D19-F19</f>
        <v>0</v>
      </c>
      <c r="F19" s="90" t="n">
        <f aca="false">C19*$B$4/360*(A19-A18)</f>
        <v>1779166.66666667</v>
      </c>
      <c r="G19" s="90" t="n">
        <f aca="false">C19-E19</f>
        <v>50000000</v>
      </c>
      <c r="H19" s="90" t="n">
        <f aca="false">+H18+F19</f>
        <v>15818055.5555556</v>
      </c>
      <c r="I19" s="59" t="n">
        <f aca="false">+A19</f>
        <v>38261</v>
      </c>
    </row>
    <row r="20" customFormat="false" ht="15.75" hidden="false" customHeight="false" outlineLevel="0" collapsed="false">
      <c r="A20" s="59" t="n">
        <v>38443</v>
      </c>
      <c r="B20" s="185" t="n">
        <f aca="false">+B19+1</f>
        <v>10</v>
      </c>
      <c r="C20" s="90" t="n">
        <f aca="false">G19</f>
        <v>50000000</v>
      </c>
      <c r="D20" s="90" t="n">
        <f aca="false">+F20</f>
        <v>1769444.44444444</v>
      </c>
      <c r="E20" s="90" t="n">
        <f aca="false">D20-F20</f>
        <v>0</v>
      </c>
      <c r="F20" s="90" t="n">
        <f aca="false">C20*$B$4/360*(A20-A19)</f>
        <v>1769444.44444444</v>
      </c>
      <c r="G20" s="90" t="n">
        <f aca="false">C20-E20</f>
        <v>50000000</v>
      </c>
      <c r="H20" s="90" t="n">
        <f aca="false">+H19+F20</f>
        <v>17587500</v>
      </c>
      <c r="I20" s="59" t="n">
        <f aca="false">+A20</f>
        <v>38443</v>
      </c>
    </row>
    <row r="21" customFormat="false" ht="16.5" hidden="false" customHeight="false" outlineLevel="0" collapsed="false">
      <c r="A21" s="59"/>
      <c r="B21" s="59"/>
      <c r="D21" s="119" t="n">
        <f aca="false">SUM(D11:D20)</f>
        <v>17587500</v>
      </c>
      <c r="E21" s="119" t="n">
        <f aca="false">SUM(E11:E20)</f>
        <v>0</v>
      </c>
      <c r="F21" s="119" t="n">
        <f aca="false">SUM(F11:F20)</f>
        <v>17587500</v>
      </c>
    </row>
    <row r="22" customFormat="false" ht="16.5" hidden="false" customHeight="false" outlineLevel="0" collapsed="false">
      <c r="A22" s="186"/>
      <c r="B22" s="186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  <c r="IT22" s="141"/>
      <c r="IU22" s="141"/>
      <c r="IV22" s="141"/>
      <c r="IW22" s="141"/>
    </row>
    <row r="23" customFormat="false" ht="15.75" hidden="false" customHeight="false" outlineLevel="0" collapsed="false">
      <c r="A23" s="187" t="n">
        <f aca="false">+Summary!C5</f>
        <v>36962</v>
      </c>
      <c r="B23" s="187"/>
      <c r="C23" s="141"/>
      <c r="D23" s="141"/>
      <c r="E23" s="141" t="s">
        <v>281</v>
      </c>
      <c r="F23" s="141" t="n">
        <f aca="false">VLOOKUP(+A23,Amort,2)</f>
        <v>1</v>
      </c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1"/>
      <c r="IS23" s="141"/>
      <c r="IT23" s="141"/>
      <c r="IU23" s="141"/>
      <c r="IV23" s="141"/>
      <c r="IW23" s="141"/>
    </row>
    <row r="24" customFormat="false" ht="15.75" hidden="false" customHeight="false" outlineLevel="0" collapsed="false">
      <c r="A24" s="141" t="s">
        <v>283</v>
      </c>
      <c r="B24" s="141" t="n">
        <v>0</v>
      </c>
      <c r="C24" s="141"/>
      <c r="D24" s="141"/>
      <c r="E24" s="141" t="s">
        <v>31</v>
      </c>
      <c r="F24" s="186" t="n">
        <f aca="false">VLOOKUP(+A23,Amort,1)</f>
        <v>36800</v>
      </c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1"/>
      <c r="IS24" s="141"/>
      <c r="IT24" s="141"/>
      <c r="IU24" s="141"/>
      <c r="IV24" s="141"/>
      <c r="IW24" s="141"/>
    </row>
    <row r="25" customFormat="false" ht="15.75" hidden="false" customHeight="false" outlineLevel="0" collapsed="false">
      <c r="A25" s="141" t="s">
        <v>284</v>
      </c>
      <c r="B25" s="56" t="n">
        <f aca="false">VLOOKUP(+A23,Note,8)</f>
        <v>1613888.88888889</v>
      </c>
      <c r="C25" s="141"/>
      <c r="D25" s="141"/>
      <c r="E25" s="141" t="s">
        <v>285</v>
      </c>
      <c r="F25" s="141" t="n">
        <f aca="false">VLOOKUP(+F23+1,NotePeriod,5)</f>
        <v>1769444.44444444</v>
      </c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1"/>
      <c r="IS25" s="141"/>
      <c r="IT25" s="141"/>
      <c r="IU25" s="141"/>
      <c r="IV25" s="141"/>
      <c r="IW25" s="141"/>
    </row>
    <row r="26" customFormat="false" ht="15.75" hidden="false" customHeight="false" outlineLevel="0" collapsed="false">
      <c r="A26" s="186" t="s">
        <v>286</v>
      </c>
      <c r="B26" s="141" t="n">
        <f aca="false">+B24+B25</f>
        <v>1613888.88888889</v>
      </c>
      <c r="C26" s="141"/>
      <c r="D26" s="141"/>
      <c r="E26" s="141" t="s">
        <v>287</v>
      </c>
      <c r="F26" s="186" t="n">
        <f aca="false">VLOOKUP(+F23+1,NotePeriod,8)</f>
        <v>36982</v>
      </c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  <c r="IR26" s="141"/>
      <c r="IS26" s="141"/>
      <c r="IT26" s="141"/>
      <c r="IU26" s="141"/>
      <c r="IV26" s="141"/>
      <c r="IW26" s="141"/>
    </row>
    <row r="27" customFormat="false" ht="15.75" hidden="false" customHeight="false" outlineLevel="0" collapsed="false">
      <c r="A27" s="186" t="s">
        <v>288</v>
      </c>
      <c r="B27" s="141" t="n">
        <f aca="false">A23-F24</f>
        <v>162</v>
      </c>
      <c r="C27" s="141"/>
      <c r="D27" s="141"/>
      <c r="E27" s="186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1"/>
      <c r="IT27" s="141"/>
      <c r="IU27" s="141"/>
      <c r="IV27" s="141"/>
      <c r="IW27" s="141"/>
    </row>
    <row r="28" customFormat="false" ht="15.75" hidden="false" customHeight="false" outlineLevel="0" collapsed="false">
      <c r="A28" s="186" t="s">
        <v>289</v>
      </c>
      <c r="B28" s="141" t="n">
        <f aca="false">F25*B27/(F26-F24)</f>
        <v>1575000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  <c r="IR28" s="141"/>
      <c r="IS28" s="141"/>
      <c r="IT28" s="141"/>
      <c r="IU28" s="141"/>
      <c r="IV28" s="141"/>
      <c r="IW28" s="141"/>
    </row>
    <row r="29" customFormat="false" ht="15.75" hidden="false" customHeight="false" outlineLevel="0" collapsed="false">
      <c r="A29" s="186" t="s">
        <v>290</v>
      </c>
      <c r="B29" s="141" t="n">
        <f aca="false">+B25+B28</f>
        <v>3188888.88888889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S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  <c r="FD29" s="141"/>
      <c r="FE29" s="141"/>
      <c r="FF29" s="141"/>
      <c r="FG29" s="141"/>
      <c r="FH29" s="141"/>
      <c r="FI29" s="141"/>
      <c r="FJ29" s="141"/>
      <c r="FK29" s="141"/>
      <c r="FL29" s="141"/>
      <c r="FM29" s="141"/>
      <c r="FN29" s="141"/>
      <c r="FO29" s="141"/>
      <c r="FP29" s="141"/>
      <c r="FQ29" s="141"/>
      <c r="FR29" s="141"/>
      <c r="FS29" s="141"/>
      <c r="FT29" s="141"/>
      <c r="FU29" s="141"/>
      <c r="FV29" s="141"/>
      <c r="FW29" s="141"/>
      <c r="FX29" s="141"/>
      <c r="FY29" s="141"/>
      <c r="FZ29" s="141"/>
      <c r="GA29" s="141"/>
      <c r="GB29" s="141"/>
      <c r="GC29" s="141"/>
      <c r="GD29" s="141"/>
      <c r="GE29" s="141"/>
      <c r="GF29" s="141"/>
      <c r="GG29" s="141"/>
      <c r="GH29" s="141"/>
      <c r="GI29" s="141"/>
      <c r="GJ29" s="141"/>
      <c r="GK29" s="141"/>
      <c r="GL29" s="141"/>
      <c r="GM29" s="141"/>
      <c r="GN29" s="141"/>
      <c r="GO29" s="141"/>
      <c r="GP29" s="141"/>
      <c r="GQ29" s="141"/>
      <c r="GR29" s="141"/>
      <c r="GS29" s="141"/>
      <c r="GT29" s="141"/>
      <c r="GU29" s="141"/>
      <c r="GV29" s="141"/>
      <c r="GW29" s="141"/>
      <c r="GX29" s="141"/>
      <c r="GY29" s="141"/>
      <c r="GZ29" s="141"/>
      <c r="HA29" s="141"/>
      <c r="HB29" s="14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141"/>
      <c r="HV29" s="141"/>
      <c r="HW29" s="141"/>
      <c r="HX29" s="141"/>
      <c r="HY29" s="141"/>
      <c r="HZ29" s="141"/>
      <c r="IA29" s="141"/>
      <c r="IB29" s="141"/>
      <c r="IC29" s="141"/>
      <c r="ID29" s="141"/>
      <c r="IE29" s="141"/>
      <c r="IF29" s="141"/>
      <c r="IG29" s="141"/>
      <c r="IH29" s="141"/>
      <c r="II29" s="141"/>
      <c r="IJ29" s="141"/>
      <c r="IK29" s="141"/>
      <c r="IL29" s="141"/>
      <c r="IM29" s="141"/>
      <c r="IN29" s="141"/>
      <c r="IO29" s="141"/>
      <c r="IP29" s="141"/>
      <c r="IQ29" s="141"/>
      <c r="IR29" s="141"/>
      <c r="IS29" s="141"/>
      <c r="IT29" s="141"/>
      <c r="IU29" s="141"/>
      <c r="IV29" s="141"/>
      <c r="IW29" s="141"/>
    </row>
    <row r="30" customFormat="false" ht="15.75" hidden="false" customHeight="false" outlineLevel="0" collapsed="false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  <c r="IR30" s="141"/>
      <c r="IS30" s="141"/>
      <c r="IT30" s="141"/>
      <c r="IU30" s="141"/>
      <c r="IV30" s="141"/>
      <c r="IW30" s="141"/>
    </row>
    <row r="31" customFormat="false" ht="15.75" hidden="false" customHeight="false" outlineLevel="0" collapsed="false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  <c r="IR31" s="141"/>
      <c r="IS31" s="141"/>
      <c r="IT31" s="141"/>
      <c r="IU31" s="141"/>
      <c r="IV31" s="141"/>
      <c r="IW31" s="141"/>
    </row>
    <row r="32" customFormat="false" ht="15.75" hidden="false" customHeight="false" outlineLevel="0" collapsed="false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1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  <c r="EJ32" s="141"/>
      <c r="EK32" s="141"/>
      <c r="EL32" s="141"/>
      <c r="EM32" s="141"/>
      <c r="EN32" s="141"/>
      <c r="EO32" s="141"/>
      <c r="EP32" s="141"/>
      <c r="EQ32" s="141"/>
      <c r="ER32" s="141"/>
      <c r="ES32" s="141"/>
      <c r="ET32" s="141"/>
      <c r="EU32" s="141"/>
      <c r="EV32" s="141"/>
      <c r="EW32" s="141"/>
      <c r="EX32" s="141"/>
      <c r="EY32" s="141"/>
      <c r="EZ32" s="141"/>
      <c r="FA32" s="141"/>
      <c r="FB32" s="141"/>
      <c r="FC32" s="141"/>
      <c r="FD32" s="141"/>
      <c r="FE32" s="141"/>
      <c r="FF32" s="141"/>
      <c r="FG32" s="141"/>
      <c r="FH32" s="141"/>
      <c r="FI32" s="141"/>
      <c r="FJ32" s="141"/>
      <c r="FK32" s="141"/>
      <c r="FL32" s="141"/>
      <c r="FM32" s="141"/>
      <c r="FN32" s="141"/>
      <c r="FO32" s="141"/>
      <c r="FP32" s="141"/>
      <c r="FQ32" s="141"/>
      <c r="FR32" s="141"/>
      <c r="FS32" s="141"/>
      <c r="FT32" s="141"/>
      <c r="FU32" s="141"/>
      <c r="FV32" s="141"/>
      <c r="FW32" s="141"/>
      <c r="FX32" s="141"/>
      <c r="FY32" s="141"/>
      <c r="FZ32" s="141"/>
      <c r="GA32" s="141"/>
      <c r="GB32" s="141"/>
      <c r="GC32" s="141"/>
      <c r="GD32" s="141"/>
      <c r="GE32" s="141"/>
      <c r="GF32" s="141"/>
      <c r="GG32" s="141"/>
      <c r="GH32" s="141"/>
      <c r="GI32" s="141"/>
      <c r="GJ32" s="141"/>
      <c r="GK32" s="141"/>
      <c r="GL32" s="141"/>
      <c r="GM32" s="141"/>
      <c r="GN32" s="141"/>
      <c r="GO32" s="141"/>
      <c r="GP32" s="141"/>
      <c r="GQ32" s="141"/>
      <c r="GR32" s="141"/>
      <c r="GS32" s="141"/>
      <c r="GT32" s="141"/>
      <c r="GU32" s="141"/>
      <c r="GV32" s="141"/>
      <c r="GW32" s="141"/>
      <c r="GX32" s="141"/>
      <c r="GY32" s="141"/>
      <c r="GZ32" s="141"/>
      <c r="HA32" s="141"/>
      <c r="HB32" s="141"/>
      <c r="HC32" s="141"/>
      <c r="HD32" s="141"/>
      <c r="HE32" s="141"/>
      <c r="HF32" s="141"/>
      <c r="HG32" s="141"/>
      <c r="HH32" s="141"/>
      <c r="HI32" s="141"/>
      <c r="HJ32" s="141"/>
      <c r="HK32" s="141"/>
      <c r="HL32" s="141"/>
      <c r="HM32" s="141"/>
      <c r="HN32" s="141"/>
      <c r="HO32" s="141"/>
      <c r="HP32" s="141"/>
      <c r="HQ32" s="141"/>
      <c r="HR32" s="141"/>
      <c r="HS32" s="141"/>
      <c r="HT32" s="141"/>
      <c r="HU32" s="141"/>
      <c r="HV32" s="141"/>
      <c r="HW32" s="141"/>
      <c r="HX32" s="141"/>
      <c r="HY32" s="141"/>
      <c r="HZ32" s="141"/>
      <c r="IA32" s="141"/>
      <c r="IB32" s="141"/>
      <c r="IC32" s="141"/>
      <c r="ID32" s="141"/>
      <c r="IE32" s="141"/>
      <c r="IF32" s="141"/>
      <c r="IG32" s="141"/>
      <c r="IH32" s="141"/>
      <c r="II32" s="141"/>
      <c r="IJ32" s="141"/>
      <c r="IK32" s="141"/>
      <c r="IL32" s="141"/>
      <c r="IM32" s="141"/>
      <c r="IN32" s="141"/>
      <c r="IO32" s="141"/>
      <c r="IP32" s="141"/>
      <c r="IQ32" s="141"/>
      <c r="IR32" s="141"/>
      <c r="IS32" s="141"/>
      <c r="IT32" s="141"/>
      <c r="IU32" s="141"/>
      <c r="IV32" s="141"/>
      <c r="IW32" s="141"/>
    </row>
    <row r="33" customFormat="false" ht="15.75" hidden="false" customHeight="false" outlineLevel="0" collapsed="false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/>
      <c r="DQ33" s="141"/>
      <c r="DR33" s="141"/>
      <c r="DS33" s="141"/>
      <c r="DT33" s="141"/>
      <c r="DU33" s="141"/>
      <c r="DV33" s="141"/>
      <c r="DW33" s="141"/>
      <c r="DX33" s="141"/>
      <c r="DY33" s="141"/>
      <c r="DZ33" s="141"/>
      <c r="EA33" s="141"/>
      <c r="EB33" s="141"/>
      <c r="EC33" s="141"/>
      <c r="ED33" s="141"/>
      <c r="EE33" s="141"/>
      <c r="EF33" s="141"/>
      <c r="EG33" s="141"/>
      <c r="EH33" s="141"/>
      <c r="EI33" s="141"/>
      <c r="EJ33" s="141"/>
      <c r="EK33" s="141"/>
      <c r="EL33" s="141"/>
      <c r="EM33" s="141"/>
      <c r="EN33" s="141"/>
      <c r="EO33" s="141"/>
      <c r="EP33" s="141"/>
      <c r="EQ33" s="141"/>
      <c r="ER33" s="141"/>
      <c r="ES33" s="141"/>
      <c r="ET33" s="141"/>
      <c r="EU33" s="141"/>
      <c r="EV33" s="141"/>
      <c r="EW33" s="141"/>
      <c r="EX33" s="141"/>
      <c r="EY33" s="141"/>
      <c r="EZ33" s="141"/>
      <c r="FA33" s="141"/>
      <c r="FB33" s="141"/>
      <c r="FC33" s="141"/>
      <c r="FD33" s="141"/>
      <c r="FE33" s="141"/>
      <c r="FF33" s="141"/>
      <c r="FG33" s="141"/>
      <c r="FH33" s="141"/>
      <c r="FI33" s="141"/>
      <c r="FJ33" s="141"/>
      <c r="FK33" s="141"/>
      <c r="FL33" s="141"/>
      <c r="FM33" s="141"/>
      <c r="FN33" s="141"/>
      <c r="FO33" s="141"/>
      <c r="FP33" s="141"/>
      <c r="FQ33" s="141"/>
      <c r="FR33" s="141"/>
      <c r="FS33" s="141"/>
      <c r="FT33" s="141"/>
      <c r="FU33" s="141"/>
      <c r="FV33" s="141"/>
      <c r="FW33" s="141"/>
      <c r="FX33" s="141"/>
      <c r="FY33" s="141"/>
      <c r="FZ33" s="141"/>
      <c r="GA33" s="141"/>
      <c r="GB33" s="141"/>
      <c r="GC33" s="141"/>
      <c r="GD33" s="141"/>
      <c r="GE33" s="141"/>
      <c r="GF33" s="141"/>
      <c r="GG33" s="141"/>
      <c r="GH33" s="141"/>
      <c r="GI33" s="141"/>
      <c r="GJ33" s="141"/>
      <c r="GK33" s="141"/>
      <c r="GL33" s="141"/>
      <c r="GM33" s="141"/>
      <c r="GN33" s="141"/>
      <c r="GO33" s="141"/>
      <c r="GP33" s="141"/>
      <c r="GQ33" s="141"/>
      <c r="GR33" s="141"/>
      <c r="GS33" s="141"/>
      <c r="GT33" s="141"/>
      <c r="GU33" s="141"/>
      <c r="GV33" s="141"/>
      <c r="GW33" s="141"/>
      <c r="GX33" s="141"/>
      <c r="GY33" s="141"/>
      <c r="GZ33" s="141"/>
      <c r="HA33" s="141"/>
      <c r="HB33" s="141"/>
      <c r="HC33" s="141"/>
      <c r="HD33" s="141"/>
      <c r="HE33" s="141"/>
      <c r="HF33" s="141"/>
      <c r="HG33" s="141"/>
      <c r="HH33" s="141"/>
      <c r="HI33" s="141"/>
      <c r="HJ33" s="141"/>
      <c r="HK33" s="141"/>
      <c r="HL33" s="141"/>
      <c r="HM33" s="141"/>
      <c r="HN33" s="141"/>
      <c r="HO33" s="141"/>
      <c r="HP33" s="141"/>
      <c r="HQ33" s="141"/>
      <c r="HR33" s="141"/>
      <c r="HS33" s="141"/>
      <c r="HT33" s="141"/>
      <c r="HU33" s="141"/>
      <c r="HV33" s="141"/>
      <c r="HW33" s="141"/>
      <c r="HX33" s="141"/>
      <c r="HY33" s="141"/>
      <c r="HZ33" s="141"/>
      <c r="IA33" s="141"/>
      <c r="IB33" s="141"/>
      <c r="IC33" s="141"/>
      <c r="ID33" s="141"/>
      <c r="IE33" s="141"/>
      <c r="IF33" s="141"/>
      <c r="IG33" s="141"/>
      <c r="IH33" s="141"/>
      <c r="II33" s="141"/>
      <c r="IJ33" s="141"/>
      <c r="IK33" s="141"/>
      <c r="IL33" s="141"/>
      <c r="IM33" s="141"/>
      <c r="IN33" s="141"/>
      <c r="IO33" s="141"/>
      <c r="IP33" s="141"/>
      <c r="IQ33" s="141"/>
      <c r="IR33" s="141"/>
      <c r="IS33" s="141"/>
      <c r="IT33" s="141"/>
      <c r="IU33" s="141"/>
      <c r="IV33" s="141"/>
      <c r="IW33" s="141"/>
    </row>
    <row r="34" customFormat="false" ht="15.75" hidden="false" customHeight="false" outlineLevel="0" collapsed="false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/>
      <c r="DQ34" s="141"/>
      <c r="DR34" s="141"/>
      <c r="DS34" s="141"/>
      <c r="DT34" s="141"/>
      <c r="DU34" s="141"/>
      <c r="DV34" s="141"/>
      <c r="DW34" s="141"/>
      <c r="DX34" s="141"/>
      <c r="DY34" s="141"/>
      <c r="DZ34" s="141"/>
      <c r="EA34" s="141"/>
      <c r="EB34" s="141"/>
      <c r="EC34" s="141"/>
      <c r="ED34" s="141"/>
      <c r="EE34" s="141"/>
      <c r="EF34" s="141"/>
      <c r="EG34" s="141"/>
      <c r="EH34" s="141"/>
      <c r="EI34" s="141"/>
      <c r="EJ34" s="141"/>
      <c r="EK34" s="141"/>
      <c r="EL34" s="141"/>
      <c r="EM34" s="141"/>
      <c r="EN34" s="141"/>
      <c r="EO34" s="141"/>
      <c r="EP34" s="141"/>
      <c r="EQ34" s="141"/>
      <c r="ER34" s="141"/>
      <c r="ES34" s="141"/>
      <c r="ET34" s="141"/>
      <c r="EU34" s="141"/>
      <c r="EV34" s="141"/>
      <c r="EW34" s="141"/>
      <c r="EX34" s="141"/>
      <c r="EY34" s="141"/>
      <c r="EZ34" s="141"/>
      <c r="FA34" s="141"/>
      <c r="FB34" s="141"/>
      <c r="FC34" s="141"/>
      <c r="FD34" s="141"/>
      <c r="FE34" s="141"/>
      <c r="FF34" s="141"/>
      <c r="FG34" s="141"/>
      <c r="FH34" s="141"/>
      <c r="FI34" s="141"/>
      <c r="FJ34" s="141"/>
      <c r="FK34" s="141"/>
      <c r="FL34" s="141"/>
      <c r="FM34" s="141"/>
      <c r="FN34" s="141"/>
      <c r="FO34" s="141"/>
      <c r="FP34" s="141"/>
      <c r="FQ34" s="141"/>
      <c r="FR34" s="141"/>
      <c r="FS34" s="141"/>
      <c r="FT34" s="141"/>
      <c r="FU34" s="141"/>
      <c r="FV34" s="141"/>
      <c r="FW34" s="141"/>
      <c r="FX34" s="141"/>
      <c r="FY34" s="141"/>
      <c r="FZ34" s="141"/>
      <c r="GA34" s="141"/>
      <c r="GB34" s="141"/>
      <c r="GC34" s="141"/>
      <c r="GD34" s="141"/>
      <c r="GE34" s="141"/>
      <c r="GF34" s="141"/>
      <c r="GG34" s="141"/>
      <c r="GH34" s="141"/>
      <c r="GI34" s="141"/>
      <c r="GJ34" s="141"/>
      <c r="GK34" s="141"/>
      <c r="GL34" s="141"/>
      <c r="GM34" s="141"/>
      <c r="GN34" s="141"/>
      <c r="GO34" s="141"/>
      <c r="GP34" s="141"/>
      <c r="GQ34" s="141"/>
      <c r="GR34" s="141"/>
      <c r="GS34" s="141"/>
      <c r="GT34" s="141"/>
      <c r="GU34" s="141"/>
      <c r="GV34" s="141"/>
      <c r="GW34" s="141"/>
      <c r="GX34" s="141"/>
      <c r="GY34" s="141"/>
      <c r="GZ34" s="141"/>
      <c r="HA34" s="141"/>
      <c r="HB34" s="141"/>
      <c r="HC34" s="141"/>
      <c r="HD34" s="141"/>
      <c r="HE34" s="141"/>
      <c r="HF34" s="141"/>
      <c r="HG34" s="141"/>
      <c r="HH34" s="141"/>
      <c r="HI34" s="141"/>
      <c r="HJ34" s="141"/>
      <c r="HK34" s="141"/>
      <c r="HL34" s="141"/>
      <c r="HM34" s="141"/>
      <c r="HN34" s="141"/>
      <c r="HO34" s="141"/>
      <c r="HP34" s="141"/>
      <c r="HQ34" s="141"/>
      <c r="HR34" s="141"/>
      <c r="HS34" s="141"/>
      <c r="HT34" s="141"/>
      <c r="HU34" s="141"/>
      <c r="HV34" s="141"/>
      <c r="HW34" s="141"/>
      <c r="HX34" s="141"/>
      <c r="HY34" s="141"/>
      <c r="HZ34" s="141"/>
      <c r="IA34" s="141"/>
      <c r="IB34" s="141"/>
      <c r="IC34" s="141"/>
      <c r="ID34" s="141"/>
      <c r="IE34" s="141"/>
      <c r="IF34" s="141"/>
      <c r="IG34" s="141"/>
      <c r="IH34" s="141"/>
      <c r="II34" s="141"/>
      <c r="IJ34" s="141"/>
      <c r="IK34" s="141"/>
      <c r="IL34" s="141"/>
      <c r="IM34" s="141"/>
      <c r="IN34" s="141"/>
      <c r="IO34" s="141"/>
      <c r="IP34" s="141"/>
      <c r="IQ34" s="141"/>
      <c r="IR34" s="141"/>
      <c r="IS34" s="141"/>
      <c r="IT34" s="141"/>
      <c r="IU34" s="141"/>
      <c r="IV34" s="141"/>
      <c r="IW34" s="141"/>
    </row>
    <row r="35" customFormat="false" ht="15.75" hidden="false" customHeight="false" outlineLevel="0" collapsed="false">
      <c r="A35" s="93" t="s">
        <v>291</v>
      </c>
      <c r="B35" s="93"/>
      <c r="G35" s="163"/>
      <c r="H35" s="83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  <c r="IR35" s="141"/>
      <c r="IS35" s="141"/>
      <c r="IT35" s="141"/>
      <c r="IU35" s="141"/>
      <c r="IV35" s="141"/>
      <c r="IW35" s="141"/>
    </row>
    <row r="36" customFormat="false" ht="15.75" hidden="false" customHeight="false" outlineLevel="0" collapsed="false">
      <c r="B36" s="177" t="s">
        <v>275</v>
      </c>
      <c r="H36" s="83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1"/>
      <c r="EU36" s="141"/>
      <c r="EV36" s="141"/>
      <c r="EW36" s="141"/>
      <c r="EX36" s="141"/>
      <c r="EY36" s="141"/>
      <c r="EZ36" s="141"/>
      <c r="FA36" s="141"/>
      <c r="FB36" s="141"/>
      <c r="FC36" s="141"/>
      <c r="FD36" s="141"/>
      <c r="FE36" s="141"/>
      <c r="FF36" s="141"/>
      <c r="FG36" s="141"/>
      <c r="FH36" s="141"/>
      <c r="FI36" s="141"/>
      <c r="FJ36" s="141"/>
      <c r="FK36" s="141"/>
      <c r="FL36" s="141"/>
      <c r="FM36" s="141"/>
      <c r="FN36" s="141"/>
      <c r="FO36" s="141"/>
      <c r="FP36" s="141"/>
      <c r="FQ36" s="141"/>
      <c r="FR36" s="141"/>
      <c r="FS36" s="141"/>
      <c r="FT36" s="141"/>
      <c r="FU36" s="141"/>
      <c r="FV36" s="141"/>
      <c r="FW36" s="141"/>
      <c r="FX36" s="141"/>
      <c r="FY36" s="141"/>
      <c r="FZ36" s="141"/>
      <c r="GA36" s="141"/>
      <c r="GB36" s="141"/>
      <c r="GC36" s="141"/>
      <c r="GD36" s="141"/>
      <c r="GE36" s="141"/>
      <c r="GF36" s="141"/>
      <c r="GG36" s="141"/>
      <c r="GH36" s="141"/>
      <c r="GI36" s="141"/>
      <c r="GJ36" s="141"/>
      <c r="GK36" s="141"/>
      <c r="GL36" s="141"/>
      <c r="GM36" s="141"/>
      <c r="GN36" s="141"/>
      <c r="GO36" s="141"/>
      <c r="GP36" s="141"/>
      <c r="GQ36" s="141"/>
      <c r="GR36" s="141"/>
      <c r="GS36" s="141"/>
      <c r="GT36" s="141"/>
      <c r="GU36" s="141"/>
      <c r="GV36" s="141"/>
      <c r="GW36" s="141"/>
      <c r="GX36" s="141"/>
      <c r="GY36" s="141"/>
      <c r="GZ36" s="141"/>
      <c r="HA36" s="141"/>
      <c r="HB36" s="141"/>
      <c r="HC36" s="141"/>
      <c r="HD36" s="141"/>
      <c r="HE36" s="141"/>
      <c r="HF36" s="141"/>
      <c r="HG36" s="141"/>
      <c r="HH36" s="141"/>
      <c r="HI36" s="141"/>
      <c r="HJ36" s="141"/>
      <c r="HK36" s="141"/>
      <c r="HL36" s="141"/>
      <c r="HM36" s="141"/>
      <c r="HN36" s="141"/>
      <c r="HO36" s="141"/>
      <c r="HP36" s="141"/>
      <c r="HQ36" s="141"/>
      <c r="HR36" s="141"/>
      <c r="HS36" s="141"/>
      <c r="HT36" s="141"/>
      <c r="HU36" s="141"/>
      <c r="HV36" s="141"/>
      <c r="HW36" s="141"/>
      <c r="HX36" s="141"/>
      <c r="HY36" s="141"/>
      <c r="HZ36" s="141"/>
      <c r="IA36" s="141"/>
      <c r="IB36" s="141"/>
      <c r="IC36" s="141"/>
      <c r="ID36" s="141"/>
      <c r="IE36" s="141"/>
      <c r="IF36" s="141"/>
      <c r="IG36" s="141"/>
      <c r="IH36" s="141"/>
      <c r="II36" s="141"/>
      <c r="IJ36" s="141"/>
      <c r="IK36" s="141"/>
      <c r="IL36" s="141"/>
      <c r="IM36" s="141"/>
      <c r="IN36" s="141"/>
      <c r="IO36" s="141"/>
      <c r="IP36" s="141"/>
      <c r="IQ36" s="141"/>
      <c r="IR36" s="141"/>
      <c r="IS36" s="141"/>
      <c r="IT36" s="141"/>
      <c r="IU36" s="141"/>
      <c r="IV36" s="141"/>
      <c r="IW36" s="141"/>
    </row>
    <row r="37" customFormat="false" ht="15.75" hidden="false" customHeight="false" outlineLevel="0" collapsed="false">
      <c r="A37" s="90" t="s">
        <v>276</v>
      </c>
      <c r="B37" s="178" t="n">
        <v>400000000</v>
      </c>
      <c r="H37" s="83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141"/>
      <c r="EY37" s="141"/>
      <c r="EZ37" s="141"/>
      <c r="FA37" s="141"/>
      <c r="FB37" s="141"/>
      <c r="FC37" s="141"/>
      <c r="FD37" s="141"/>
      <c r="FE37" s="141"/>
      <c r="FF37" s="141"/>
      <c r="FG37" s="141"/>
      <c r="FH37" s="141"/>
      <c r="FI37" s="141"/>
      <c r="FJ37" s="141"/>
      <c r="FK37" s="141"/>
      <c r="FL37" s="141"/>
      <c r="FM37" s="141"/>
      <c r="FN37" s="141"/>
      <c r="FO37" s="141"/>
      <c r="FP37" s="141"/>
      <c r="FQ37" s="141"/>
      <c r="FR37" s="141"/>
      <c r="FS37" s="141"/>
      <c r="FT37" s="141"/>
      <c r="FU37" s="141"/>
      <c r="FV37" s="141"/>
      <c r="FW37" s="141"/>
      <c r="FX37" s="141"/>
      <c r="FY37" s="141"/>
      <c r="FZ37" s="141"/>
      <c r="GA37" s="141"/>
      <c r="GB37" s="141"/>
      <c r="GC37" s="141"/>
      <c r="GD37" s="141"/>
      <c r="GE37" s="141"/>
      <c r="GF37" s="141"/>
      <c r="GG37" s="141"/>
      <c r="GH37" s="141"/>
      <c r="GI37" s="141"/>
      <c r="GJ37" s="141"/>
      <c r="GK37" s="141"/>
      <c r="GL37" s="141"/>
      <c r="GM37" s="141"/>
      <c r="GN37" s="141"/>
      <c r="GO37" s="141"/>
      <c r="GP37" s="141"/>
      <c r="GQ37" s="141"/>
      <c r="GR37" s="141"/>
      <c r="GS37" s="141"/>
      <c r="GT37" s="141"/>
      <c r="GU37" s="141"/>
      <c r="GV37" s="141"/>
      <c r="GW37" s="141"/>
      <c r="GX37" s="141"/>
      <c r="GY37" s="141"/>
      <c r="GZ37" s="141"/>
      <c r="HA37" s="141"/>
      <c r="HB37" s="141"/>
      <c r="HC37" s="141"/>
      <c r="HD37" s="141"/>
      <c r="HE37" s="141"/>
      <c r="HF37" s="141"/>
      <c r="HG37" s="141"/>
      <c r="HH37" s="141"/>
      <c r="HI37" s="141"/>
      <c r="HJ37" s="141"/>
      <c r="HK37" s="141"/>
      <c r="HL37" s="141"/>
      <c r="HM37" s="141"/>
      <c r="HN37" s="141"/>
      <c r="HO37" s="141"/>
      <c r="HP37" s="141"/>
      <c r="HQ37" s="141"/>
      <c r="HR37" s="141"/>
      <c r="HS37" s="141"/>
      <c r="HT37" s="141"/>
      <c r="HU37" s="141"/>
      <c r="HV37" s="141"/>
      <c r="HW37" s="141"/>
      <c r="HX37" s="141"/>
      <c r="HY37" s="141"/>
      <c r="HZ37" s="141"/>
      <c r="IA37" s="141"/>
      <c r="IB37" s="141"/>
      <c r="IC37" s="141"/>
      <c r="ID37" s="141"/>
      <c r="IE37" s="141"/>
      <c r="IF37" s="141"/>
      <c r="IG37" s="141"/>
      <c r="IH37" s="141"/>
      <c r="II37" s="141"/>
      <c r="IJ37" s="141"/>
      <c r="IK37" s="141"/>
      <c r="IL37" s="141"/>
      <c r="IM37" s="141"/>
      <c r="IN37" s="141"/>
      <c r="IO37" s="141"/>
      <c r="IP37" s="141"/>
      <c r="IQ37" s="141"/>
      <c r="IR37" s="141"/>
      <c r="IS37" s="141"/>
      <c r="IT37" s="141"/>
      <c r="IU37" s="141"/>
      <c r="IV37" s="141"/>
      <c r="IW37" s="141"/>
    </row>
    <row r="38" customFormat="false" ht="15.75" hidden="false" customHeight="false" outlineLevel="0" collapsed="false">
      <c r="A38" s="90" t="s">
        <v>277</v>
      </c>
      <c r="B38" s="179" t="n">
        <v>0.07</v>
      </c>
      <c r="H38" s="83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  <c r="GF38" s="141"/>
      <c r="GG38" s="141"/>
      <c r="GH38" s="141"/>
      <c r="GI38" s="141"/>
      <c r="GJ38" s="141"/>
      <c r="GK38" s="141"/>
      <c r="GL38" s="141"/>
      <c r="GM38" s="141"/>
      <c r="GN38" s="141"/>
      <c r="GO38" s="141"/>
      <c r="GP38" s="141"/>
      <c r="GQ38" s="141"/>
      <c r="GR38" s="141"/>
      <c r="GS38" s="141"/>
      <c r="GT38" s="141"/>
      <c r="GU38" s="141"/>
      <c r="GV38" s="141"/>
      <c r="GW38" s="141"/>
      <c r="GX38" s="141"/>
      <c r="GY38" s="141"/>
      <c r="GZ38" s="141"/>
      <c r="HA38" s="141"/>
      <c r="HB38" s="141"/>
      <c r="HC38" s="141"/>
      <c r="HD38" s="141"/>
      <c r="HE38" s="141"/>
      <c r="HF38" s="141"/>
      <c r="HG38" s="141"/>
      <c r="HH38" s="141"/>
      <c r="HI38" s="141"/>
      <c r="HJ38" s="141"/>
      <c r="HK38" s="141"/>
      <c r="HL38" s="141"/>
      <c r="HM38" s="141"/>
      <c r="HN38" s="141"/>
      <c r="HO38" s="141"/>
      <c r="HP38" s="141"/>
      <c r="HQ38" s="141"/>
      <c r="HR38" s="141"/>
      <c r="HS38" s="141"/>
      <c r="HT38" s="141"/>
      <c r="HU38" s="141"/>
      <c r="HV38" s="141"/>
      <c r="HW38" s="141"/>
      <c r="HX38" s="141"/>
      <c r="HY38" s="141"/>
      <c r="HZ38" s="141"/>
      <c r="IA38" s="141"/>
      <c r="IB38" s="141"/>
      <c r="IC38" s="141"/>
      <c r="ID38" s="141"/>
      <c r="IE38" s="141"/>
      <c r="IF38" s="141"/>
      <c r="IG38" s="141"/>
      <c r="IH38" s="141"/>
      <c r="II38" s="141"/>
      <c r="IJ38" s="141"/>
      <c r="IK38" s="141"/>
      <c r="IL38" s="141"/>
      <c r="IM38" s="141"/>
      <c r="IN38" s="141"/>
      <c r="IO38" s="141"/>
      <c r="IP38" s="141"/>
      <c r="IQ38" s="141"/>
      <c r="IR38" s="141"/>
      <c r="IS38" s="141"/>
      <c r="IT38" s="141"/>
      <c r="IU38" s="141"/>
      <c r="IV38" s="141"/>
      <c r="IW38" s="141"/>
    </row>
    <row r="39" customFormat="false" ht="15.75" hidden="false" customHeight="false" outlineLevel="0" collapsed="false">
      <c r="A39" s="90" t="s">
        <v>279</v>
      </c>
      <c r="B39" s="181" t="n">
        <v>2</v>
      </c>
      <c r="H39" s="83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1"/>
      <c r="FZ39" s="141"/>
      <c r="GA39" s="141"/>
      <c r="GB39" s="141"/>
      <c r="GC39" s="141"/>
      <c r="GD39" s="141"/>
      <c r="GE39" s="141"/>
      <c r="GF39" s="141"/>
      <c r="GG39" s="141"/>
      <c r="GH39" s="141"/>
      <c r="GI39" s="141"/>
      <c r="GJ39" s="141"/>
      <c r="GK39" s="141"/>
      <c r="GL39" s="141"/>
      <c r="GM39" s="141"/>
      <c r="GN39" s="141"/>
      <c r="GO39" s="141"/>
      <c r="GP39" s="141"/>
      <c r="GQ39" s="141"/>
      <c r="GR39" s="141"/>
      <c r="GS39" s="141"/>
      <c r="GT39" s="141"/>
      <c r="GU39" s="141"/>
      <c r="GV39" s="141"/>
      <c r="GW39" s="141"/>
      <c r="GX39" s="141"/>
      <c r="GY39" s="141"/>
      <c r="GZ39" s="141"/>
      <c r="HA39" s="141"/>
      <c r="HB39" s="141"/>
      <c r="HC39" s="141"/>
      <c r="HD39" s="141"/>
      <c r="HE39" s="141"/>
      <c r="HF39" s="141"/>
      <c r="HG39" s="141"/>
      <c r="HH39" s="141"/>
      <c r="HI39" s="141"/>
      <c r="HJ39" s="141"/>
      <c r="HK39" s="141"/>
      <c r="HL39" s="141"/>
      <c r="HM39" s="141"/>
      <c r="HN39" s="141"/>
      <c r="HO39" s="141"/>
      <c r="HP39" s="141"/>
      <c r="HQ39" s="141"/>
      <c r="HR39" s="141"/>
      <c r="HS39" s="141"/>
      <c r="HT39" s="141"/>
      <c r="HU39" s="141"/>
      <c r="HV39" s="141"/>
      <c r="HW39" s="141"/>
      <c r="HX39" s="141"/>
      <c r="HY39" s="141"/>
      <c r="HZ39" s="141"/>
      <c r="IA39" s="141"/>
      <c r="IB39" s="141"/>
      <c r="IC39" s="141"/>
      <c r="ID39" s="141"/>
      <c r="IE39" s="141"/>
      <c r="IF39" s="141"/>
      <c r="IG39" s="141"/>
      <c r="IH39" s="141"/>
      <c r="II39" s="141"/>
      <c r="IJ39" s="141"/>
      <c r="IK39" s="141"/>
      <c r="IL39" s="141"/>
      <c r="IM39" s="141"/>
      <c r="IN39" s="141"/>
      <c r="IO39" s="141"/>
      <c r="IP39" s="141"/>
      <c r="IQ39" s="141"/>
      <c r="IR39" s="141"/>
      <c r="IS39" s="141"/>
      <c r="IT39" s="141"/>
      <c r="IU39" s="141"/>
      <c r="IV39" s="141"/>
      <c r="IW39" s="141"/>
    </row>
    <row r="40" customFormat="false" ht="15.75" hidden="false" customHeight="false" outlineLevel="0" collapsed="false">
      <c r="H40" s="83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1"/>
      <c r="DW40" s="141"/>
      <c r="DX40" s="141"/>
      <c r="DY40" s="141"/>
      <c r="DZ40" s="141"/>
      <c r="EA40" s="141"/>
      <c r="EB40" s="141"/>
      <c r="EC40" s="141"/>
      <c r="ED40" s="141"/>
      <c r="EE40" s="141"/>
      <c r="EF40" s="141"/>
      <c r="EG40" s="141"/>
      <c r="EH40" s="141"/>
      <c r="EI40" s="141"/>
      <c r="EJ40" s="141"/>
      <c r="EK40" s="141"/>
      <c r="EL40" s="141"/>
      <c r="EM40" s="141"/>
      <c r="EN40" s="141"/>
      <c r="EO40" s="141"/>
      <c r="EP40" s="141"/>
      <c r="EQ40" s="141"/>
      <c r="ER40" s="141"/>
      <c r="ES40" s="141"/>
      <c r="ET40" s="141"/>
      <c r="EU40" s="141"/>
      <c r="EV40" s="141"/>
      <c r="EW40" s="141"/>
      <c r="EX40" s="141"/>
      <c r="EY40" s="141"/>
      <c r="EZ40" s="141"/>
      <c r="FA40" s="141"/>
      <c r="FB40" s="141"/>
      <c r="FC40" s="141"/>
      <c r="FD40" s="141"/>
      <c r="FE40" s="141"/>
      <c r="FF40" s="141"/>
      <c r="FG40" s="141"/>
      <c r="FH40" s="141"/>
      <c r="FI40" s="141"/>
      <c r="FJ40" s="141"/>
      <c r="FK40" s="141"/>
      <c r="FL40" s="141"/>
      <c r="FM40" s="141"/>
      <c r="FN40" s="141"/>
      <c r="FO40" s="141"/>
      <c r="FP40" s="141"/>
      <c r="FQ40" s="141"/>
      <c r="FR40" s="141"/>
      <c r="FS40" s="141"/>
      <c r="FT40" s="141"/>
      <c r="FU40" s="141"/>
      <c r="FV40" s="141"/>
      <c r="FW40" s="141"/>
      <c r="FX40" s="141"/>
      <c r="FY40" s="141"/>
      <c r="FZ40" s="141"/>
      <c r="GA40" s="141"/>
      <c r="GB40" s="141"/>
      <c r="GC40" s="141"/>
      <c r="GD40" s="141"/>
      <c r="GE40" s="141"/>
      <c r="GF40" s="141"/>
      <c r="GG40" s="141"/>
      <c r="GH40" s="141"/>
      <c r="GI40" s="141"/>
      <c r="GJ40" s="141"/>
      <c r="GK40" s="141"/>
      <c r="GL40" s="141"/>
      <c r="GM40" s="141"/>
      <c r="GN40" s="141"/>
      <c r="GO40" s="141"/>
      <c r="GP40" s="141"/>
      <c r="GQ40" s="141"/>
      <c r="GR40" s="141"/>
      <c r="GS40" s="141"/>
      <c r="GT40" s="141"/>
      <c r="GU40" s="141"/>
      <c r="GV40" s="141"/>
      <c r="GW40" s="141"/>
      <c r="GX40" s="141"/>
      <c r="GY40" s="141"/>
      <c r="GZ40" s="141"/>
      <c r="HA40" s="141"/>
      <c r="HB40" s="141"/>
      <c r="HC40" s="141"/>
      <c r="HD40" s="141"/>
      <c r="HE40" s="141"/>
      <c r="HF40" s="141"/>
      <c r="HG40" s="141"/>
      <c r="HH40" s="141"/>
      <c r="HI40" s="141"/>
      <c r="HJ40" s="141"/>
      <c r="HK40" s="141"/>
      <c r="HL40" s="141"/>
      <c r="HM40" s="141"/>
      <c r="HN40" s="141"/>
      <c r="HO40" s="141"/>
      <c r="HP40" s="141"/>
      <c r="HQ40" s="141"/>
      <c r="HR40" s="141"/>
      <c r="HS40" s="141"/>
      <c r="HT40" s="141"/>
      <c r="HU40" s="141"/>
      <c r="HV40" s="141"/>
      <c r="HW40" s="141"/>
      <c r="HX40" s="141"/>
      <c r="HY40" s="141"/>
      <c r="HZ40" s="141"/>
      <c r="IA40" s="141"/>
      <c r="IB40" s="141"/>
      <c r="IC40" s="141"/>
      <c r="ID40" s="141"/>
      <c r="IE40" s="141"/>
      <c r="IF40" s="141"/>
      <c r="IG40" s="141"/>
      <c r="IH40" s="141"/>
      <c r="II40" s="141"/>
      <c r="IJ40" s="141"/>
      <c r="IK40" s="141"/>
      <c r="IL40" s="141"/>
      <c r="IM40" s="141"/>
      <c r="IN40" s="141"/>
      <c r="IO40" s="141"/>
      <c r="IP40" s="141"/>
      <c r="IQ40" s="141"/>
      <c r="IR40" s="141"/>
      <c r="IS40" s="141"/>
      <c r="IT40" s="141"/>
      <c r="IU40" s="141"/>
      <c r="IV40" s="141"/>
      <c r="IW40" s="141"/>
    </row>
    <row r="41" customFormat="false" ht="26.25" hidden="false" customHeight="false" outlineLevel="0" collapsed="false">
      <c r="A41" s="182"/>
      <c r="B41" s="183" t="s">
        <v>281</v>
      </c>
      <c r="C41" s="184" t="s">
        <v>244</v>
      </c>
      <c r="D41" s="184" t="s">
        <v>292</v>
      </c>
      <c r="E41" s="184" t="s">
        <v>276</v>
      </c>
      <c r="F41" s="184" t="s">
        <v>256</v>
      </c>
      <c r="G41" s="184" t="s">
        <v>252</v>
      </c>
      <c r="H41" s="184" t="s">
        <v>282</v>
      </c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1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141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1"/>
      <c r="IS41" s="141"/>
      <c r="IT41" s="141"/>
      <c r="IU41" s="141"/>
      <c r="IV41" s="141"/>
      <c r="IW41" s="141"/>
    </row>
    <row r="42" customFormat="false" ht="15.75" hidden="false" customHeight="false" outlineLevel="0" collapsed="false">
      <c r="A42" s="59" t="n">
        <v>36634</v>
      </c>
      <c r="B42" s="185" t="n">
        <v>0</v>
      </c>
      <c r="C42" s="90" t="n">
        <f aca="false">B37</f>
        <v>400000000</v>
      </c>
      <c r="D42" s="90" t="n">
        <v>0</v>
      </c>
      <c r="E42" s="90" t="n">
        <v>0</v>
      </c>
      <c r="F42" s="90" t="n">
        <v>0</v>
      </c>
      <c r="G42" s="90" t="n">
        <f aca="false">+C42+D42+E42+F42</f>
        <v>400000000</v>
      </c>
      <c r="H42" s="90" t="n">
        <f aca="false">+F42</f>
        <v>0</v>
      </c>
      <c r="I42" s="59" t="n">
        <f aca="false">+A42</f>
        <v>36634</v>
      </c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141"/>
      <c r="DY42" s="141"/>
      <c r="DZ42" s="141"/>
      <c r="EA42" s="141"/>
      <c r="EB42" s="141"/>
      <c r="EC42" s="141"/>
      <c r="ED42" s="141"/>
      <c r="EE42" s="141"/>
      <c r="EF42" s="141"/>
      <c r="EG42" s="141"/>
      <c r="EH42" s="141"/>
      <c r="EI42" s="141"/>
      <c r="EJ42" s="141"/>
      <c r="EK42" s="141"/>
      <c r="EL42" s="141"/>
      <c r="EM42" s="141"/>
      <c r="EN42" s="141"/>
      <c r="EO42" s="141"/>
      <c r="EP42" s="141"/>
      <c r="EQ42" s="141"/>
      <c r="ER42" s="141"/>
      <c r="ES42" s="141"/>
      <c r="ET42" s="141"/>
      <c r="EU42" s="141"/>
      <c r="EV42" s="141"/>
      <c r="EW42" s="141"/>
      <c r="EX42" s="141"/>
      <c r="EY42" s="141"/>
      <c r="EZ42" s="141"/>
      <c r="FA42" s="141"/>
      <c r="FB42" s="141"/>
      <c r="FC42" s="141"/>
      <c r="FD42" s="141"/>
      <c r="FE42" s="141"/>
      <c r="FF42" s="141"/>
      <c r="FG42" s="141"/>
      <c r="FH42" s="141"/>
      <c r="FI42" s="141"/>
      <c r="FJ42" s="141"/>
      <c r="FK42" s="141"/>
      <c r="FL42" s="141"/>
      <c r="FM42" s="141"/>
      <c r="FN42" s="141"/>
      <c r="FO42" s="141"/>
      <c r="FP42" s="141"/>
      <c r="FQ42" s="141"/>
      <c r="FR42" s="141"/>
      <c r="FS42" s="141"/>
      <c r="FT42" s="141"/>
      <c r="FU42" s="141"/>
      <c r="FV42" s="141"/>
      <c r="FW42" s="141"/>
      <c r="FX42" s="141"/>
      <c r="FY42" s="141"/>
      <c r="FZ42" s="141"/>
      <c r="GA42" s="141"/>
      <c r="GB42" s="141"/>
      <c r="GC42" s="141"/>
      <c r="GD42" s="141"/>
      <c r="GE42" s="141"/>
      <c r="GF42" s="141"/>
      <c r="GG42" s="141"/>
      <c r="GH42" s="141"/>
      <c r="GI42" s="141"/>
      <c r="GJ42" s="141"/>
      <c r="GK42" s="141"/>
      <c r="GL42" s="141"/>
      <c r="GM42" s="141"/>
      <c r="GN42" s="141"/>
      <c r="GO42" s="141"/>
      <c r="GP42" s="141"/>
      <c r="GQ42" s="141"/>
      <c r="GR42" s="141"/>
      <c r="GS42" s="141"/>
      <c r="GT42" s="141"/>
      <c r="GU42" s="141"/>
      <c r="GV42" s="141"/>
      <c r="GW42" s="141"/>
      <c r="GX42" s="141"/>
      <c r="GY42" s="141"/>
      <c r="GZ42" s="141"/>
      <c r="HA42" s="141"/>
      <c r="HB42" s="141"/>
      <c r="HC42" s="141"/>
      <c r="HD42" s="141"/>
      <c r="HE42" s="141"/>
      <c r="HF42" s="141"/>
      <c r="HG42" s="141"/>
      <c r="HH42" s="141"/>
      <c r="HI42" s="141"/>
      <c r="HJ42" s="141"/>
      <c r="HK42" s="141"/>
      <c r="HL42" s="141"/>
      <c r="HM42" s="141"/>
      <c r="HN42" s="141"/>
      <c r="HO42" s="141"/>
      <c r="HP42" s="141"/>
      <c r="HQ42" s="141"/>
      <c r="HR42" s="141"/>
      <c r="HS42" s="141"/>
      <c r="HT42" s="141"/>
      <c r="HU42" s="141"/>
      <c r="HV42" s="141"/>
      <c r="HW42" s="141"/>
      <c r="HX42" s="141"/>
      <c r="HY42" s="141"/>
      <c r="HZ42" s="141"/>
      <c r="IA42" s="141"/>
      <c r="IB42" s="141"/>
      <c r="IC42" s="141"/>
      <c r="ID42" s="141"/>
      <c r="IE42" s="141"/>
      <c r="IF42" s="141"/>
      <c r="IG42" s="141"/>
      <c r="IH42" s="141"/>
      <c r="II42" s="141"/>
      <c r="IJ42" s="141"/>
      <c r="IK42" s="141"/>
      <c r="IL42" s="141"/>
      <c r="IM42" s="141"/>
      <c r="IN42" s="141"/>
      <c r="IO42" s="141"/>
      <c r="IP42" s="141"/>
      <c r="IQ42" s="141"/>
      <c r="IR42" s="141"/>
      <c r="IS42" s="141"/>
      <c r="IT42" s="141"/>
      <c r="IU42" s="141"/>
      <c r="IV42" s="141"/>
      <c r="IW42" s="141"/>
    </row>
    <row r="43" customFormat="false" ht="15.75" hidden="false" customHeight="false" outlineLevel="0" collapsed="false">
      <c r="A43" s="59" t="n">
        <v>36800</v>
      </c>
      <c r="B43" s="185" t="n">
        <f aca="false">+B42+1</f>
        <v>1</v>
      </c>
      <c r="C43" s="90" t="n">
        <f aca="false">G42</f>
        <v>400000000</v>
      </c>
      <c r="D43" s="90" t="n">
        <f aca="false">+E68</f>
        <v>-32468725.6335</v>
      </c>
      <c r="E43" s="90" t="n">
        <v>0</v>
      </c>
      <c r="F43" s="90" t="n">
        <f aca="false">C43*$B$38/360*(A43-A42)</f>
        <v>12911111.1111111</v>
      </c>
      <c r="G43" s="90" t="n">
        <f aca="false">+C43+D43+E43+F43</f>
        <v>380442385.477611</v>
      </c>
      <c r="H43" s="90" t="n">
        <f aca="false">+H42+F43</f>
        <v>12911111.1111111</v>
      </c>
      <c r="I43" s="59" t="n">
        <f aca="false">+A43</f>
        <v>36800</v>
      </c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/>
      <c r="DU43" s="141"/>
      <c r="DV43" s="141"/>
      <c r="DW43" s="141"/>
      <c r="DX43" s="141"/>
      <c r="DY43" s="141"/>
      <c r="DZ43" s="141"/>
      <c r="EA43" s="141"/>
      <c r="EB43" s="141"/>
      <c r="EC43" s="141"/>
      <c r="ED43" s="141"/>
      <c r="EE43" s="141"/>
      <c r="EF43" s="141"/>
      <c r="EG43" s="141"/>
      <c r="EH43" s="141"/>
      <c r="EI43" s="141"/>
      <c r="EJ43" s="141"/>
      <c r="EK43" s="141"/>
      <c r="EL43" s="141"/>
      <c r="EM43" s="141"/>
      <c r="EN43" s="141"/>
      <c r="EO43" s="141"/>
      <c r="EP43" s="141"/>
      <c r="EQ43" s="141"/>
      <c r="ER43" s="141"/>
      <c r="ES43" s="141"/>
      <c r="ET43" s="141"/>
      <c r="EU43" s="141"/>
      <c r="EV43" s="141"/>
      <c r="EW43" s="141"/>
      <c r="EX43" s="141"/>
      <c r="EY43" s="141"/>
      <c r="EZ43" s="141"/>
      <c r="FA43" s="141"/>
      <c r="FB43" s="141"/>
      <c r="FC43" s="141"/>
      <c r="FD43" s="141"/>
      <c r="FE43" s="141"/>
      <c r="FF43" s="141"/>
      <c r="FG43" s="141"/>
      <c r="FH43" s="141"/>
      <c r="FI43" s="141"/>
      <c r="FJ43" s="141"/>
      <c r="FK43" s="141"/>
      <c r="FL43" s="141"/>
      <c r="FM43" s="141"/>
      <c r="FN43" s="141"/>
      <c r="FO43" s="141"/>
      <c r="FP43" s="141"/>
      <c r="FQ43" s="141"/>
      <c r="FR43" s="141"/>
      <c r="FS43" s="141"/>
      <c r="FT43" s="141"/>
      <c r="FU43" s="141"/>
      <c r="FV43" s="141"/>
      <c r="FW43" s="141"/>
      <c r="FX43" s="141"/>
      <c r="FY43" s="141"/>
      <c r="FZ43" s="141"/>
      <c r="GA43" s="141"/>
      <c r="GB43" s="141"/>
      <c r="GC43" s="141"/>
      <c r="GD43" s="141"/>
      <c r="GE43" s="141"/>
      <c r="GF43" s="141"/>
      <c r="GG43" s="141"/>
      <c r="GH43" s="141"/>
      <c r="GI43" s="141"/>
      <c r="GJ43" s="141"/>
      <c r="GK43" s="141"/>
      <c r="GL43" s="141"/>
      <c r="GM43" s="141"/>
      <c r="GN43" s="141"/>
      <c r="GO43" s="141"/>
      <c r="GP43" s="141"/>
      <c r="GQ43" s="141"/>
      <c r="GR43" s="141"/>
      <c r="GS43" s="141"/>
      <c r="GT43" s="141"/>
      <c r="GU43" s="141"/>
      <c r="GV43" s="141"/>
      <c r="GW43" s="141"/>
      <c r="GX43" s="141"/>
      <c r="GY43" s="141"/>
      <c r="GZ43" s="141"/>
      <c r="HA43" s="141"/>
      <c r="HB43" s="141"/>
      <c r="HC43" s="141"/>
      <c r="HD43" s="141"/>
      <c r="HE43" s="141"/>
      <c r="HF43" s="141"/>
      <c r="HG43" s="141"/>
      <c r="HH43" s="141"/>
      <c r="HI43" s="141"/>
      <c r="HJ43" s="141"/>
      <c r="HK43" s="141"/>
      <c r="HL43" s="141"/>
      <c r="HM43" s="141"/>
      <c r="HN43" s="141"/>
      <c r="HO43" s="141"/>
      <c r="HP43" s="141"/>
      <c r="HQ43" s="141"/>
      <c r="HR43" s="141"/>
      <c r="HS43" s="141"/>
      <c r="HT43" s="141"/>
      <c r="HU43" s="141"/>
      <c r="HV43" s="141"/>
      <c r="HW43" s="141"/>
      <c r="HX43" s="141"/>
      <c r="HY43" s="141"/>
      <c r="HZ43" s="141"/>
      <c r="IA43" s="141"/>
      <c r="IB43" s="141"/>
      <c r="IC43" s="141"/>
      <c r="ID43" s="141"/>
      <c r="IE43" s="141"/>
      <c r="IF43" s="141"/>
      <c r="IG43" s="141"/>
      <c r="IH43" s="141"/>
      <c r="II43" s="141"/>
      <c r="IJ43" s="141"/>
      <c r="IK43" s="141"/>
      <c r="IL43" s="141"/>
      <c r="IM43" s="141"/>
      <c r="IN43" s="141"/>
      <c r="IO43" s="141"/>
      <c r="IP43" s="141"/>
      <c r="IQ43" s="141"/>
      <c r="IR43" s="141"/>
      <c r="IS43" s="141"/>
      <c r="IT43" s="141"/>
      <c r="IU43" s="141"/>
      <c r="IV43" s="141"/>
      <c r="IW43" s="141"/>
    </row>
    <row r="44" customFormat="false" ht="15.75" hidden="false" customHeight="false" outlineLevel="0" collapsed="false">
      <c r="A44" s="59" t="n">
        <v>36982</v>
      </c>
      <c r="B44" s="185" t="n">
        <f aca="false">+B43+1</f>
        <v>2</v>
      </c>
      <c r="C44" s="90" t="n">
        <f aca="false">G43</f>
        <v>380442385.477611</v>
      </c>
      <c r="D44" s="90" t="n">
        <f aca="false">+E80</f>
        <v>74584975.7894065</v>
      </c>
      <c r="E44" s="90" t="n">
        <v>0</v>
      </c>
      <c r="F44" s="90" t="n">
        <f aca="false">C44*$B$38/360*(A44-A43)</f>
        <v>13463433.308291</v>
      </c>
      <c r="G44" s="90" t="n">
        <f aca="false">+C44+D44+E44+F44</f>
        <v>468490794.575309</v>
      </c>
      <c r="H44" s="90" t="n">
        <f aca="false">+H43+F44</f>
        <v>26374544.4194021</v>
      </c>
      <c r="I44" s="59" t="n">
        <f aca="false">+A44</f>
        <v>36982</v>
      </c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1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141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1"/>
      <c r="IS44" s="141"/>
      <c r="IT44" s="141"/>
      <c r="IU44" s="141"/>
      <c r="IV44" s="141"/>
      <c r="IW44" s="141"/>
    </row>
    <row r="45" customFormat="false" ht="15.75" hidden="false" customHeight="false" outlineLevel="0" collapsed="false">
      <c r="A45" s="59" t="n">
        <v>37165</v>
      </c>
      <c r="B45" s="185" t="n">
        <f aca="false">+B44+1</f>
        <v>3</v>
      </c>
      <c r="C45" s="90" t="n">
        <f aca="false">G44</f>
        <v>468490794.575309</v>
      </c>
      <c r="D45" s="90" t="n">
        <v>0</v>
      </c>
      <c r="E45" s="90" t="n">
        <v>0</v>
      </c>
      <c r="F45" s="90" t="n">
        <f aca="false">C45*$B$38/360*(A45-A44)</f>
        <v>16670464.1069714</v>
      </c>
      <c r="G45" s="90" t="n">
        <f aca="false">+C45+D45+E45+F45</f>
        <v>485161258.68228</v>
      </c>
      <c r="H45" s="90" t="n">
        <f aca="false">+H44+F45</f>
        <v>43045008.5263735</v>
      </c>
      <c r="I45" s="59" t="n">
        <f aca="false">+A45</f>
        <v>37165</v>
      </c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1"/>
      <c r="IS45" s="141"/>
      <c r="IT45" s="141"/>
      <c r="IU45" s="141"/>
      <c r="IV45" s="141"/>
      <c r="IW45" s="141"/>
    </row>
    <row r="46" customFormat="false" ht="15.75" hidden="false" customHeight="false" outlineLevel="0" collapsed="false">
      <c r="A46" s="59" t="n">
        <v>37347</v>
      </c>
      <c r="B46" s="185" t="n">
        <f aca="false">+B45+1</f>
        <v>4</v>
      </c>
      <c r="C46" s="90" t="n">
        <f aca="false">G45</f>
        <v>485161258.68228</v>
      </c>
      <c r="D46" s="90" t="n">
        <v>0</v>
      </c>
      <c r="E46" s="90" t="n">
        <v>0</v>
      </c>
      <c r="F46" s="90" t="n">
        <f aca="false">C46*$B$38/360*(A46-A45)</f>
        <v>17169317.8767007</v>
      </c>
      <c r="G46" s="90" t="n">
        <f aca="false">+C46+D46+E46+F46</f>
        <v>502330576.558981</v>
      </c>
      <c r="H46" s="90" t="n">
        <f aca="false">+H45+F46</f>
        <v>60214326.4030742</v>
      </c>
      <c r="I46" s="59" t="n">
        <f aca="false">+A46</f>
        <v>37347</v>
      </c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1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141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1"/>
      <c r="IS46" s="141"/>
      <c r="IT46" s="141"/>
      <c r="IU46" s="141"/>
      <c r="IV46" s="141"/>
      <c r="IW46" s="141"/>
    </row>
    <row r="47" customFormat="false" ht="15.75" hidden="false" customHeight="false" outlineLevel="0" collapsed="false">
      <c r="A47" s="59" t="n">
        <v>37530</v>
      </c>
      <c r="B47" s="185" t="n">
        <f aca="false">+B46+1</f>
        <v>5</v>
      </c>
      <c r="C47" s="90" t="n">
        <f aca="false">G46</f>
        <v>502330576.558981</v>
      </c>
      <c r="D47" s="90" t="n">
        <v>0</v>
      </c>
      <c r="E47" s="90" t="n">
        <v>0</v>
      </c>
      <c r="F47" s="90" t="n">
        <f aca="false">C47*$B$38/360*(A47-A46)</f>
        <v>17874596.3492237</v>
      </c>
      <c r="G47" s="90" t="n">
        <f aca="false">+C47+D47+E47+F47</f>
        <v>520205172.908204</v>
      </c>
      <c r="H47" s="90" t="n">
        <f aca="false">+H46+F47</f>
        <v>78088922.752298</v>
      </c>
      <c r="I47" s="59" t="n">
        <f aca="false">+A47</f>
        <v>37530</v>
      </c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1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141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1"/>
      <c r="IS47" s="141"/>
      <c r="IT47" s="141"/>
      <c r="IU47" s="141"/>
      <c r="IV47" s="141"/>
      <c r="IW47" s="141"/>
    </row>
    <row r="48" customFormat="false" ht="15.75" hidden="false" customHeight="false" outlineLevel="0" collapsed="false">
      <c r="A48" s="59" t="n">
        <v>37712</v>
      </c>
      <c r="B48" s="185" t="n">
        <f aca="false">+B47+1</f>
        <v>6</v>
      </c>
      <c r="C48" s="90" t="n">
        <f aca="false">G47</f>
        <v>520205172.908204</v>
      </c>
      <c r="D48" s="90" t="n">
        <v>0</v>
      </c>
      <c r="E48" s="90" t="n">
        <v>0</v>
      </c>
      <c r="F48" s="90" t="n">
        <f aca="false">C48*$B$38/360*(A48-A47)</f>
        <v>18409483.0634737</v>
      </c>
      <c r="G48" s="90" t="n">
        <f aca="false">+C48+D48+E48+F48</f>
        <v>538614655.971678</v>
      </c>
      <c r="H48" s="90" t="n">
        <f aca="false">+H47+F48</f>
        <v>96498405.8157716</v>
      </c>
      <c r="I48" s="59" t="n">
        <f aca="false">+A48</f>
        <v>37712</v>
      </c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1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1"/>
      <c r="IT48" s="141"/>
      <c r="IU48" s="141"/>
      <c r="IV48" s="141"/>
      <c r="IW48" s="141"/>
    </row>
    <row r="49" customFormat="false" ht="15.75" hidden="false" customHeight="false" outlineLevel="0" collapsed="false">
      <c r="A49" s="59" t="n">
        <v>37895</v>
      </c>
      <c r="B49" s="185" t="n">
        <f aca="false">+B48+1</f>
        <v>7</v>
      </c>
      <c r="C49" s="90" t="n">
        <f aca="false">G48</f>
        <v>538614655.971678</v>
      </c>
      <c r="D49" s="90" t="n">
        <v>0</v>
      </c>
      <c r="E49" s="90" t="n">
        <v>0</v>
      </c>
      <c r="F49" s="90" t="n">
        <f aca="false">C49*$B$38/360*(A49-A48)</f>
        <v>19165704.8416589</v>
      </c>
      <c r="G49" s="90" t="n">
        <f aca="false">+C49+D49+E49+F49</f>
        <v>557780360.813337</v>
      </c>
      <c r="H49" s="90" t="n">
        <f aca="false">+H48+F49</f>
        <v>115664110.657431</v>
      </c>
      <c r="I49" s="59" t="n">
        <f aca="false">+A49</f>
        <v>37895</v>
      </c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  <c r="IT49" s="141"/>
      <c r="IU49" s="141"/>
      <c r="IV49" s="141"/>
      <c r="IW49" s="141"/>
    </row>
    <row r="50" customFormat="false" ht="15.75" hidden="false" customHeight="false" outlineLevel="0" collapsed="false">
      <c r="A50" s="59" t="n">
        <v>38078</v>
      </c>
      <c r="B50" s="185" t="n">
        <f aca="false">+B49+1</f>
        <v>8</v>
      </c>
      <c r="C50" s="90" t="n">
        <f aca="false">G49</f>
        <v>557780360.813337</v>
      </c>
      <c r="D50" s="90" t="n">
        <v>0</v>
      </c>
      <c r="E50" s="90" t="n">
        <v>0</v>
      </c>
      <c r="F50" s="90" t="n">
        <f aca="false">C50*$B$38/360*(A50-A49)</f>
        <v>19847684.5056079</v>
      </c>
      <c r="G50" s="90" t="n">
        <f aca="false">+C50+D50+E50+F50</f>
        <v>577628045.318945</v>
      </c>
      <c r="H50" s="90" t="n">
        <f aca="false">+H49+F50</f>
        <v>135511795.163038</v>
      </c>
      <c r="I50" s="59" t="n">
        <f aca="false">+A50</f>
        <v>38078</v>
      </c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1"/>
      <c r="FF50" s="141"/>
      <c r="FG50" s="141"/>
      <c r="FH50" s="141"/>
      <c r="FI50" s="141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1"/>
      <c r="FV50" s="141"/>
      <c r="FW50" s="141"/>
      <c r="FX50" s="141"/>
      <c r="FY50" s="141"/>
      <c r="FZ50" s="141"/>
      <c r="GA50" s="141"/>
      <c r="GB50" s="141"/>
      <c r="GC50" s="141"/>
      <c r="GD50" s="141"/>
      <c r="GE50" s="141"/>
      <c r="GF50" s="141"/>
      <c r="GG50" s="141"/>
      <c r="GH50" s="141"/>
      <c r="GI50" s="141"/>
      <c r="GJ50" s="141"/>
      <c r="GK50" s="141"/>
      <c r="GL50" s="141"/>
      <c r="GM50" s="141"/>
      <c r="GN50" s="141"/>
      <c r="GO50" s="141"/>
      <c r="GP50" s="141"/>
      <c r="GQ50" s="141"/>
      <c r="GR50" s="141"/>
      <c r="GS50" s="141"/>
      <c r="GT50" s="141"/>
      <c r="GU50" s="141"/>
      <c r="GV50" s="141"/>
      <c r="GW50" s="141"/>
      <c r="GX50" s="141"/>
      <c r="GY50" s="141"/>
      <c r="GZ50" s="141"/>
      <c r="HA50" s="141"/>
      <c r="HB50" s="141"/>
      <c r="HC50" s="141"/>
      <c r="HD50" s="141"/>
      <c r="HE50" s="141"/>
      <c r="HF50" s="141"/>
      <c r="HG50" s="141"/>
      <c r="HH50" s="141"/>
      <c r="HI50" s="141"/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141"/>
      <c r="HV50" s="141"/>
      <c r="HW50" s="141"/>
      <c r="HX50" s="141"/>
      <c r="HY50" s="141"/>
      <c r="HZ50" s="141"/>
      <c r="IA50" s="141"/>
      <c r="IB50" s="141"/>
      <c r="IC50" s="141"/>
      <c r="ID50" s="141"/>
      <c r="IE50" s="141"/>
      <c r="IF50" s="141"/>
      <c r="IG50" s="141"/>
      <c r="IH50" s="141"/>
      <c r="II50" s="141"/>
      <c r="IJ50" s="141"/>
      <c r="IK50" s="141"/>
      <c r="IL50" s="141"/>
      <c r="IM50" s="141"/>
      <c r="IN50" s="141"/>
      <c r="IO50" s="141"/>
      <c r="IP50" s="141"/>
      <c r="IQ50" s="141"/>
      <c r="IR50" s="141"/>
      <c r="IS50" s="141"/>
      <c r="IT50" s="141"/>
      <c r="IU50" s="141"/>
      <c r="IV50" s="141"/>
      <c r="IW50" s="141"/>
    </row>
    <row r="51" customFormat="false" ht="15.75" hidden="false" customHeight="false" outlineLevel="0" collapsed="false">
      <c r="A51" s="59" t="n">
        <v>38261</v>
      </c>
      <c r="B51" s="185" t="n">
        <f aca="false">+B50+1</f>
        <v>9</v>
      </c>
      <c r="C51" s="90" t="n">
        <f aca="false">G50</f>
        <v>577628045.318945</v>
      </c>
      <c r="D51" s="90" t="n">
        <v>0</v>
      </c>
      <c r="E51" s="90" t="n">
        <v>0</v>
      </c>
      <c r="F51" s="90" t="n">
        <f aca="false">C51*$B$38/360*(A51-A50)</f>
        <v>20553931.2792658</v>
      </c>
      <c r="G51" s="90" t="n">
        <f aca="false">+C51+D51+E51+F51</f>
        <v>598181976.598211</v>
      </c>
      <c r="H51" s="90" t="n">
        <f aca="false">+H50+F51</f>
        <v>156065726.442304</v>
      </c>
      <c r="I51" s="59" t="n">
        <f aca="false">+A51</f>
        <v>38261</v>
      </c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1"/>
      <c r="FF51" s="141"/>
      <c r="FG51" s="141"/>
      <c r="FH51" s="141"/>
      <c r="FI51" s="141"/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1"/>
      <c r="FV51" s="141"/>
      <c r="FW51" s="141"/>
      <c r="FX51" s="141"/>
      <c r="FY51" s="141"/>
      <c r="FZ51" s="141"/>
      <c r="GA51" s="141"/>
      <c r="GB51" s="141"/>
      <c r="GC51" s="141"/>
      <c r="GD51" s="141"/>
      <c r="GE51" s="141"/>
      <c r="GF51" s="141"/>
      <c r="GG51" s="141"/>
      <c r="GH51" s="141"/>
      <c r="GI51" s="141"/>
      <c r="GJ51" s="141"/>
      <c r="GK51" s="141"/>
      <c r="GL51" s="141"/>
      <c r="GM51" s="141"/>
      <c r="GN51" s="141"/>
      <c r="GO51" s="141"/>
      <c r="GP51" s="141"/>
      <c r="GQ51" s="141"/>
      <c r="GR51" s="141"/>
      <c r="GS51" s="141"/>
      <c r="GT51" s="141"/>
      <c r="GU51" s="141"/>
      <c r="GV51" s="141"/>
      <c r="GW51" s="141"/>
      <c r="GX51" s="141"/>
      <c r="GY51" s="141"/>
      <c r="GZ51" s="141"/>
      <c r="HA51" s="141"/>
      <c r="HB51" s="141"/>
      <c r="HC51" s="141"/>
      <c r="HD51" s="141"/>
      <c r="HE51" s="141"/>
      <c r="HF51" s="141"/>
      <c r="HG51" s="141"/>
      <c r="HH51" s="141"/>
      <c r="HI51" s="141"/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141"/>
      <c r="HV51" s="141"/>
      <c r="HW51" s="141"/>
      <c r="HX51" s="141"/>
      <c r="HY51" s="141"/>
      <c r="HZ51" s="141"/>
      <c r="IA51" s="141"/>
      <c r="IB51" s="141"/>
      <c r="IC51" s="141"/>
      <c r="ID51" s="141"/>
      <c r="IE51" s="141"/>
      <c r="IF51" s="141"/>
      <c r="IG51" s="141"/>
      <c r="IH51" s="141"/>
      <c r="II51" s="141"/>
      <c r="IJ51" s="141"/>
      <c r="IK51" s="141"/>
      <c r="IL51" s="141"/>
      <c r="IM51" s="141"/>
      <c r="IN51" s="141"/>
      <c r="IO51" s="141"/>
      <c r="IP51" s="141"/>
      <c r="IQ51" s="141"/>
      <c r="IR51" s="141"/>
      <c r="IS51" s="141"/>
      <c r="IT51" s="141"/>
      <c r="IU51" s="141"/>
      <c r="IV51" s="141"/>
      <c r="IW51" s="141"/>
    </row>
    <row r="52" customFormat="false" ht="15.75" hidden="false" customHeight="false" outlineLevel="0" collapsed="false">
      <c r="A52" s="59" t="n">
        <v>38443</v>
      </c>
      <c r="B52" s="185" t="n">
        <f aca="false">+B51+1</f>
        <v>10</v>
      </c>
      <c r="C52" s="90" t="n">
        <f aca="false">G51</f>
        <v>598181976.598211</v>
      </c>
      <c r="D52" s="90" t="n">
        <v>0</v>
      </c>
      <c r="E52" s="90" t="n">
        <v>0</v>
      </c>
      <c r="F52" s="90" t="n">
        <f aca="false">C52*$B$38/360*(A52-A51)</f>
        <v>21168995.50517</v>
      </c>
      <c r="G52" s="90" t="n">
        <f aca="false">+C52+D52+E52+F52</f>
        <v>619350972.103381</v>
      </c>
      <c r="H52" s="90" t="n">
        <f aca="false">+H51+F52</f>
        <v>177234721.947474</v>
      </c>
      <c r="I52" s="59" t="n">
        <f aca="false">+A52</f>
        <v>38443</v>
      </c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/>
      <c r="EB52" s="141"/>
      <c r="EC52" s="141"/>
      <c r="ED52" s="141"/>
      <c r="EE52" s="141"/>
      <c r="EF52" s="141"/>
      <c r="EG52" s="141"/>
      <c r="EH52" s="141"/>
      <c r="EI52" s="141"/>
      <c r="EJ52" s="141"/>
      <c r="EK52" s="141"/>
      <c r="EL52" s="141"/>
      <c r="EM52" s="141"/>
      <c r="EN52" s="141"/>
      <c r="EO52" s="141"/>
      <c r="EP52" s="141"/>
      <c r="EQ52" s="141"/>
      <c r="ER52" s="141"/>
      <c r="ES52" s="141"/>
      <c r="ET52" s="141"/>
      <c r="EU52" s="141"/>
      <c r="EV52" s="141"/>
      <c r="EW52" s="141"/>
      <c r="EX52" s="141"/>
      <c r="EY52" s="141"/>
      <c r="EZ52" s="141"/>
      <c r="FA52" s="141"/>
      <c r="FB52" s="141"/>
      <c r="FC52" s="141"/>
      <c r="FD52" s="141"/>
      <c r="FE52" s="141"/>
      <c r="FF52" s="141"/>
      <c r="FG52" s="141"/>
      <c r="FH52" s="141"/>
      <c r="FI52" s="141"/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1"/>
      <c r="FV52" s="141"/>
      <c r="FW52" s="141"/>
      <c r="FX52" s="141"/>
      <c r="FY52" s="141"/>
      <c r="FZ52" s="141"/>
      <c r="GA52" s="141"/>
      <c r="GB52" s="141"/>
      <c r="GC52" s="141"/>
      <c r="GD52" s="141"/>
      <c r="GE52" s="141"/>
      <c r="GF52" s="141"/>
      <c r="GG52" s="141"/>
      <c r="GH52" s="141"/>
      <c r="GI52" s="141"/>
      <c r="GJ52" s="141"/>
      <c r="GK52" s="141"/>
      <c r="GL52" s="141"/>
      <c r="GM52" s="141"/>
      <c r="GN52" s="141"/>
      <c r="GO52" s="141"/>
      <c r="GP52" s="141"/>
      <c r="GQ52" s="141"/>
      <c r="GR52" s="141"/>
      <c r="GS52" s="141"/>
      <c r="GT52" s="141"/>
      <c r="GU52" s="141"/>
      <c r="GV52" s="141"/>
      <c r="GW52" s="141"/>
      <c r="GX52" s="141"/>
      <c r="GY52" s="141"/>
      <c r="GZ52" s="141"/>
      <c r="HA52" s="141"/>
      <c r="HB52" s="141"/>
      <c r="HC52" s="141"/>
      <c r="HD52" s="141"/>
      <c r="HE52" s="141"/>
      <c r="HF52" s="141"/>
      <c r="HG52" s="141"/>
      <c r="HH52" s="141"/>
      <c r="HI52" s="141"/>
      <c r="HJ52" s="141"/>
      <c r="HK52" s="141"/>
      <c r="HL52" s="141"/>
      <c r="HM52" s="141"/>
      <c r="HN52" s="141"/>
      <c r="HO52" s="141"/>
      <c r="HP52" s="141"/>
      <c r="HQ52" s="141"/>
      <c r="HR52" s="141"/>
      <c r="HS52" s="141"/>
      <c r="HT52" s="141"/>
      <c r="HU52" s="141"/>
      <c r="HV52" s="141"/>
      <c r="HW52" s="141"/>
      <c r="HX52" s="141"/>
      <c r="HY52" s="141"/>
      <c r="HZ52" s="141"/>
      <c r="IA52" s="141"/>
      <c r="IB52" s="141"/>
      <c r="IC52" s="141"/>
      <c r="ID52" s="141"/>
      <c r="IE52" s="141"/>
      <c r="IF52" s="141"/>
      <c r="IG52" s="141"/>
      <c r="IH52" s="141"/>
      <c r="II52" s="141"/>
      <c r="IJ52" s="141"/>
      <c r="IK52" s="141"/>
      <c r="IL52" s="141"/>
      <c r="IM52" s="141"/>
      <c r="IN52" s="141"/>
      <c r="IO52" s="141"/>
      <c r="IP52" s="141"/>
      <c r="IQ52" s="141"/>
      <c r="IR52" s="141"/>
      <c r="IS52" s="141"/>
      <c r="IT52" s="141"/>
      <c r="IU52" s="141"/>
      <c r="IV52" s="141"/>
      <c r="IW52" s="141"/>
    </row>
    <row r="53" customFormat="false" ht="16.5" hidden="false" customHeight="false" outlineLevel="0" collapsed="false">
      <c r="A53" s="59"/>
      <c r="B53" s="59"/>
      <c r="D53" s="119" t="n">
        <f aca="false">SUM(D43:D52)</f>
        <v>42116250.1559065</v>
      </c>
      <c r="E53" s="119" t="n">
        <f aca="false">SUM(E43:E52)</f>
        <v>0</v>
      </c>
      <c r="F53" s="119" t="n">
        <f aca="false">SUM(F43:F52)</f>
        <v>177234721.947474</v>
      </c>
      <c r="H53" s="9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1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141"/>
      <c r="GK53" s="141"/>
      <c r="GL53" s="141"/>
      <c r="GM53" s="141"/>
      <c r="GN53" s="141"/>
      <c r="GO53" s="141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1"/>
      <c r="IS53" s="141"/>
      <c r="IT53" s="141"/>
      <c r="IU53" s="141"/>
      <c r="IV53" s="141"/>
      <c r="IW53" s="141"/>
    </row>
    <row r="54" customFormat="false" ht="16.5" hidden="false" customHeight="false" outlineLevel="0" collapsed="false">
      <c r="A54" s="186"/>
      <c r="B54" s="186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  <c r="IT54" s="141"/>
      <c r="IU54" s="141"/>
      <c r="IV54" s="141"/>
      <c r="IW54" s="141"/>
    </row>
    <row r="55" customFormat="false" ht="15.75" hidden="false" customHeight="false" outlineLevel="0" collapsed="false">
      <c r="A55" s="187" t="n">
        <f aca="false">+Summary!C5</f>
        <v>36962</v>
      </c>
      <c r="B55" s="187"/>
      <c r="C55" s="141"/>
      <c r="D55" s="141"/>
      <c r="E55" s="141" t="s">
        <v>281</v>
      </c>
      <c r="F55" s="141" t="n">
        <f aca="false">VLOOKUP(+A55,Note,2)</f>
        <v>1</v>
      </c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141"/>
      <c r="GK55" s="141"/>
      <c r="GL55" s="141"/>
      <c r="GM55" s="141"/>
      <c r="GN55" s="141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1"/>
      <c r="IS55" s="141"/>
      <c r="IT55" s="141"/>
      <c r="IU55" s="141"/>
      <c r="IV55" s="141"/>
      <c r="IW55" s="141"/>
    </row>
    <row r="56" customFormat="false" ht="15.75" hidden="false" customHeight="false" outlineLevel="0" collapsed="false">
      <c r="A56" s="141"/>
      <c r="B56" s="141"/>
      <c r="C56" s="141"/>
      <c r="D56" s="141"/>
      <c r="E56" s="141" t="s">
        <v>31</v>
      </c>
      <c r="F56" s="186" t="n">
        <f aca="false">VLOOKUP(+A55,Note,1)</f>
        <v>36800</v>
      </c>
      <c r="G56" s="141"/>
    </row>
    <row r="57" customFormat="false" ht="15.75" hidden="false" customHeight="false" outlineLevel="0" collapsed="false">
      <c r="A57" s="141" t="s">
        <v>293</v>
      </c>
      <c r="B57" s="56" t="n">
        <f aca="false">VLOOKUP(+A55,Loan,8)</f>
        <v>12911111.1111111</v>
      </c>
      <c r="C57" s="141"/>
      <c r="D57" s="141"/>
      <c r="E57" s="141" t="s">
        <v>285</v>
      </c>
      <c r="F57" s="141" t="n">
        <f aca="false">VLOOKUP(+F55+1,LoanPeriod,5)</f>
        <v>13463433.308291</v>
      </c>
      <c r="G57" s="141"/>
    </row>
    <row r="58" customFormat="false" ht="15.75" hidden="false" customHeight="false" outlineLevel="0" collapsed="false">
      <c r="A58" s="186" t="s">
        <v>6</v>
      </c>
      <c r="B58" s="141" t="n">
        <f aca="false">+B56+B57</f>
        <v>12911111.1111111</v>
      </c>
      <c r="C58" s="141"/>
      <c r="D58" s="141"/>
      <c r="E58" s="141" t="s">
        <v>287</v>
      </c>
      <c r="F58" s="186" t="n">
        <f aca="false">VLOOKUP(+F55+1,NotePeriod,8)</f>
        <v>36982</v>
      </c>
      <c r="G58" s="141"/>
    </row>
    <row r="59" customFormat="false" ht="15.75" hidden="false" customHeight="false" outlineLevel="0" collapsed="false">
      <c r="A59" s="186" t="s">
        <v>288</v>
      </c>
      <c r="B59" s="141" t="n">
        <f aca="false">A55-F56</f>
        <v>162</v>
      </c>
      <c r="C59" s="141"/>
      <c r="D59" s="141"/>
      <c r="E59" s="186"/>
      <c r="F59" s="141"/>
      <c r="G59" s="141"/>
    </row>
    <row r="60" customFormat="false" ht="15.75" hidden="false" customHeight="false" outlineLevel="0" collapsed="false">
      <c r="A60" s="186" t="s">
        <v>294</v>
      </c>
      <c r="B60" s="141" t="n">
        <f aca="false">F57*B59/(F58-F56)</f>
        <v>11983935.1425448</v>
      </c>
      <c r="C60" s="141"/>
      <c r="D60" s="141"/>
      <c r="E60" s="141"/>
      <c r="F60" s="141"/>
      <c r="G60" s="141"/>
    </row>
    <row r="61" customFormat="false" ht="15.75" hidden="false" customHeight="false" outlineLevel="0" collapsed="false">
      <c r="A61" s="186" t="s">
        <v>259</v>
      </c>
      <c r="B61" s="141" t="n">
        <f aca="false">+B57+B60</f>
        <v>24895046.2536559</v>
      </c>
      <c r="C61" s="141"/>
      <c r="D61" s="141"/>
      <c r="E61" s="141"/>
      <c r="F61" s="141"/>
      <c r="G61" s="141"/>
    </row>
    <row r="63" customFormat="false" ht="15.75" hidden="false" customHeight="false" outlineLevel="0" collapsed="false">
      <c r="A63" s="90" t="s">
        <v>295</v>
      </c>
    </row>
    <row r="64" customFormat="false" ht="15.75" hidden="false" customHeight="false" outlineLevel="0" collapsed="false">
      <c r="A64" s="59" t="n">
        <f aca="false">+'Cash-Int-Trans'!B76</f>
        <v>36741</v>
      </c>
      <c r="B64" s="90" t="s">
        <v>296</v>
      </c>
      <c r="E64" s="90" t="n">
        <f aca="false">+'Cash-Int-Trans'!B77</f>
        <v>3965852</v>
      </c>
    </row>
    <row r="65" customFormat="false" ht="15.75" hidden="false" customHeight="false" outlineLevel="0" collapsed="false">
      <c r="A65" s="59" t="n">
        <f aca="false">+A64</f>
        <v>36741</v>
      </c>
      <c r="B65" s="90" t="s">
        <v>297</v>
      </c>
      <c r="C65" s="59"/>
      <c r="D65" s="59" t="n">
        <f aca="false">+'Cash-Int-Trans'!E76</f>
        <v>36800</v>
      </c>
      <c r="E65" s="141" t="n">
        <f aca="false">+'Cash-Int-Trans'!E78</f>
        <v>45497.1354444444</v>
      </c>
    </row>
    <row r="66" customFormat="false" ht="15.75" hidden="false" customHeight="false" outlineLevel="0" collapsed="false">
      <c r="A66" s="59" t="n">
        <f aca="false">+'Cash-Int-Trans'!B80</f>
        <v>36741</v>
      </c>
      <c r="B66" s="90" t="s">
        <v>298</v>
      </c>
      <c r="E66" s="141" t="n">
        <f aca="false">+'Cash-Int-Trans'!B81</f>
        <v>-36066314</v>
      </c>
    </row>
    <row r="67" customFormat="false" ht="15.75" hidden="false" customHeight="false" outlineLevel="0" collapsed="false">
      <c r="A67" s="59" t="n">
        <f aca="false">+A66</f>
        <v>36741</v>
      </c>
      <c r="B67" s="90" t="s">
        <v>297</v>
      </c>
      <c r="C67" s="59"/>
      <c r="D67" s="59" t="n">
        <f aca="false">+'Cash-Int-Trans'!E76</f>
        <v>36800</v>
      </c>
      <c r="E67" s="188" t="n">
        <f aca="false">+'Cash-Int-Trans'!E82</f>
        <v>-413760.768944445</v>
      </c>
    </row>
    <row r="68" customFormat="false" ht="15.75" hidden="false" customHeight="false" outlineLevel="0" collapsed="false">
      <c r="E68" s="90" t="n">
        <f aca="false">SUM(E64:E67)</f>
        <v>-32468725.6335</v>
      </c>
    </row>
    <row r="70" customFormat="false" ht="15.75" hidden="false" customHeight="false" outlineLevel="0" collapsed="false">
      <c r="A70" s="59" t="n">
        <f aca="false">+'Cash-Int-Trans'!B84</f>
        <v>36831</v>
      </c>
      <c r="B70" s="90" t="str">
        <f aca="false">+'Cash-Int-Trans'!A86</f>
        <v>Brigham Debt</v>
      </c>
      <c r="D70" s="59"/>
      <c r="E70" s="90" t="n">
        <f aca="false">+'Cash-Int-Trans'!B85</f>
        <v>-65511</v>
      </c>
    </row>
    <row r="71" customFormat="false" ht="15.75" hidden="false" customHeight="false" outlineLevel="0" collapsed="false">
      <c r="A71" s="59" t="n">
        <f aca="false">+'Cash-Int-Trans'!B88</f>
        <v>36844</v>
      </c>
      <c r="B71" s="90" t="str">
        <f aca="false">+'Cash-Int-Trans'!A90</f>
        <v>Place Termination</v>
      </c>
      <c r="D71" s="59"/>
      <c r="E71" s="90" t="n">
        <f aca="false">+'Cash-Int-Trans'!B89</f>
        <v>-299117.998151162</v>
      </c>
    </row>
    <row r="72" customFormat="false" ht="15.75" hidden="false" customHeight="false" outlineLevel="0" collapsed="false">
      <c r="A72" s="59" t="n">
        <f aca="false">+'Cash-Int-Trans'!B92</f>
        <v>36873</v>
      </c>
      <c r="B72" s="90" t="str">
        <f aca="false">+'Cash-Int-Trans'!A94</f>
        <v>Quicksilver Termination</v>
      </c>
      <c r="D72" s="59"/>
      <c r="E72" s="90" t="n">
        <f aca="false">+'Cash-Int-Trans'!B93</f>
        <v>1166000.12055</v>
      </c>
    </row>
    <row r="73" customFormat="false" ht="15.75" hidden="false" customHeight="false" outlineLevel="0" collapsed="false">
      <c r="A73" s="59" t="n">
        <f aca="false">+'Cash-Int-Trans'!B96</f>
        <v>36879</v>
      </c>
      <c r="B73" s="90" t="str">
        <f aca="false">+'Cash-Int-Trans'!A98</f>
        <v>DEVX Pref Termination</v>
      </c>
      <c r="D73" s="59"/>
      <c r="E73" s="90" t="n">
        <f aca="false">+'Cash-Int-Trans'!B97</f>
        <v>-599260.14</v>
      </c>
    </row>
    <row r="74" customFormat="false" ht="15.75" hidden="false" customHeight="false" outlineLevel="0" collapsed="false">
      <c r="A74" s="59" t="n">
        <f aca="false">+'Cash-Int-Trans'!B100</f>
        <v>36893</v>
      </c>
      <c r="B74" s="90" t="str">
        <f aca="false">+'Cash-Int-Trans'!A102</f>
        <v>Black Bay and Keathley Termination</v>
      </c>
      <c r="D74" s="59"/>
      <c r="E74" s="90" t="n">
        <f aca="false">+'Cash-Int-Trans'!B101</f>
        <v>2417178.99</v>
      </c>
    </row>
    <row r="75" customFormat="false" ht="15.75" hidden="false" customHeight="false" outlineLevel="0" collapsed="false">
      <c r="A75" s="59" t="n">
        <f aca="false">+'Cash-Int-Trans'!B104</f>
        <v>36894</v>
      </c>
      <c r="B75" s="90" t="str">
        <f aca="false">+'Cash-Int-Trans'!A106</f>
        <v>Geo. Pursuit Termination</v>
      </c>
      <c r="D75" s="59"/>
      <c r="E75" s="90" t="n">
        <f aca="false">+'Cash-Int-Trans'!B105</f>
        <v>887500</v>
      </c>
    </row>
    <row r="76" customFormat="false" ht="15.75" hidden="false" customHeight="false" outlineLevel="0" collapsed="false">
      <c r="A76" s="59" t="n">
        <f aca="false">+'Cash-Int-Trans'!B108</f>
        <v>36907</v>
      </c>
      <c r="B76" s="90" t="str">
        <f aca="false">+'Cash-Int-Trans'!A110</f>
        <v>Avici Termination</v>
      </c>
      <c r="D76" s="59"/>
      <c r="E76" s="90" t="n">
        <f aca="false">+'Cash-Int-Trans'!B109</f>
        <v>132061.02</v>
      </c>
    </row>
    <row r="77" customFormat="false" ht="15.75" hidden="false" customHeight="false" outlineLevel="0" collapsed="false">
      <c r="A77" s="59" t="n">
        <f aca="false">+'Cash-Int-Trans'!B112</f>
        <v>36910</v>
      </c>
      <c r="B77" s="90" t="str">
        <f aca="false">+'Cash-Int-Trans'!A114</f>
        <v>Active Power Termination</v>
      </c>
      <c r="D77" s="59"/>
      <c r="E77" s="90" t="n">
        <f aca="false">+'Cash-Int-Trans'!B113</f>
        <v>7079860.93999988</v>
      </c>
    </row>
    <row r="78" customFormat="false" ht="15.75" hidden="false" customHeight="false" outlineLevel="0" collapsed="false">
      <c r="A78" s="59" t="n">
        <f aca="false">+'Cash-Int-Trans'!B116</f>
        <v>36910</v>
      </c>
      <c r="B78" s="90" t="str">
        <f aca="false">+'Cash-Int-Trans'!A118</f>
        <v>Merlin</v>
      </c>
      <c r="D78" s="59"/>
      <c r="E78" s="90" t="n">
        <f aca="false">+'Cash-Int-Trans'!B117</f>
        <v>63109023.64</v>
      </c>
    </row>
    <row r="79" customFormat="false" ht="15.75" hidden="false" customHeight="false" outlineLevel="0" collapsed="false">
      <c r="A79" s="59"/>
      <c r="B79" s="90" t="s">
        <v>264</v>
      </c>
      <c r="D79" s="59"/>
      <c r="E79" s="129" t="n">
        <f aca="false">+'Cash-Int-Trans'!E86+'Cash-Int-Trans'!E90+'Cash-Int-Trans'!E94+'Cash-Int-Trans'!E98+'Cash-Int-Trans'!E102+'Cash-Int-Trans'!E106+'Cash-Int-Trans'!E110+'Cash-Int-Trans'!E114+'Cash-Int-Trans'!E118</f>
        <v>757240.217007771</v>
      </c>
    </row>
    <row r="80" customFormat="false" ht="15.75" hidden="false" customHeight="false" outlineLevel="0" collapsed="false">
      <c r="A80" s="59"/>
      <c r="D80" s="59"/>
      <c r="E80" s="90" t="n">
        <f aca="false">SUM(E70:E79)</f>
        <v>74584975.7894065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49"/>
    <col collapsed="false" customWidth="true" hidden="true" outlineLevel="0" max="47" min="47" style="0" width="10.62"/>
    <col collapsed="false" customWidth="true" hidden="true" outlineLevel="0" max="48" min="48" style="0" width="13.99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2.62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0.74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89"/>
      <c r="B1" s="189"/>
      <c r="C1" s="189"/>
      <c r="D1" s="189"/>
      <c r="E1" s="189"/>
      <c r="F1" s="189"/>
      <c r="G1" s="189"/>
      <c r="H1" s="189"/>
      <c r="I1" s="190"/>
      <c r="J1" s="191" t="s">
        <v>299</v>
      </c>
      <c r="K1" s="191" t="s">
        <v>300</v>
      </c>
      <c r="L1" s="192"/>
      <c r="M1" s="191"/>
      <c r="N1" s="193"/>
      <c r="O1" s="192" t="s">
        <v>301</v>
      </c>
      <c r="P1" s="192" t="s">
        <v>302</v>
      </c>
      <c r="Q1" s="192" t="s">
        <v>303</v>
      </c>
      <c r="R1" s="192" t="s">
        <v>304</v>
      </c>
      <c r="S1" s="192"/>
      <c r="T1" s="192"/>
      <c r="U1" s="194" t="s">
        <v>301</v>
      </c>
      <c r="V1" s="192" t="s">
        <v>104</v>
      </c>
      <c r="W1" s="192"/>
      <c r="X1" s="195"/>
      <c r="Y1" s="192"/>
      <c r="Z1" s="195"/>
      <c r="AA1" s="195"/>
      <c r="AB1" s="195"/>
      <c r="AC1" s="194" t="s">
        <v>305</v>
      </c>
      <c r="AD1" s="193" t="s">
        <v>306</v>
      </c>
      <c r="AE1" s="193"/>
      <c r="AF1" s="193"/>
      <c r="AG1" s="193"/>
      <c r="AH1" s="193"/>
      <c r="AI1" s="193"/>
      <c r="AJ1" s="193"/>
      <c r="AK1" s="193"/>
      <c r="AL1" s="196"/>
      <c r="AM1" s="195"/>
      <c r="AN1" s="196"/>
      <c r="AO1" s="195"/>
      <c r="AP1" s="195"/>
      <c r="AQ1" s="195" t="s">
        <v>307</v>
      </c>
      <c r="AR1" s="193"/>
      <c r="AS1" s="192" t="s">
        <v>301</v>
      </c>
      <c r="AT1" s="193" t="s">
        <v>308</v>
      </c>
      <c r="AU1" s="193"/>
      <c r="AV1" s="193"/>
      <c r="AW1" s="193"/>
      <c r="AX1" s="193"/>
      <c r="AY1" s="193"/>
      <c r="AZ1" s="193"/>
      <c r="BA1" s="193"/>
      <c r="BB1" s="195" t="s">
        <v>299</v>
      </c>
      <c r="BC1" s="195" t="s">
        <v>300</v>
      </c>
      <c r="BD1" s="193" t="s">
        <v>309</v>
      </c>
      <c r="BE1" s="193"/>
      <c r="BF1" s="193"/>
      <c r="BG1" s="193"/>
      <c r="BH1" s="193"/>
      <c r="BI1" s="193"/>
      <c r="BJ1" s="193"/>
      <c r="BK1" s="193"/>
      <c r="BL1" s="195" t="s">
        <v>300</v>
      </c>
      <c r="BM1" s="195" t="s">
        <v>310</v>
      </c>
      <c r="BN1" s="195" t="s">
        <v>311</v>
      </c>
      <c r="BO1" s="195" t="s">
        <v>312</v>
      </c>
      <c r="BP1" s="195"/>
      <c r="BQ1" s="192"/>
      <c r="BR1" s="191"/>
      <c r="BS1" s="195"/>
      <c r="BT1" s="195" t="s">
        <v>313</v>
      </c>
      <c r="BU1" s="197" t="s">
        <v>314</v>
      </c>
      <c r="BV1" s="195"/>
      <c r="BW1" s="195" t="s">
        <v>313</v>
      </c>
      <c r="BX1" s="195" t="s">
        <v>315</v>
      </c>
      <c r="BY1" s="192"/>
      <c r="BZ1" s="192"/>
      <c r="CA1" s="192"/>
      <c r="CB1" s="192"/>
      <c r="CC1" s="192"/>
      <c r="CD1" s="192"/>
      <c r="CE1" s="192"/>
      <c r="CF1" s="192"/>
      <c r="CG1" s="195" t="s">
        <v>316</v>
      </c>
      <c r="CH1" s="195"/>
      <c r="CI1" s="195"/>
      <c r="CJ1" s="195"/>
      <c r="CK1" s="191" t="s">
        <v>317</v>
      </c>
      <c r="CL1" s="191" t="s">
        <v>318</v>
      </c>
    </row>
    <row r="2" customFormat="false" ht="15.75" hidden="false" customHeight="false" outlineLevel="0" collapsed="false">
      <c r="A2" s="198"/>
      <c r="B2" s="198"/>
      <c r="C2" s="198" t="s">
        <v>319</v>
      </c>
      <c r="D2" s="198"/>
      <c r="E2" s="198"/>
      <c r="F2" s="198"/>
      <c r="G2" s="198"/>
      <c r="H2" s="198" t="s">
        <v>320</v>
      </c>
      <c r="I2" s="199"/>
      <c r="J2" s="200" t="s">
        <v>321</v>
      </c>
      <c r="K2" s="200" t="s">
        <v>321</v>
      </c>
      <c r="L2" s="201"/>
      <c r="M2" s="200" t="s">
        <v>322</v>
      </c>
      <c r="N2" s="202"/>
      <c r="O2" s="201" t="s">
        <v>37</v>
      </c>
      <c r="P2" s="201" t="s">
        <v>323</v>
      </c>
      <c r="Q2" s="201" t="s">
        <v>323</v>
      </c>
      <c r="R2" s="201"/>
      <c r="S2" s="201"/>
      <c r="T2" s="201"/>
      <c r="U2" s="203" t="s">
        <v>37</v>
      </c>
      <c r="V2" s="201" t="s">
        <v>324</v>
      </c>
      <c r="W2" s="201" t="s">
        <v>325</v>
      </c>
      <c r="X2" s="201" t="s">
        <v>326</v>
      </c>
      <c r="Y2" s="201" t="s">
        <v>169</v>
      </c>
      <c r="Z2" s="201" t="s">
        <v>325</v>
      </c>
      <c r="AA2" s="201" t="s">
        <v>326</v>
      </c>
      <c r="AB2" s="201" t="s">
        <v>169</v>
      </c>
      <c r="AC2" s="203" t="s">
        <v>301</v>
      </c>
      <c r="AD2" s="202" t="s">
        <v>327</v>
      </c>
      <c r="AE2" s="202"/>
      <c r="AF2" s="202"/>
      <c r="AG2" s="202"/>
      <c r="AH2" s="204" t="s">
        <v>328</v>
      </c>
      <c r="AI2" s="204"/>
      <c r="AJ2" s="204"/>
      <c r="AK2" s="204"/>
      <c r="AL2" s="205" t="n">
        <v>36525</v>
      </c>
      <c r="AM2" s="201" t="s">
        <v>329</v>
      </c>
      <c r="AN2" s="201" t="s">
        <v>330</v>
      </c>
      <c r="AO2" s="201" t="s">
        <v>331</v>
      </c>
      <c r="AP2" s="201" t="s">
        <v>332</v>
      </c>
      <c r="AQ2" s="201" t="s">
        <v>333</v>
      </c>
      <c r="AR2" s="202" t="s">
        <v>334</v>
      </c>
      <c r="AS2" s="201" t="s">
        <v>37</v>
      </c>
      <c r="AT2" s="202" t="s">
        <v>335</v>
      </c>
      <c r="AU2" s="202"/>
      <c r="AV2" s="202"/>
      <c r="AW2" s="202"/>
      <c r="AX2" s="202" t="s">
        <v>330</v>
      </c>
      <c r="AY2" s="202"/>
      <c r="AZ2" s="202"/>
      <c r="BA2" s="202"/>
      <c r="BB2" s="201" t="s">
        <v>333</v>
      </c>
      <c r="BC2" s="201" t="s">
        <v>333</v>
      </c>
      <c r="BD2" s="202" t="s">
        <v>335</v>
      </c>
      <c r="BE2" s="202"/>
      <c r="BF2" s="202"/>
      <c r="BG2" s="202"/>
      <c r="BH2" s="202" t="s">
        <v>330</v>
      </c>
      <c r="BI2" s="202"/>
      <c r="BJ2" s="202"/>
      <c r="BK2" s="202"/>
      <c r="BL2" s="201" t="s">
        <v>332</v>
      </c>
      <c r="BM2" s="201" t="s">
        <v>336</v>
      </c>
      <c r="BN2" s="201" t="s">
        <v>337</v>
      </c>
      <c r="BO2" s="201" t="s">
        <v>338</v>
      </c>
      <c r="BP2" s="206" t="s">
        <v>300</v>
      </c>
      <c r="BQ2" s="201" t="s">
        <v>339</v>
      </c>
      <c r="BR2" s="200" t="s">
        <v>33</v>
      </c>
      <c r="BS2" s="201" t="s">
        <v>340</v>
      </c>
      <c r="BT2" s="201" t="s">
        <v>318</v>
      </c>
      <c r="BU2" s="207" t="s">
        <v>341</v>
      </c>
      <c r="BV2" s="206" t="s">
        <v>342</v>
      </c>
      <c r="BW2" s="201" t="s">
        <v>333</v>
      </c>
      <c r="BX2" s="201" t="s">
        <v>333</v>
      </c>
      <c r="BY2" s="201" t="s">
        <v>327</v>
      </c>
      <c r="BZ2" s="201" t="s">
        <v>335</v>
      </c>
      <c r="CA2" s="201" t="s">
        <v>328</v>
      </c>
      <c r="CB2" s="201" t="s">
        <v>330</v>
      </c>
      <c r="CC2" s="201" t="s">
        <v>327</v>
      </c>
      <c r="CD2" s="201" t="s">
        <v>335</v>
      </c>
      <c r="CE2" s="201" t="s">
        <v>328</v>
      </c>
      <c r="CF2" s="201" t="s">
        <v>330</v>
      </c>
      <c r="CG2" s="202" t="s">
        <v>343</v>
      </c>
      <c r="CH2" s="202"/>
      <c r="CI2" s="202"/>
      <c r="CJ2" s="202"/>
      <c r="CK2" s="200" t="s">
        <v>344</v>
      </c>
      <c r="CL2" s="200" t="s">
        <v>317</v>
      </c>
    </row>
    <row r="3" customFormat="false" ht="15.75" hidden="false" customHeight="false" outlineLevel="0" collapsed="false">
      <c r="A3" s="208" t="s">
        <v>345</v>
      </c>
      <c r="B3" s="208" t="s">
        <v>346</v>
      </c>
      <c r="C3" s="208" t="s">
        <v>347</v>
      </c>
      <c r="D3" s="208" t="s">
        <v>348</v>
      </c>
      <c r="E3" s="208" t="s">
        <v>325</v>
      </c>
      <c r="F3" s="208" t="s">
        <v>30</v>
      </c>
      <c r="G3" s="208" t="s">
        <v>322</v>
      </c>
      <c r="H3" s="208" t="s">
        <v>349</v>
      </c>
      <c r="I3" s="209" t="s">
        <v>340</v>
      </c>
      <c r="J3" s="210" t="s">
        <v>350</v>
      </c>
      <c r="K3" s="210" t="s">
        <v>350</v>
      </c>
      <c r="L3" s="211" t="s">
        <v>331</v>
      </c>
      <c r="M3" s="210" t="s">
        <v>351</v>
      </c>
      <c r="N3" s="210" t="s">
        <v>334</v>
      </c>
      <c r="O3" s="211" t="s">
        <v>352</v>
      </c>
      <c r="P3" s="211" t="s">
        <v>352</v>
      </c>
      <c r="Q3" s="211" t="s">
        <v>352</v>
      </c>
      <c r="R3" s="212" t="s">
        <v>353</v>
      </c>
      <c r="S3" s="212" t="s">
        <v>353</v>
      </c>
      <c r="T3" s="212" t="s">
        <v>353</v>
      </c>
      <c r="U3" s="213" t="n">
        <v>36962</v>
      </c>
      <c r="V3" s="212" t="s">
        <v>354</v>
      </c>
      <c r="W3" s="212" t="s">
        <v>6</v>
      </c>
      <c r="X3" s="212" t="s">
        <v>6</v>
      </c>
      <c r="Y3" s="212" t="s">
        <v>6</v>
      </c>
      <c r="Z3" s="212" t="s">
        <v>355</v>
      </c>
      <c r="AA3" s="212" t="s">
        <v>355</v>
      </c>
      <c r="AB3" s="212" t="s">
        <v>355</v>
      </c>
      <c r="AC3" s="213" t="s">
        <v>37</v>
      </c>
      <c r="AD3" s="214" t="s">
        <v>356</v>
      </c>
      <c r="AE3" s="214" t="s">
        <v>357</v>
      </c>
      <c r="AF3" s="214" t="s">
        <v>358</v>
      </c>
      <c r="AG3" s="214" t="s">
        <v>359</v>
      </c>
      <c r="AH3" s="215" t="s">
        <v>356</v>
      </c>
      <c r="AI3" s="214" t="s">
        <v>357</v>
      </c>
      <c r="AJ3" s="214" t="s">
        <v>358</v>
      </c>
      <c r="AK3" s="216" t="s">
        <v>359</v>
      </c>
      <c r="AL3" s="214" t="s">
        <v>360</v>
      </c>
      <c r="AM3" s="212" t="s">
        <v>361</v>
      </c>
      <c r="AN3" s="212" t="s">
        <v>362</v>
      </c>
      <c r="AO3" s="212" t="s">
        <v>363</v>
      </c>
      <c r="AP3" s="212" t="s">
        <v>361</v>
      </c>
      <c r="AQ3" s="212" t="s">
        <v>364</v>
      </c>
      <c r="AR3" s="217" t="s">
        <v>363</v>
      </c>
      <c r="AS3" s="211" t="s">
        <v>365</v>
      </c>
      <c r="AT3" s="214" t="s">
        <v>356</v>
      </c>
      <c r="AU3" s="214" t="s">
        <v>357</v>
      </c>
      <c r="AV3" s="214" t="s">
        <v>358</v>
      </c>
      <c r="AW3" s="214" t="s">
        <v>359</v>
      </c>
      <c r="AX3" s="214" t="s">
        <v>356</v>
      </c>
      <c r="AY3" s="214" t="s">
        <v>357</v>
      </c>
      <c r="AZ3" s="214" t="s">
        <v>358</v>
      </c>
      <c r="BA3" s="214" t="s">
        <v>359</v>
      </c>
      <c r="BB3" s="211" t="s">
        <v>352</v>
      </c>
      <c r="BC3" s="211" t="s">
        <v>352</v>
      </c>
      <c r="BD3" s="214" t="s">
        <v>356</v>
      </c>
      <c r="BE3" s="214" t="s">
        <v>357</v>
      </c>
      <c r="BF3" s="214" t="s">
        <v>358</v>
      </c>
      <c r="BG3" s="214" t="s">
        <v>359</v>
      </c>
      <c r="BH3" s="214" t="s">
        <v>356</v>
      </c>
      <c r="BI3" s="214" t="s">
        <v>357</v>
      </c>
      <c r="BJ3" s="214" t="s">
        <v>358</v>
      </c>
      <c r="BK3" s="214" t="s">
        <v>359</v>
      </c>
      <c r="BL3" s="212" t="s">
        <v>361</v>
      </c>
      <c r="BM3" s="212" t="s">
        <v>366</v>
      </c>
      <c r="BN3" s="212" t="s">
        <v>367</v>
      </c>
      <c r="BO3" s="212" t="s">
        <v>368</v>
      </c>
      <c r="BP3" s="214" t="s">
        <v>358</v>
      </c>
      <c r="BQ3" s="211" t="s">
        <v>352</v>
      </c>
      <c r="BR3" s="210" t="s">
        <v>369</v>
      </c>
      <c r="BS3" s="211" t="s">
        <v>349</v>
      </c>
      <c r="BT3" s="211" t="s">
        <v>362</v>
      </c>
      <c r="BU3" s="218" t="s">
        <v>370</v>
      </c>
      <c r="BV3" s="214" t="s">
        <v>371</v>
      </c>
      <c r="BW3" s="211" t="s">
        <v>372</v>
      </c>
      <c r="BX3" s="211" t="s">
        <v>372</v>
      </c>
      <c r="BY3" s="211" t="s">
        <v>373</v>
      </c>
      <c r="BZ3" s="211" t="s">
        <v>373</v>
      </c>
      <c r="CA3" s="211" t="s">
        <v>373</v>
      </c>
      <c r="CB3" s="211" t="s">
        <v>373</v>
      </c>
      <c r="CC3" s="211" t="s">
        <v>374</v>
      </c>
      <c r="CD3" s="211" t="s">
        <v>374</v>
      </c>
      <c r="CE3" s="211" t="s">
        <v>374</v>
      </c>
      <c r="CF3" s="211" t="s">
        <v>374</v>
      </c>
      <c r="CG3" s="214" t="s">
        <v>356</v>
      </c>
      <c r="CH3" s="214" t="s">
        <v>357</v>
      </c>
      <c r="CI3" s="214" t="s">
        <v>358</v>
      </c>
      <c r="CJ3" s="214" t="s">
        <v>359</v>
      </c>
      <c r="CK3" s="210" t="s">
        <v>351</v>
      </c>
      <c r="CL3" s="210" t="s">
        <v>351</v>
      </c>
    </row>
    <row r="4" customFormat="false" ht="15.75" hidden="false" customHeight="false" outlineLevel="3" collapsed="false">
      <c r="A4" s="58" t="s">
        <v>375</v>
      </c>
      <c r="B4" s="58" t="s">
        <v>376</v>
      </c>
      <c r="C4" s="58" t="s">
        <v>377</v>
      </c>
      <c r="D4" s="58" t="s">
        <v>378</v>
      </c>
      <c r="E4" s="58" t="s">
        <v>379</v>
      </c>
      <c r="F4" s="58" t="s">
        <v>380</v>
      </c>
      <c r="G4" s="58" t="s">
        <v>381</v>
      </c>
      <c r="H4" s="58" t="s">
        <v>101</v>
      </c>
      <c r="I4" s="219" t="s">
        <v>382</v>
      </c>
      <c r="J4" s="220" t="n">
        <v>1</v>
      </c>
      <c r="K4" s="221" t="n">
        <v>1</v>
      </c>
      <c r="L4" s="222" t="n">
        <v>0</v>
      </c>
      <c r="M4" s="223" t="n">
        <v>0</v>
      </c>
      <c r="N4" s="223" t="n">
        <v>1</v>
      </c>
      <c r="O4" s="222" t="n">
        <v>5540833.95</v>
      </c>
      <c r="P4" s="224" t="n">
        <v>5540833.95</v>
      </c>
      <c r="Q4" s="225" t="n">
        <v>0</v>
      </c>
      <c r="R4" s="225" t="s">
        <v>383</v>
      </c>
      <c r="S4" s="226" t="n">
        <v>1</v>
      </c>
      <c r="T4" s="225" t="n">
        <v>0</v>
      </c>
      <c r="U4" s="227" t="n">
        <v>5540833.95</v>
      </c>
      <c r="V4" s="222" t="s">
        <v>384</v>
      </c>
      <c r="W4" s="222" t="n">
        <v>0</v>
      </c>
      <c r="X4" s="222" t="n">
        <v>0</v>
      </c>
      <c r="Y4" s="222" t="n">
        <v>0</v>
      </c>
      <c r="Z4" s="222" t="n">
        <v>0</v>
      </c>
      <c r="AA4" s="222" t="n">
        <v>0</v>
      </c>
      <c r="AB4" s="222" t="n">
        <v>0</v>
      </c>
      <c r="AC4" s="227" t="n">
        <v>5540833.95</v>
      </c>
      <c r="AD4" s="222" t="n">
        <v>0</v>
      </c>
      <c r="AE4" s="222" t="n">
        <v>0</v>
      </c>
      <c r="AF4" s="222" t="n">
        <v>0</v>
      </c>
      <c r="AG4" s="222" t="n">
        <v>0</v>
      </c>
      <c r="AH4" s="228" t="n">
        <v>0</v>
      </c>
      <c r="AI4" s="222" t="n">
        <v>0</v>
      </c>
      <c r="AJ4" s="222" t="n">
        <v>0</v>
      </c>
      <c r="AK4" s="229" t="n">
        <v>0</v>
      </c>
      <c r="AL4" s="230" t="n">
        <v>0</v>
      </c>
      <c r="AM4" s="222" t="n">
        <v>5407002.88</v>
      </c>
      <c r="AN4" s="223" t="n">
        <v>0</v>
      </c>
      <c r="AO4" s="230" t="n">
        <v>0</v>
      </c>
      <c r="AP4" s="222" t="n">
        <v>5407002.88</v>
      </c>
      <c r="AQ4" s="231" t="n">
        <v>1</v>
      </c>
      <c r="AR4" s="222" t="n">
        <v>5540833.95</v>
      </c>
      <c r="AS4" s="222" t="n">
        <v>5540833.95</v>
      </c>
      <c r="AT4" s="222" t="n">
        <v>0</v>
      </c>
      <c r="AU4" s="222" t="n">
        <v>0</v>
      </c>
      <c r="AV4" s="222" t="n">
        <v>0</v>
      </c>
      <c r="AW4" s="222" t="n">
        <v>0</v>
      </c>
      <c r="AX4" s="222" t="n">
        <v>0</v>
      </c>
      <c r="AY4" s="222" t="n">
        <v>0</v>
      </c>
      <c r="AZ4" s="222" t="n">
        <v>0</v>
      </c>
      <c r="BA4" s="222" t="n">
        <v>0</v>
      </c>
      <c r="BB4" s="222" t="s">
        <v>380</v>
      </c>
      <c r="BC4" s="222" t="s">
        <v>380</v>
      </c>
      <c r="BD4" s="222" t="n">
        <v>0</v>
      </c>
      <c r="BE4" s="222" t="n">
        <v>0</v>
      </c>
      <c r="BF4" s="222" t="n">
        <v>0</v>
      </c>
      <c r="BG4" s="222" t="n">
        <v>0</v>
      </c>
      <c r="BH4" s="222" t="n">
        <v>0</v>
      </c>
      <c r="BI4" s="222" t="n">
        <v>0</v>
      </c>
      <c r="BJ4" s="222" t="n">
        <v>0</v>
      </c>
      <c r="BK4" s="222" t="n">
        <v>0</v>
      </c>
      <c r="BL4" s="222" t="n">
        <v>5407002.88</v>
      </c>
      <c r="BM4" s="222" t="s">
        <v>385</v>
      </c>
      <c r="BN4" s="222" t="n">
        <v>0</v>
      </c>
      <c r="BO4" s="232" t="b">
        <f aca="false">FALSE()</f>
        <v>0</v>
      </c>
      <c r="BP4" s="232" t="n">
        <v>0</v>
      </c>
      <c r="BQ4" s="233" t="n">
        <v>0</v>
      </c>
      <c r="BR4" s="223" t="n">
        <v>0</v>
      </c>
      <c r="BS4" s="234" t="n">
        <v>77</v>
      </c>
      <c r="BT4" s="223" t="n">
        <v>0</v>
      </c>
      <c r="BU4" s="235" t="n">
        <v>0</v>
      </c>
      <c r="BV4" s="223" t="n">
        <v>95</v>
      </c>
      <c r="BW4" s="236" t="n">
        <v>0</v>
      </c>
      <c r="BX4" s="236" t="n">
        <v>0</v>
      </c>
      <c r="BY4" s="232" t="n">
        <v>0</v>
      </c>
      <c r="BZ4" s="232" t="n">
        <v>0</v>
      </c>
      <c r="CA4" s="232" t="n">
        <v>133831.07</v>
      </c>
      <c r="CB4" s="232" t="n">
        <v>133831.07</v>
      </c>
      <c r="CC4" s="232" t="n">
        <v>0</v>
      </c>
      <c r="CD4" s="232" t="n">
        <v>0</v>
      </c>
      <c r="CE4" s="232" t="n">
        <v>0</v>
      </c>
      <c r="CF4" s="232" t="n">
        <v>0</v>
      </c>
      <c r="CG4" s="232" t="n">
        <v>0</v>
      </c>
      <c r="CH4" s="232" t="n">
        <v>0</v>
      </c>
      <c r="CI4" s="232" t="n">
        <v>0</v>
      </c>
      <c r="CJ4" s="232" t="n">
        <v>0</v>
      </c>
      <c r="CK4" s="223" t="n">
        <v>0</v>
      </c>
      <c r="CL4" s="223" t="n">
        <v>0</v>
      </c>
    </row>
    <row r="5" customFormat="false" ht="20.1" hidden="false" customHeight="true" outlineLevel="2" collapsed="false">
      <c r="A5" s="237" t="s">
        <v>386</v>
      </c>
      <c r="B5" s="238"/>
      <c r="C5" s="238"/>
      <c r="D5" s="238"/>
      <c r="E5" s="238"/>
      <c r="F5" s="238"/>
      <c r="G5" s="238"/>
      <c r="H5" s="238"/>
      <c r="I5" s="239"/>
      <c r="J5" s="240"/>
      <c r="K5" s="241"/>
      <c r="L5" s="242"/>
      <c r="M5" s="243"/>
      <c r="N5" s="243"/>
      <c r="O5" s="242"/>
      <c r="P5" s="244"/>
      <c r="Q5" s="245"/>
      <c r="R5" s="245" t="n">
        <v>0</v>
      </c>
      <c r="S5" s="246" t="n">
        <v>1</v>
      </c>
      <c r="T5" s="245" t="n">
        <v>0</v>
      </c>
      <c r="U5" s="247" t="n">
        <v>5540833.95</v>
      </c>
      <c r="V5" s="242"/>
      <c r="W5" s="242" t="n">
        <v>0</v>
      </c>
      <c r="X5" s="242" t="n">
        <v>0</v>
      </c>
      <c r="Y5" s="242" t="n">
        <v>0</v>
      </c>
      <c r="Z5" s="242" t="n">
        <v>0</v>
      </c>
      <c r="AA5" s="242" t="n">
        <v>0</v>
      </c>
      <c r="AB5" s="242" t="n">
        <v>0</v>
      </c>
      <c r="AC5" s="247" t="n">
        <v>5540833.95</v>
      </c>
      <c r="AD5" s="242" t="n">
        <v>0</v>
      </c>
      <c r="AE5" s="242" t="n">
        <v>0</v>
      </c>
      <c r="AF5" s="242" t="n">
        <v>0</v>
      </c>
      <c r="AG5" s="242" t="n">
        <v>0</v>
      </c>
      <c r="AH5" s="248" t="n">
        <v>0</v>
      </c>
      <c r="AI5" s="242" t="n">
        <v>0</v>
      </c>
      <c r="AJ5" s="242" t="n">
        <v>0</v>
      </c>
      <c r="AK5" s="249" t="n">
        <v>0</v>
      </c>
      <c r="AL5" s="250"/>
      <c r="AM5" s="242" t="n">
        <v>5407002.88</v>
      </c>
      <c r="AN5" s="243"/>
      <c r="AO5" s="250"/>
      <c r="AP5" s="242" t="n">
        <v>5407002.88</v>
      </c>
      <c r="AQ5" s="251"/>
      <c r="AR5" s="242"/>
      <c r="AS5" s="242"/>
      <c r="AT5" s="242" t="n">
        <v>0</v>
      </c>
      <c r="AU5" s="242" t="n">
        <v>0</v>
      </c>
      <c r="AV5" s="242" t="n">
        <v>0</v>
      </c>
      <c r="AW5" s="242" t="n">
        <v>0</v>
      </c>
      <c r="AX5" s="242" t="n">
        <v>0</v>
      </c>
      <c r="AY5" s="242" t="n">
        <v>0</v>
      </c>
      <c r="AZ5" s="242" t="n">
        <v>0</v>
      </c>
      <c r="BA5" s="242" t="n">
        <v>0</v>
      </c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52"/>
      <c r="BR5" s="243"/>
      <c r="BS5" s="253"/>
      <c r="BT5" s="243"/>
      <c r="BU5" s="254"/>
      <c r="BV5" s="243"/>
      <c r="BW5" s="255"/>
      <c r="BX5" s="255"/>
      <c r="BY5" s="242"/>
      <c r="BZ5" s="242"/>
      <c r="CA5" s="242" t="n">
        <v>133831.07</v>
      </c>
      <c r="CB5" s="242"/>
      <c r="CC5" s="242"/>
      <c r="CD5" s="242"/>
      <c r="CE5" s="242"/>
      <c r="CF5" s="242"/>
      <c r="CG5" s="242"/>
      <c r="CH5" s="242"/>
      <c r="CI5" s="242"/>
      <c r="CJ5" s="242"/>
      <c r="CK5" s="243"/>
      <c r="CL5" s="243"/>
    </row>
    <row r="6" customFormat="false" ht="30" hidden="false" customHeight="true" outlineLevel="1" collapsed="false">
      <c r="A6" s="238"/>
      <c r="B6" s="237" t="s">
        <v>387</v>
      </c>
      <c r="C6" s="238"/>
      <c r="D6" s="238"/>
      <c r="E6" s="238"/>
      <c r="F6" s="238"/>
      <c r="G6" s="238"/>
      <c r="H6" s="238"/>
      <c r="I6" s="239"/>
      <c r="J6" s="256"/>
      <c r="K6" s="256"/>
      <c r="L6" s="257"/>
      <c r="M6" s="258"/>
      <c r="N6" s="258"/>
      <c r="O6" s="257"/>
      <c r="P6" s="259"/>
      <c r="Q6" s="260"/>
      <c r="R6" s="260" t="n">
        <v>0</v>
      </c>
      <c r="S6" s="261" t="n">
        <v>1</v>
      </c>
      <c r="T6" s="260" t="n">
        <v>0</v>
      </c>
      <c r="U6" s="262" t="n">
        <v>5540833.95</v>
      </c>
      <c r="V6" s="257"/>
      <c r="W6" s="257" t="n">
        <v>0</v>
      </c>
      <c r="X6" s="257" t="n">
        <v>0</v>
      </c>
      <c r="Y6" s="257" t="n">
        <v>0</v>
      </c>
      <c r="Z6" s="257" t="n">
        <v>0</v>
      </c>
      <c r="AA6" s="257" t="n">
        <v>0</v>
      </c>
      <c r="AB6" s="257" t="n">
        <v>0</v>
      </c>
      <c r="AC6" s="262" t="n">
        <v>5540833.95</v>
      </c>
      <c r="AD6" s="257" t="n">
        <v>0</v>
      </c>
      <c r="AE6" s="257" t="n">
        <v>0</v>
      </c>
      <c r="AF6" s="257" t="n">
        <v>0</v>
      </c>
      <c r="AG6" s="257" t="n">
        <v>0</v>
      </c>
      <c r="AH6" s="263" t="n">
        <v>0</v>
      </c>
      <c r="AI6" s="257" t="n">
        <v>0</v>
      </c>
      <c r="AJ6" s="257" t="n">
        <v>0</v>
      </c>
      <c r="AK6" s="264" t="n">
        <v>0</v>
      </c>
      <c r="AL6" s="265"/>
      <c r="AM6" s="257" t="n">
        <v>5407002.88</v>
      </c>
      <c r="AN6" s="258"/>
      <c r="AO6" s="265"/>
      <c r="AP6" s="257" t="n">
        <v>5407002.88</v>
      </c>
      <c r="AQ6" s="266"/>
      <c r="AR6" s="257"/>
      <c r="AS6" s="257"/>
      <c r="AT6" s="257" t="n">
        <v>0</v>
      </c>
      <c r="AU6" s="257" t="n">
        <v>0</v>
      </c>
      <c r="AV6" s="257" t="n">
        <v>0</v>
      </c>
      <c r="AW6" s="257" t="n">
        <v>0</v>
      </c>
      <c r="AX6" s="257" t="n">
        <v>0</v>
      </c>
      <c r="AY6" s="257" t="n">
        <v>0</v>
      </c>
      <c r="AZ6" s="257" t="n">
        <v>0</v>
      </c>
      <c r="BA6" s="257" t="n">
        <v>0</v>
      </c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67"/>
      <c r="BR6" s="258"/>
      <c r="BS6" s="268"/>
      <c r="BT6" s="258"/>
      <c r="BU6" s="269"/>
      <c r="BV6" s="258"/>
      <c r="BW6" s="270"/>
      <c r="BX6" s="270"/>
      <c r="BY6" s="257"/>
      <c r="BZ6" s="257"/>
      <c r="CA6" s="257" t="n">
        <v>133831.07</v>
      </c>
      <c r="CB6" s="257"/>
      <c r="CC6" s="257"/>
      <c r="CD6" s="257"/>
      <c r="CE6" s="257"/>
      <c r="CF6" s="257"/>
      <c r="CG6" s="257"/>
      <c r="CH6" s="257"/>
      <c r="CI6" s="257"/>
      <c r="CJ6" s="257"/>
      <c r="CK6" s="258"/>
      <c r="CL6" s="258"/>
    </row>
    <row r="7" customFormat="false" ht="15.75" hidden="false" customHeight="false" outlineLevel="3" collapsed="false">
      <c r="A7" s="58" t="s">
        <v>388</v>
      </c>
      <c r="B7" s="58" t="s">
        <v>389</v>
      </c>
      <c r="C7" s="58" t="s">
        <v>390</v>
      </c>
      <c r="D7" s="58" t="s">
        <v>391</v>
      </c>
      <c r="E7" s="58" t="s">
        <v>392</v>
      </c>
      <c r="F7" s="58" t="s">
        <v>393</v>
      </c>
      <c r="G7" s="58" t="s">
        <v>394</v>
      </c>
      <c r="H7" s="58" t="s">
        <v>99</v>
      </c>
      <c r="I7" s="219" t="s">
        <v>382</v>
      </c>
      <c r="J7" s="221" t="n">
        <v>1092426</v>
      </c>
      <c r="K7" s="221" t="n">
        <v>1092426</v>
      </c>
      <c r="L7" s="223" t="n">
        <v>0</v>
      </c>
      <c r="M7" s="223" t="n">
        <v>0</v>
      </c>
      <c r="N7" s="223" t="n">
        <v>1</v>
      </c>
      <c r="O7" s="222" t="n">
        <v>10.3125</v>
      </c>
      <c r="P7" s="224" t="n">
        <v>13.9375</v>
      </c>
      <c r="Q7" s="224" t="n">
        <v>-3.625</v>
      </c>
      <c r="R7" s="225" t="n">
        <v>0</v>
      </c>
      <c r="S7" s="226" t="n">
        <v>1</v>
      </c>
      <c r="T7" s="225" t="n">
        <v>0</v>
      </c>
      <c r="U7" s="227" t="n">
        <v>11265643.125</v>
      </c>
      <c r="V7" s="222" t="s">
        <v>384</v>
      </c>
      <c r="W7" s="222" t="n">
        <v>0</v>
      </c>
      <c r="X7" s="222" t="n">
        <v>0</v>
      </c>
      <c r="Y7" s="222" t="n">
        <v>0</v>
      </c>
      <c r="Z7" s="222" t="n">
        <v>0</v>
      </c>
      <c r="AA7" s="222" t="n">
        <v>0</v>
      </c>
      <c r="AB7" s="222" t="n">
        <v>0</v>
      </c>
      <c r="AC7" s="227" t="n">
        <v>15225687.375</v>
      </c>
      <c r="AD7" s="222" t="n">
        <v>-3960044.25</v>
      </c>
      <c r="AE7" s="222" t="n">
        <v>0</v>
      </c>
      <c r="AF7" s="222" t="n">
        <v>3960044.25</v>
      </c>
      <c r="AG7" s="222" t="n">
        <v>0</v>
      </c>
      <c r="AH7" s="228" t="n">
        <v>-15629533.1416667</v>
      </c>
      <c r="AI7" s="222" t="n">
        <v>0</v>
      </c>
      <c r="AJ7" s="222" t="n">
        <v>15629533.1416667</v>
      </c>
      <c r="AK7" s="229" t="n">
        <v>0</v>
      </c>
      <c r="AL7" s="230" t="n">
        <v>0</v>
      </c>
      <c r="AM7" s="222" t="n">
        <v>26925615.25</v>
      </c>
      <c r="AN7" s="223" t="n">
        <v>0</v>
      </c>
      <c r="AO7" s="230" t="n">
        <v>0</v>
      </c>
      <c r="AP7" s="222" t="n">
        <v>104012148.25</v>
      </c>
      <c r="AQ7" s="231" t="n">
        <v>1</v>
      </c>
      <c r="AR7" s="222" t="n">
        <v>11265643.125</v>
      </c>
      <c r="AS7" s="222" t="n">
        <v>10.3125</v>
      </c>
      <c r="AT7" s="222" t="n">
        <v>-5189023.5</v>
      </c>
      <c r="AU7" s="222" t="n">
        <v>0</v>
      </c>
      <c r="AV7" s="222" t="n">
        <v>5189023.5</v>
      </c>
      <c r="AW7" s="222" t="n">
        <v>0</v>
      </c>
      <c r="AX7" s="222" t="n">
        <v>-15629533.1416667</v>
      </c>
      <c r="AY7" s="222" t="n">
        <v>0</v>
      </c>
      <c r="AZ7" s="222" t="n">
        <v>15629533.1416667</v>
      </c>
      <c r="BA7" s="222" t="n">
        <v>0</v>
      </c>
      <c r="BB7" s="222" t="n">
        <v>10.3125</v>
      </c>
      <c r="BC7" s="222" t="n">
        <v>13.9375</v>
      </c>
      <c r="BD7" s="222" t="n">
        <v>-1228979.25</v>
      </c>
      <c r="BE7" s="222" t="n">
        <v>0</v>
      </c>
      <c r="BF7" s="222" t="n">
        <v>1228979.25</v>
      </c>
      <c r="BG7" s="222" t="n">
        <v>0</v>
      </c>
      <c r="BH7" s="222" t="n">
        <v>-11669488.8916667</v>
      </c>
      <c r="BI7" s="222" t="n">
        <v>0</v>
      </c>
      <c r="BJ7" s="222" t="n">
        <v>11669488.8916667</v>
      </c>
      <c r="BK7" s="222" t="n">
        <v>0</v>
      </c>
      <c r="BL7" s="222" t="n">
        <v>104012148.25</v>
      </c>
      <c r="BM7" s="222" t="s">
        <v>395</v>
      </c>
      <c r="BN7" s="222" t="n">
        <v>0</v>
      </c>
      <c r="BO7" s="232" t="b">
        <f aca="false">FALSE()</f>
        <v>0</v>
      </c>
      <c r="BP7" s="232" t="n">
        <v>11669488.8916667</v>
      </c>
      <c r="BQ7" s="224" t="n">
        <v>3</v>
      </c>
      <c r="BR7" s="223" t="n">
        <v>3277278</v>
      </c>
      <c r="BS7" s="234" t="n">
        <v>58</v>
      </c>
      <c r="BT7" s="223" t="n">
        <v>-3960044.25</v>
      </c>
      <c r="BU7" s="235" t="n">
        <v>0</v>
      </c>
      <c r="BV7" s="223" t="n">
        <v>47</v>
      </c>
      <c r="BW7" s="236" t="n">
        <v>10.3125</v>
      </c>
      <c r="BX7" s="236" t="n">
        <v>0</v>
      </c>
      <c r="BY7" s="232" t="n">
        <v>0</v>
      </c>
      <c r="BZ7" s="232" t="n">
        <v>0</v>
      </c>
      <c r="CA7" s="232" t="n">
        <v>-30438.9833333333</v>
      </c>
      <c r="CB7" s="232" t="n">
        <v>-30438.9833333333</v>
      </c>
      <c r="CC7" s="232" t="n">
        <v>0</v>
      </c>
      <c r="CD7" s="232" t="n">
        <v>0</v>
      </c>
      <c r="CE7" s="232" t="n">
        <v>0</v>
      </c>
      <c r="CF7" s="232" t="n">
        <v>0</v>
      </c>
      <c r="CG7" s="232" t="n">
        <v>-11669488.8916667</v>
      </c>
      <c r="CH7" s="232" t="n">
        <v>0</v>
      </c>
      <c r="CI7" s="232" t="n">
        <v>11669488.8916667</v>
      </c>
      <c r="CJ7" s="232" t="n">
        <v>0</v>
      </c>
      <c r="CK7" s="223" t="n">
        <v>0</v>
      </c>
      <c r="CL7" s="223" t="n">
        <v>0</v>
      </c>
    </row>
    <row r="8" customFormat="false" ht="20.1" hidden="false" customHeight="true" outlineLevel="2" collapsed="false">
      <c r="A8" s="238" t="s">
        <v>396</v>
      </c>
      <c r="B8" s="238"/>
      <c r="C8" s="238"/>
      <c r="D8" s="238"/>
      <c r="E8" s="238"/>
      <c r="F8" s="238"/>
      <c r="G8" s="238"/>
      <c r="H8" s="238"/>
      <c r="I8" s="239"/>
      <c r="J8" s="241"/>
      <c r="K8" s="241"/>
      <c r="L8" s="243"/>
      <c r="M8" s="243"/>
      <c r="N8" s="243"/>
      <c r="O8" s="242"/>
      <c r="P8" s="244"/>
      <c r="Q8" s="244"/>
      <c r="R8" s="245" t="n">
        <v>0</v>
      </c>
      <c r="S8" s="246" t="n">
        <v>1</v>
      </c>
      <c r="T8" s="245" t="n">
        <v>0</v>
      </c>
      <c r="U8" s="247" t="n">
        <v>11265643.125</v>
      </c>
      <c r="V8" s="242"/>
      <c r="W8" s="242" t="n">
        <v>0</v>
      </c>
      <c r="X8" s="242" t="n">
        <v>0</v>
      </c>
      <c r="Y8" s="242" t="n">
        <v>0</v>
      </c>
      <c r="Z8" s="242" t="n">
        <v>0</v>
      </c>
      <c r="AA8" s="242" t="n">
        <v>0</v>
      </c>
      <c r="AB8" s="242" t="n">
        <v>0</v>
      </c>
      <c r="AC8" s="247" t="n">
        <v>15225687.375</v>
      </c>
      <c r="AD8" s="242" t="n">
        <v>-3960044.25</v>
      </c>
      <c r="AE8" s="242" t="n">
        <v>0</v>
      </c>
      <c r="AF8" s="242" t="n">
        <v>3960044.25</v>
      </c>
      <c r="AG8" s="242" t="n">
        <v>0</v>
      </c>
      <c r="AH8" s="248" t="n">
        <v>-15629533.1416667</v>
      </c>
      <c r="AI8" s="242" t="n">
        <v>0</v>
      </c>
      <c r="AJ8" s="242" t="n">
        <v>15629533.1416667</v>
      </c>
      <c r="AK8" s="249" t="n">
        <v>0</v>
      </c>
      <c r="AL8" s="250"/>
      <c r="AM8" s="242" t="n">
        <v>26925615.25</v>
      </c>
      <c r="AN8" s="243"/>
      <c r="AO8" s="250"/>
      <c r="AP8" s="242" t="n">
        <v>104012148.25</v>
      </c>
      <c r="AQ8" s="251"/>
      <c r="AR8" s="242"/>
      <c r="AS8" s="242"/>
      <c r="AT8" s="242" t="n">
        <v>-5189023.5</v>
      </c>
      <c r="AU8" s="242" t="n">
        <v>0</v>
      </c>
      <c r="AV8" s="242" t="n">
        <v>5189023.5</v>
      </c>
      <c r="AW8" s="242" t="n">
        <v>0</v>
      </c>
      <c r="AX8" s="242" t="n">
        <v>-15629533.1416667</v>
      </c>
      <c r="AY8" s="242" t="n">
        <v>0</v>
      </c>
      <c r="AZ8" s="242" t="n">
        <v>15629533.1416667</v>
      </c>
      <c r="BA8" s="242" t="n">
        <v>0</v>
      </c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4"/>
      <c r="BR8" s="243"/>
      <c r="BS8" s="253"/>
      <c r="BT8" s="243"/>
      <c r="BU8" s="254"/>
      <c r="BV8" s="243"/>
      <c r="BW8" s="255"/>
      <c r="BX8" s="255"/>
      <c r="BY8" s="242"/>
      <c r="BZ8" s="242"/>
      <c r="CA8" s="242" t="n">
        <v>-30438.9833333333</v>
      </c>
      <c r="CB8" s="242"/>
      <c r="CC8" s="242"/>
      <c r="CD8" s="242"/>
      <c r="CE8" s="242"/>
      <c r="CF8" s="242"/>
      <c r="CG8" s="242"/>
      <c r="CH8" s="242"/>
      <c r="CI8" s="242"/>
      <c r="CJ8" s="242"/>
      <c r="CK8" s="243"/>
      <c r="CL8" s="243"/>
    </row>
    <row r="9" customFormat="false" ht="30" hidden="false" customHeight="true" outlineLevel="1" collapsed="false">
      <c r="A9" s="238"/>
      <c r="B9" s="238" t="s">
        <v>397</v>
      </c>
      <c r="C9" s="238"/>
      <c r="D9" s="238"/>
      <c r="E9" s="238"/>
      <c r="F9" s="238"/>
      <c r="G9" s="238"/>
      <c r="H9" s="238"/>
      <c r="I9" s="239"/>
      <c r="J9" s="256"/>
      <c r="K9" s="256"/>
      <c r="L9" s="258"/>
      <c r="M9" s="258"/>
      <c r="N9" s="258"/>
      <c r="O9" s="257"/>
      <c r="P9" s="259"/>
      <c r="Q9" s="259"/>
      <c r="R9" s="260" t="n">
        <v>0</v>
      </c>
      <c r="S9" s="261" t="n">
        <v>1</v>
      </c>
      <c r="T9" s="260" t="n">
        <v>0</v>
      </c>
      <c r="U9" s="262" t="n">
        <v>11265643.125</v>
      </c>
      <c r="V9" s="257"/>
      <c r="W9" s="257" t="n">
        <v>0</v>
      </c>
      <c r="X9" s="257" t="n">
        <v>0</v>
      </c>
      <c r="Y9" s="257" t="n">
        <v>0</v>
      </c>
      <c r="Z9" s="257" t="n">
        <v>0</v>
      </c>
      <c r="AA9" s="257" t="n">
        <v>0</v>
      </c>
      <c r="AB9" s="257" t="n">
        <v>0</v>
      </c>
      <c r="AC9" s="262" t="n">
        <v>15225687.375</v>
      </c>
      <c r="AD9" s="257" t="n">
        <v>-3960044.25</v>
      </c>
      <c r="AE9" s="257" t="n">
        <v>0</v>
      </c>
      <c r="AF9" s="257" t="n">
        <v>3960044.25</v>
      </c>
      <c r="AG9" s="257" t="n">
        <v>0</v>
      </c>
      <c r="AH9" s="263" t="n">
        <v>-15629533.1416667</v>
      </c>
      <c r="AI9" s="257" t="n">
        <v>0</v>
      </c>
      <c r="AJ9" s="257" t="n">
        <v>15629533.1416667</v>
      </c>
      <c r="AK9" s="264" t="n">
        <v>0</v>
      </c>
      <c r="AL9" s="265"/>
      <c r="AM9" s="257" t="n">
        <v>26925615.25</v>
      </c>
      <c r="AN9" s="258"/>
      <c r="AO9" s="265"/>
      <c r="AP9" s="257" t="n">
        <v>104012148.25</v>
      </c>
      <c r="AQ9" s="266"/>
      <c r="AR9" s="257"/>
      <c r="AS9" s="257"/>
      <c r="AT9" s="257" t="n">
        <v>-5189023.5</v>
      </c>
      <c r="AU9" s="257" t="n">
        <v>0</v>
      </c>
      <c r="AV9" s="257" t="n">
        <v>5189023.5</v>
      </c>
      <c r="AW9" s="257" t="n">
        <v>0</v>
      </c>
      <c r="AX9" s="257" t="n">
        <v>-15629533.1416667</v>
      </c>
      <c r="AY9" s="257" t="n">
        <v>0</v>
      </c>
      <c r="AZ9" s="257" t="n">
        <v>15629533.1416667</v>
      </c>
      <c r="BA9" s="257" t="n">
        <v>0</v>
      </c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9"/>
      <c r="BR9" s="258"/>
      <c r="BS9" s="268"/>
      <c r="BT9" s="258"/>
      <c r="BU9" s="269"/>
      <c r="BV9" s="258"/>
      <c r="BW9" s="270"/>
      <c r="BX9" s="270"/>
      <c r="BY9" s="257"/>
      <c r="BZ9" s="257"/>
      <c r="CA9" s="257" t="n">
        <v>-30438.9833333333</v>
      </c>
      <c r="CB9" s="257"/>
      <c r="CC9" s="257"/>
      <c r="CD9" s="257"/>
      <c r="CE9" s="257"/>
      <c r="CF9" s="257"/>
      <c r="CG9" s="257"/>
      <c r="CH9" s="257"/>
      <c r="CI9" s="257"/>
      <c r="CJ9" s="257"/>
      <c r="CK9" s="258"/>
      <c r="CL9" s="258"/>
    </row>
    <row r="10" customFormat="false" ht="15.75" hidden="false" customHeight="false" outlineLevel="3" collapsed="false">
      <c r="A10" s="58" t="s">
        <v>398</v>
      </c>
      <c r="B10" s="58" t="s">
        <v>399</v>
      </c>
      <c r="C10" s="58" t="s">
        <v>400</v>
      </c>
      <c r="D10" s="58" t="s">
        <v>401</v>
      </c>
      <c r="E10" s="58" t="s">
        <v>402</v>
      </c>
      <c r="F10" s="58" t="s">
        <v>380</v>
      </c>
      <c r="G10" s="58" t="s">
        <v>403</v>
      </c>
      <c r="H10" s="58" t="s">
        <v>101</v>
      </c>
      <c r="I10" s="219" t="s">
        <v>404</v>
      </c>
      <c r="J10" s="221" t="n">
        <v>1</v>
      </c>
      <c r="K10" s="221" t="n">
        <v>1</v>
      </c>
      <c r="L10" s="223" t="n">
        <v>0</v>
      </c>
      <c r="M10" s="223" t="n">
        <v>0</v>
      </c>
      <c r="N10" s="223" t="n">
        <v>0</v>
      </c>
      <c r="O10" s="222" t="n">
        <v>4731610.54</v>
      </c>
      <c r="P10" s="223" t="n">
        <v>4731610.54</v>
      </c>
      <c r="Q10" s="223" t="n">
        <v>0</v>
      </c>
      <c r="R10" s="225" t="s">
        <v>405</v>
      </c>
      <c r="S10" s="226" t="n">
        <v>1</v>
      </c>
      <c r="T10" s="225" t="n">
        <v>0</v>
      </c>
      <c r="U10" s="227" t="n">
        <v>4731610.54</v>
      </c>
      <c r="V10" s="222" t="s">
        <v>384</v>
      </c>
      <c r="W10" s="222" t="n">
        <v>0</v>
      </c>
      <c r="X10" s="222" t="n">
        <v>0</v>
      </c>
      <c r="Y10" s="222" t="n">
        <v>0</v>
      </c>
      <c r="Z10" s="222" t="n">
        <v>0</v>
      </c>
      <c r="AA10" s="222" t="n">
        <v>0</v>
      </c>
      <c r="AB10" s="222" t="n">
        <v>0</v>
      </c>
      <c r="AC10" s="227" t="n">
        <v>4731610.54</v>
      </c>
      <c r="AD10" s="222" t="n">
        <v>0</v>
      </c>
      <c r="AE10" s="222" t="n">
        <v>0</v>
      </c>
      <c r="AF10" s="222" t="n">
        <v>0</v>
      </c>
      <c r="AG10" s="222" t="n">
        <v>0</v>
      </c>
      <c r="AH10" s="228" t="n">
        <v>0</v>
      </c>
      <c r="AI10" s="222" t="n">
        <v>0</v>
      </c>
      <c r="AJ10" s="222" t="n">
        <v>0</v>
      </c>
      <c r="AK10" s="229" t="n">
        <v>0</v>
      </c>
      <c r="AL10" s="230" t="n">
        <v>0</v>
      </c>
      <c r="AM10" s="222" t="n">
        <v>4663184</v>
      </c>
      <c r="AN10" s="223" t="n">
        <v>0</v>
      </c>
      <c r="AO10" s="230" t="n">
        <v>0</v>
      </c>
      <c r="AP10" s="222" t="n">
        <v>4663184</v>
      </c>
      <c r="AQ10" s="231" t="n">
        <v>1</v>
      </c>
      <c r="AR10" s="222" t="n">
        <v>0</v>
      </c>
      <c r="AS10" s="222" t="n">
        <v>4731610.54</v>
      </c>
      <c r="AT10" s="222" t="n">
        <v>0</v>
      </c>
      <c r="AU10" s="222" t="n">
        <v>0</v>
      </c>
      <c r="AV10" s="222" t="n">
        <v>0</v>
      </c>
      <c r="AW10" s="222" t="n">
        <v>0</v>
      </c>
      <c r="AX10" s="222" t="n">
        <v>0</v>
      </c>
      <c r="AY10" s="222" t="n">
        <v>0</v>
      </c>
      <c r="AZ10" s="222" t="n">
        <v>0</v>
      </c>
      <c r="BA10" s="222" t="n">
        <v>0</v>
      </c>
      <c r="BB10" s="222" t="s">
        <v>380</v>
      </c>
      <c r="BC10" s="222" t="s">
        <v>380</v>
      </c>
      <c r="BD10" s="222" t="n">
        <v>0</v>
      </c>
      <c r="BE10" s="222" t="n">
        <v>0</v>
      </c>
      <c r="BF10" s="222" t="n">
        <v>0</v>
      </c>
      <c r="BG10" s="222" t="n">
        <v>0</v>
      </c>
      <c r="BH10" s="222" t="n">
        <v>0</v>
      </c>
      <c r="BI10" s="222" t="n">
        <v>0</v>
      </c>
      <c r="BJ10" s="222" t="n">
        <v>0</v>
      </c>
      <c r="BK10" s="222" t="n">
        <v>0</v>
      </c>
      <c r="BL10" s="222" t="n">
        <v>4663184</v>
      </c>
      <c r="BM10" s="222" t="s">
        <v>385</v>
      </c>
      <c r="BN10" s="222" t="n">
        <v>0</v>
      </c>
      <c r="BO10" s="232" t="b">
        <f aca="false">FALSE()</f>
        <v>0</v>
      </c>
      <c r="BP10" s="232" t="n">
        <v>0</v>
      </c>
      <c r="BQ10" s="224" t="n">
        <v>0</v>
      </c>
      <c r="BR10" s="223" t="n">
        <v>0</v>
      </c>
      <c r="BS10" s="234" t="n">
        <v>79</v>
      </c>
      <c r="BT10" s="223" t="n">
        <v>0</v>
      </c>
      <c r="BU10" s="235" t="n">
        <v>0</v>
      </c>
      <c r="BV10" s="223" t="n">
        <v>116</v>
      </c>
      <c r="BW10" s="236" t="n">
        <v>0</v>
      </c>
      <c r="BX10" s="236" t="n">
        <v>0</v>
      </c>
      <c r="BY10" s="232" t="n">
        <v>0</v>
      </c>
      <c r="BZ10" s="232" t="n">
        <v>0</v>
      </c>
      <c r="CA10" s="232" t="n">
        <v>68426.54</v>
      </c>
      <c r="CB10" s="232" t="n">
        <v>68426.54</v>
      </c>
      <c r="CC10" s="232" t="n">
        <v>0</v>
      </c>
      <c r="CD10" s="232" t="n">
        <v>0</v>
      </c>
      <c r="CE10" s="232" t="n">
        <v>0</v>
      </c>
      <c r="CF10" s="232" t="n">
        <v>0</v>
      </c>
      <c r="CG10" s="232" t="n">
        <v>0</v>
      </c>
      <c r="CH10" s="232" t="n">
        <v>0</v>
      </c>
      <c r="CI10" s="232" t="n">
        <v>0</v>
      </c>
      <c r="CJ10" s="232" t="n">
        <v>0</v>
      </c>
      <c r="CK10" s="223" t="n">
        <v>0</v>
      </c>
      <c r="CL10" s="223" t="n">
        <v>0</v>
      </c>
    </row>
    <row r="11" customFormat="false" ht="15.75" hidden="false" customHeight="false" outlineLevel="3" collapsed="false">
      <c r="A11" s="58" t="s">
        <v>398</v>
      </c>
      <c r="B11" s="58" t="s">
        <v>399</v>
      </c>
      <c r="C11" s="58" t="s">
        <v>406</v>
      </c>
      <c r="D11" s="58" t="s">
        <v>407</v>
      </c>
      <c r="E11" s="58" t="s">
        <v>408</v>
      </c>
      <c r="F11" s="58" t="s">
        <v>380</v>
      </c>
      <c r="G11" s="58" t="s">
        <v>409</v>
      </c>
      <c r="H11" s="58" t="s">
        <v>101</v>
      </c>
      <c r="I11" s="219" t="s">
        <v>404</v>
      </c>
      <c r="J11" s="221" t="n">
        <v>1</v>
      </c>
      <c r="K11" s="221" t="n">
        <v>1</v>
      </c>
      <c r="L11" s="223" t="n">
        <v>0</v>
      </c>
      <c r="M11" s="223" t="n">
        <v>0</v>
      </c>
      <c r="N11" s="223" t="n">
        <v>0</v>
      </c>
      <c r="O11" s="222" t="n">
        <v>21605090</v>
      </c>
      <c r="P11" s="223" t="n">
        <v>21605090</v>
      </c>
      <c r="Q11" s="223" t="n">
        <v>0</v>
      </c>
      <c r="R11" s="225" t="s">
        <v>410</v>
      </c>
      <c r="S11" s="271" t="n">
        <v>1</v>
      </c>
      <c r="T11" s="225" t="n">
        <v>0</v>
      </c>
      <c r="U11" s="227" t="n">
        <v>21605090</v>
      </c>
      <c r="V11" s="222" t="s">
        <v>384</v>
      </c>
      <c r="W11" s="222" t="n">
        <v>0</v>
      </c>
      <c r="X11" s="222" t="n">
        <v>0</v>
      </c>
      <c r="Y11" s="222" t="n">
        <v>0</v>
      </c>
      <c r="Z11" s="222" t="n">
        <v>0</v>
      </c>
      <c r="AA11" s="222" t="n">
        <v>0</v>
      </c>
      <c r="AB11" s="222" t="n">
        <v>0</v>
      </c>
      <c r="AC11" s="227" t="n">
        <v>21605090</v>
      </c>
      <c r="AD11" s="222" t="n">
        <v>0</v>
      </c>
      <c r="AE11" s="222" t="n">
        <v>0</v>
      </c>
      <c r="AF11" s="222" t="n">
        <v>0</v>
      </c>
      <c r="AG11" s="222" t="n">
        <v>0</v>
      </c>
      <c r="AH11" s="228" t="n">
        <v>0</v>
      </c>
      <c r="AI11" s="222" t="n">
        <v>0</v>
      </c>
      <c r="AJ11" s="222" t="n">
        <v>0</v>
      </c>
      <c r="AK11" s="229" t="n">
        <v>0</v>
      </c>
      <c r="AL11" s="230" t="n">
        <v>0</v>
      </c>
      <c r="AM11" s="222" t="n">
        <v>21605090</v>
      </c>
      <c r="AN11" s="223" t="n">
        <v>0</v>
      </c>
      <c r="AO11" s="230" t="n">
        <v>0</v>
      </c>
      <c r="AP11" s="222" t="n">
        <v>21605090</v>
      </c>
      <c r="AQ11" s="231" t="n">
        <v>1</v>
      </c>
      <c r="AR11" s="222" t="n">
        <v>0</v>
      </c>
      <c r="AS11" s="222" t="n">
        <v>21605090</v>
      </c>
      <c r="AT11" s="222" t="n">
        <v>0</v>
      </c>
      <c r="AU11" s="222" t="n">
        <v>0</v>
      </c>
      <c r="AV11" s="222" t="n">
        <v>0</v>
      </c>
      <c r="AW11" s="222" t="n">
        <v>0</v>
      </c>
      <c r="AX11" s="222" t="n">
        <v>0</v>
      </c>
      <c r="AY11" s="222" t="n">
        <v>0</v>
      </c>
      <c r="AZ11" s="222" t="n">
        <v>0</v>
      </c>
      <c r="BA11" s="222" t="n">
        <v>0</v>
      </c>
      <c r="BB11" s="222" t="s">
        <v>380</v>
      </c>
      <c r="BC11" s="222" t="s">
        <v>380</v>
      </c>
      <c r="BD11" s="222" t="n">
        <v>0</v>
      </c>
      <c r="BE11" s="222" t="n">
        <v>0</v>
      </c>
      <c r="BF11" s="222" t="n">
        <v>0</v>
      </c>
      <c r="BG11" s="222" t="n">
        <v>0</v>
      </c>
      <c r="BH11" s="222" t="n">
        <v>0</v>
      </c>
      <c r="BI11" s="222" t="n">
        <v>0</v>
      </c>
      <c r="BJ11" s="222" t="n">
        <v>0</v>
      </c>
      <c r="BK11" s="222" t="n">
        <v>0</v>
      </c>
      <c r="BL11" s="222" t="n">
        <v>21605090</v>
      </c>
      <c r="BM11" s="222" t="s">
        <v>385</v>
      </c>
      <c r="BN11" s="222" t="n">
        <v>0</v>
      </c>
      <c r="BO11" s="232" t="b">
        <f aca="false">FALSE()</f>
        <v>0</v>
      </c>
      <c r="BP11" s="232" t="n">
        <v>0</v>
      </c>
      <c r="BQ11" s="224" t="n">
        <v>0</v>
      </c>
      <c r="BR11" s="223" t="n">
        <v>0</v>
      </c>
      <c r="BS11" s="234" t="n">
        <v>79</v>
      </c>
      <c r="BT11" s="223" t="n">
        <v>0</v>
      </c>
      <c r="BU11" s="235" t="n">
        <v>0</v>
      </c>
      <c r="BV11" s="223" t="n">
        <v>139</v>
      </c>
      <c r="BW11" s="236" t="n">
        <v>0</v>
      </c>
      <c r="BX11" s="236" t="n">
        <v>0</v>
      </c>
      <c r="BY11" s="232" t="n">
        <v>0</v>
      </c>
      <c r="BZ11" s="232" t="n">
        <v>0</v>
      </c>
      <c r="CA11" s="232" t="n">
        <v>0</v>
      </c>
      <c r="CB11" s="232" t="n">
        <v>0</v>
      </c>
      <c r="CC11" s="232" t="n">
        <v>0</v>
      </c>
      <c r="CD11" s="232" t="n">
        <v>0</v>
      </c>
      <c r="CE11" s="232" t="n">
        <v>0</v>
      </c>
      <c r="CF11" s="232" t="n">
        <v>0</v>
      </c>
      <c r="CG11" s="232" t="n">
        <v>0</v>
      </c>
      <c r="CH11" s="232" t="n">
        <v>0</v>
      </c>
      <c r="CI11" s="232" t="n">
        <v>0</v>
      </c>
      <c r="CJ11" s="232" t="n">
        <v>0</v>
      </c>
      <c r="CK11" s="223" t="n">
        <v>0</v>
      </c>
      <c r="CL11" s="223" t="n">
        <v>0</v>
      </c>
    </row>
    <row r="12" customFormat="false" ht="15.75" hidden="false" customHeight="false" outlineLevel="3" collapsed="false">
      <c r="A12" s="58" t="s">
        <v>398</v>
      </c>
      <c r="B12" s="58" t="s">
        <v>399</v>
      </c>
      <c r="C12" s="58" t="s">
        <v>406</v>
      </c>
      <c r="D12" s="58" t="s">
        <v>407</v>
      </c>
      <c r="E12" s="58" t="s">
        <v>411</v>
      </c>
      <c r="F12" s="58" t="s">
        <v>380</v>
      </c>
      <c r="G12" s="58" t="s">
        <v>409</v>
      </c>
      <c r="H12" s="58" t="s">
        <v>101</v>
      </c>
      <c r="I12" s="219" t="s">
        <v>404</v>
      </c>
      <c r="J12" s="221" t="n">
        <v>1</v>
      </c>
      <c r="K12" s="221" t="n">
        <v>1</v>
      </c>
      <c r="L12" s="223" t="n">
        <v>0</v>
      </c>
      <c r="M12" s="223" t="n">
        <v>0</v>
      </c>
      <c r="N12" s="223" t="n">
        <v>0</v>
      </c>
      <c r="O12" s="222" t="n">
        <v>1954995.27</v>
      </c>
      <c r="P12" s="223" t="n">
        <v>1954995.27</v>
      </c>
      <c r="Q12" s="223" t="n">
        <v>0</v>
      </c>
      <c r="R12" s="225" t="s">
        <v>410</v>
      </c>
      <c r="S12" s="271" t="n">
        <v>1</v>
      </c>
      <c r="T12" s="225" t="n">
        <v>0</v>
      </c>
      <c r="U12" s="227" t="n">
        <v>1954995.27</v>
      </c>
      <c r="V12" s="222" t="s">
        <v>384</v>
      </c>
      <c r="W12" s="222" t="n">
        <v>0</v>
      </c>
      <c r="X12" s="222" t="n">
        <v>0</v>
      </c>
      <c r="Y12" s="222" t="n">
        <v>0</v>
      </c>
      <c r="Z12" s="222" t="n">
        <v>0</v>
      </c>
      <c r="AA12" s="222" t="n">
        <v>0</v>
      </c>
      <c r="AB12" s="222" t="n">
        <v>0</v>
      </c>
      <c r="AC12" s="227" t="n">
        <v>1954995.27</v>
      </c>
      <c r="AD12" s="222" t="n">
        <v>0</v>
      </c>
      <c r="AE12" s="222" t="n">
        <v>0</v>
      </c>
      <c r="AF12" s="222" t="n">
        <v>0</v>
      </c>
      <c r="AG12" s="222" t="n">
        <v>0</v>
      </c>
      <c r="AH12" s="228" t="n">
        <v>0</v>
      </c>
      <c r="AI12" s="222" t="n">
        <v>0</v>
      </c>
      <c r="AJ12" s="222" t="n">
        <v>0</v>
      </c>
      <c r="AK12" s="229" t="n">
        <v>0</v>
      </c>
      <c r="AL12" s="230" t="n">
        <v>0</v>
      </c>
      <c r="AM12" s="222" t="n">
        <v>1954995.27</v>
      </c>
      <c r="AN12" s="223" t="n">
        <v>0</v>
      </c>
      <c r="AO12" s="230" t="n">
        <v>0</v>
      </c>
      <c r="AP12" s="222" t="n">
        <v>1954995.27</v>
      </c>
      <c r="AQ12" s="231" t="n">
        <v>1</v>
      </c>
      <c r="AR12" s="222" t="n">
        <v>0</v>
      </c>
      <c r="AS12" s="222" t="n">
        <v>1954995.27</v>
      </c>
      <c r="AT12" s="222" t="n">
        <v>0</v>
      </c>
      <c r="AU12" s="222" t="n">
        <v>0</v>
      </c>
      <c r="AV12" s="222" t="n">
        <v>0</v>
      </c>
      <c r="AW12" s="222" t="n">
        <v>0</v>
      </c>
      <c r="AX12" s="222" t="n">
        <v>0</v>
      </c>
      <c r="AY12" s="222" t="n">
        <v>0</v>
      </c>
      <c r="AZ12" s="222" t="n">
        <v>0</v>
      </c>
      <c r="BA12" s="222" t="n">
        <v>0</v>
      </c>
      <c r="BB12" s="222" t="s">
        <v>380</v>
      </c>
      <c r="BC12" s="222" t="s">
        <v>380</v>
      </c>
      <c r="BD12" s="222" t="n">
        <v>0</v>
      </c>
      <c r="BE12" s="222" t="n">
        <v>0</v>
      </c>
      <c r="BF12" s="222" t="n">
        <v>0</v>
      </c>
      <c r="BG12" s="222" t="n">
        <v>0</v>
      </c>
      <c r="BH12" s="222" t="n">
        <v>0</v>
      </c>
      <c r="BI12" s="222" t="n">
        <v>0</v>
      </c>
      <c r="BJ12" s="222" t="n">
        <v>0</v>
      </c>
      <c r="BK12" s="222" t="n">
        <v>0</v>
      </c>
      <c r="BL12" s="222" t="n">
        <v>1954995.27</v>
      </c>
      <c r="BM12" s="222" t="s">
        <v>385</v>
      </c>
      <c r="BN12" s="222" t="n">
        <v>0</v>
      </c>
      <c r="BO12" s="232" t="b">
        <f aca="false">FALSE()</f>
        <v>0</v>
      </c>
      <c r="BP12" s="232" t="n">
        <v>0</v>
      </c>
      <c r="BQ12" s="224" t="n">
        <v>0</v>
      </c>
      <c r="BR12" s="223" t="n">
        <v>0</v>
      </c>
      <c r="BS12" s="234" t="n">
        <v>79</v>
      </c>
      <c r="BT12" s="223" t="n">
        <v>0</v>
      </c>
      <c r="BU12" s="235" t="n">
        <v>0</v>
      </c>
      <c r="BV12" s="223" t="n">
        <v>140</v>
      </c>
      <c r="BW12" s="236" t="n">
        <v>0</v>
      </c>
      <c r="BX12" s="236" t="n">
        <v>0</v>
      </c>
      <c r="BY12" s="232" t="n">
        <v>0</v>
      </c>
      <c r="BZ12" s="232" t="n">
        <v>0</v>
      </c>
      <c r="CA12" s="232" t="n">
        <v>0</v>
      </c>
      <c r="CB12" s="232" t="n">
        <v>0</v>
      </c>
      <c r="CC12" s="232" t="n">
        <v>0</v>
      </c>
      <c r="CD12" s="232" t="n">
        <v>0</v>
      </c>
      <c r="CE12" s="232" t="n">
        <v>0</v>
      </c>
      <c r="CF12" s="232" t="n">
        <v>0</v>
      </c>
      <c r="CG12" s="232" t="n">
        <v>0</v>
      </c>
      <c r="CH12" s="232" t="n">
        <v>0</v>
      </c>
      <c r="CI12" s="232" t="n">
        <v>0</v>
      </c>
      <c r="CJ12" s="232" t="n">
        <v>0</v>
      </c>
      <c r="CK12" s="223" t="n">
        <v>0</v>
      </c>
      <c r="CL12" s="223" t="n">
        <v>0</v>
      </c>
    </row>
    <row r="13" customFormat="false" ht="15.75" hidden="false" customHeight="false" outlineLevel="3" collapsed="false">
      <c r="A13" s="58" t="s">
        <v>398</v>
      </c>
      <c r="B13" s="58" t="s">
        <v>399</v>
      </c>
      <c r="C13" s="58" t="s">
        <v>406</v>
      </c>
      <c r="D13" s="58" t="s">
        <v>407</v>
      </c>
      <c r="E13" s="58" t="s">
        <v>412</v>
      </c>
      <c r="F13" s="58" t="s">
        <v>380</v>
      </c>
      <c r="G13" s="58" t="s">
        <v>409</v>
      </c>
      <c r="H13" s="58" t="s">
        <v>101</v>
      </c>
      <c r="I13" s="219" t="s">
        <v>404</v>
      </c>
      <c r="J13" s="221" t="n">
        <v>1</v>
      </c>
      <c r="K13" s="221" t="n">
        <v>1</v>
      </c>
      <c r="L13" s="223" t="n">
        <v>0</v>
      </c>
      <c r="M13" s="223" t="n">
        <v>0</v>
      </c>
      <c r="N13" s="223" t="n">
        <v>0</v>
      </c>
      <c r="O13" s="222" t="n">
        <v>9231875</v>
      </c>
      <c r="P13" s="223" t="n">
        <v>9231875</v>
      </c>
      <c r="Q13" s="223" t="n">
        <v>0</v>
      </c>
      <c r="R13" s="225" t="s">
        <v>413</v>
      </c>
      <c r="S13" s="271" t="n">
        <v>1</v>
      </c>
      <c r="T13" s="225" t="n">
        <v>0</v>
      </c>
      <c r="U13" s="227" t="n">
        <v>9231875</v>
      </c>
      <c r="V13" s="222" t="s">
        <v>384</v>
      </c>
      <c r="W13" s="222" t="n">
        <v>0</v>
      </c>
      <c r="X13" s="222" t="n">
        <v>0</v>
      </c>
      <c r="Y13" s="222" t="n">
        <v>0</v>
      </c>
      <c r="Z13" s="222" t="n">
        <v>0</v>
      </c>
      <c r="AA13" s="222" t="n">
        <v>0</v>
      </c>
      <c r="AB13" s="222" t="n">
        <v>0</v>
      </c>
      <c r="AC13" s="227" t="n">
        <v>9231875</v>
      </c>
      <c r="AD13" s="222" t="n">
        <v>0</v>
      </c>
      <c r="AE13" s="222" t="n">
        <v>0</v>
      </c>
      <c r="AF13" s="222" t="n">
        <v>0</v>
      </c>
      <c r="AG13" s="222" t="n">
        <v>0</v>
      </c>
      <c r="AH13" s="228" t="n">
        <v>0</v>
      </c>
      <c r="AI13" s="222" t="n">
        <v>0</v>
      </c>
      <c r="AJ13" s="222" t="n">
        <v>0</v>
      </c>
      <c r="AK13" s="229" t="n">
        <v>0</v>
      </c>
      <c r="AL13" s="230" t="n">
        <v>0</v>
      </c>
      <c r="AM13" s="222" t="n">
        <v>9231875</v>
      </c>
      <c r="AN13" s="223" t="n">
        <v>0</v>
      </c>
      <c r="AO13" s="230" t="n">
        <v>0</v>
      </c>
      <c r="AP13" s="222" t="n">
        <v>9231875</v>
      </c>
      <c r="AQ13" s="231" t="n">
        <v>1</v>
      </c>
      <c r="AR13" s="222" t="n">
        <v>0</v>
      </c>
      <c r="AS13" s="222" t="n">
        <v>9231875</v>
      </c>
      <c r="AT13" s="222" t="n">
        <v>0</v>
      </c>
      <c r="AU13" s="222" t="n">
        <v>0</v>
      </c>
      <c r="AV13" s="222" t="n">
        <v>0</v>
      </c>
      <c r="AW13" s="222" t="n">
        <v>0</v>
      </c>
      <c r="AX13" s="222" t="n">
        <v>0</v>
      </c>
      <c r="AY13" s="222" t="n">
        <v>0</v>
      </c>
      <c r="AZ13" s="222" t="n">
        <v>0</v>
      </c>
      <c r="BA13" s="222" t="n">
        <v>0</v>
      </c>
      <c r="BB13" s="222" t="s">
        <v>380</v>
      </c>
      <c r="BC13" s="222" t="s">
        <v>380</v>
      </c>
      <c r="BD13" s="222" t="n">
        <v>0</v>
      </c>
      <c r="BE13" s="222" t="n">
        <v>0</v>
      </c>
      <c r="BF13" s="222" t="n">
        <v>0</v>
      </c>
      <c r="BG13" s="222" t="n">
        <v>0</v>
      </c>
      <c r="BH13" s="222" t="n">
        <v>0</v>
      </c>
      <c r="BI13" s="222" t="n">
        <v>0</v>
      </c>
      <c r="BJ13" s="222" t="n">
        <v>0</v>
      </c>
      <c r="BK13" s="222" t="n">
        <v>0</v>
      </c>
      <c r="BL13" s="222" t="n">
        <v>9231875</v>
      </c>
      <c r="BM13" s="222" t="s">
        <v>385</v>
      </c>
      <c r="BN13" s="222" t="n">
        <v>0</v>
      </c>
      <c r="BO13" s="232" t="b">
        <f aca="false">FALSE()</f>
        <v>0</v>
      </c>
      <c r="BP13" s="232" t="n">
        <v>0</v>
      </c>
      <c r="BQ13" s="224" t="n">
        <v>0</v>
      </c>
      <c r="BR13" s="223" t="n">
        <v>0</v>
      </c>
      <c r="BS13" s="234" t="n">
        <v>79</v>
      </c>
      <c r="BT13" s="223" t="n">
        <v>0</v>
      </c>
      <c r="BU13" s="235" t="n">
        <v>0</v>
      </c>
      <c r="BV13" s="223" t="n">
        <v>154</v>
      </c>
      <c r="BW13" s="236" t="n">
        <v>0</v>
      </c>
      <c r="BX13" s="236" t="n">
        <v>0</v>
      </c>
      <c r="BY13" s="232" t="n">
        <v>0</v>
      </c>
      <c r="BZ13" s="232" t="n">
        <v>0</v>
      </c>
      <c r="CA13" s="232" t="n">
        <v>0</v>
      </c>
      <c r="CB13" s="232" t="n">
        <v>0</v>
      </c>
      <c r="CC13" s="232" t="n">
        <v>0</v>
      </c>
      <c r="CD13" s="232" t="n">
        <v>0</v>
      </c>
      <c r="CE13" s="232" t="n">
        <v>0</v>
      </c>
      <c r="CF13" s="232" t="n">
        <v>0</v>
      </c>
      <c r="CG13" s="232" t="n">
        <v>0</v>
      </c>
      <c r="CH13" s="232" t="n">
        <v>0</v>
      </c>
      <c r="CI13" s="232" t="n">
        <v>0</v>
      </c>
      <c r="CJ13" s="232" t="n">
        <v>0</v>
      </c>
      <c r="CK13" s="223" t="n">
        <v>0</v>
      </c>
      <c r="CL13" s="223" t="n">
        <v>0</v>
      </c>
    </row>
    <row r="14" customFormat="false" ht="15.75" hidden="false" customHeight="false" outlineLevel="3" collapsed="false">
      <c r="A14" s="58" t="s">
        <v>398</v>
      </c>
      <c r="B14" s="58" t="s">
        <v>399</v>
      </c>
      <c r="C14" s="58" t="s">
        <v>406</v>
      </c>
      <c r="D14" s="58" t="s">
        <v>407</v>
      </c>
      <c r="E14" s="58" t="s">
        <v>414</v>
      </c>
      <c r="F14" s="58" t="s">
        <v>380</v>
      </c>
      <c r="G14" s="58" t="s">
        <v>409</v>
      </c>
      <c r="H14" s="58" t="s">
        <v>101</v>
      </c>
      <c r="I14" s="219" t="s">
        <v>404</v>
      </c>
      <c r="J14" s="221" t="n">
        <v>1</v>
      </c>
      <c r="K14" s="221" t="n">
        <v>1</v>
      </c>
      <c r="L14" s="223" t="n">
        <v>0</v>
      </c>
      <c r="M14" s="223" t="n">
        <v>0</v>
      </c>
      <c r="N14" s="223" t="n">
        <v>0</v>
      </c>
      <c r="O14" s="222" t="n">
        <v>1663862.85</v>
      </c>
      <c r="P14" s="223" t="n">
        <v>1663862.85</v>
      </c>
      <c r="Q14" s="223" t="n">
        <v>0</v>
      </c>
      <c r="R14" s="225" t="s">
        <v>413</v>
      </c>
      <c r="S14" s="271" t="n">
        <v>1</v>
      </c>
      <c r="T14" s="225" t="n">
        <v>0</v>
      </c>
      <c r="U14" s="227" t="n">
        <v>1663862.85</v>
      </c>
      <c r="V14" s="222" t="s">
        <v>384</v>
      </c>
      <c r="W14" s="222" t="n">
        <v>0</v>
      </c>
      <c r="X14" s="222" t="n">
        <v>0</v>
      </c>
      <c r="Y14" s="222" t="n">
        <v>0</v>
      </c>
      <c r="Z14" s="222" t="n">
        <v>0</v>
      </c>
      <c r="AA14" s="222" t="n">
        <v>0</v>
      </c>
      <c r="AB14" s="222" t="n">
        <v>0</v>
      </c>
      <c r="AC14" s="227" t="n">
        <v>1663862.85</v>
      </c>
      <c r="AD14" s="222" t="n">
        <v>0</v>
      </c>
      <c r="AE14" s="222" t="n">
        <v>0</v>
      </c>
      <c r="AF14" s="222" t="n">
        <v>0</v>
      </c>
      <c r="AG14" s="222" t="n">
        <v>0</v>
      </c>
      <c r="AH14" s="228" t="n">
        <v>0</v>
      </c>
      <c r="AI14" s="222" t="n">
        <v>0</v>
      </c>
      <c r="AJ14" s="222" t="n">
        <v>0</v>
      </c>
      <c r="AK14" s="229" t="n">
        <v>0</v>
      </c>
      <c r="AL14" s="230" t="n">
        <v>0</v>
      </c>
      <c r="AM14" s="222" t="n">
        <v>1663862.85</v>
      </c>
      <c r="AN14" s="223" t="n">
        <v>0</v>
      </c>
      <c r="AO14" s="230" t="n">
        <v>0</v>
      </c>
      <c r="AP14" s="222" t="n">
        <v>1663862.85</v>
      </c>
      <c r="AQ14" s="231" t="n">
        <v>1</v>
      </c>
      <c r="AR14" s="222" t="n">
        <v>0</v>
      </c>
      <c r="AS14" s="222" t="n">
        <v>1663862.85</v>
      </c>
      <c r="AT14" s="222" t="n">
        <v>0</v>
      </c>
      <c r="AU14" s="222" t="n">
        <v>0</v>
      </c>
      <c r="AV14" s="222" t="n">
        <v>0</v>
      </c>
      <c r="AW14" s="222" t="n">
        <v>0</v>
      </c>
      <c r="AX14" s="222" t="n">
        <v>0</v>
      </c>
      <c r="AY14" s="222" t="n">
        <v>0</v>
      </c>
      <c r="AZ14" s="222" t="n">
        <v>0</v>
      </c>
      <c r="BA14" s="222" t="n">
        <v>0</v>
      </c>
      <c r="BB14" s="222" t="s">
        <v>380</v>
      </c>
      <c r="BC14" s="222" t="s">
        <v>380</v>
      </c>
      <c r="BD14" s="222" t="n">
        <v>0</v>
      </c>
      <c r="BE14" s="222" t="n">
        <v>0</v>
      </c>
      <c r="BF14" s="222" t="n">
        <v>0</v>
      </c>
      <c r="BG14" s="222" t="n">
        <v>0</v>
      </c>
      <c r="BH14" s="222" t="n">
        <v>0</v>
      </c>
      <c r="BI14" s="222" t="n">
        <v>0</v>
      </c>
      <c r="BJ14" s="222" t="n">
        <v>0</v>
      </c>
      <c r="BK14" s="222" t="n">
        <v>0</v>
      </c>
      <c r="BL14" s="222" t="n">
        <v>1663862.85</v>
      </c>
      <c r="BM14" s="222" t="s">
        <v>385</v>
      </c>
      <c r="BN14" s="222" t="n">
        <v>0</v>
      </c>
      <c r="BO14" s="232" t="b">
        <f aca="false">FALSE()</f>
        <v>0</v>
      </c>
      <c r="BP14" s="232" t="n">
        <v>0</v>
      </c>
      <c r="BQ14" s="224" t="n">
        <v>0</v>
      </c>
      <c r="BR14" s="223" t="n">
        <v>0</v>
      </c>
      <c r="BS14" s="234" t="n">
        <v>79</v>
      </c>
      <c r="BT14" s="223" t="n">
        <v>0</v>
      </c>
      <c r="BU14" s="235" t="n">
        <v>0</v>
      </c>
      <c r="BV14" s="223" t="n">
        <v>155</v>
      </c>
      <c r="BW14" s="236" t="n">
        <v>0</v>
      </c>
      <c r="BX14" s="236" t="n">
        <v>0</v>
      </c>
      <c r="BY14" s="232" t="n">
        <v>0</v>
      </c>
      <c r="BZ14" s="232" t="n">
        <v>0</v>
      </c>
      <c r="CA14" s="232" t="n">
        <v>0</v>
      </c>
      <c r="CB14" s="232" t="n">
        <v>0</v>
      </c>
      <c r="CC14" s="232" t="n">
        <v>0</v>
      </c>
      <c r="CD14" s="232" t="n">
        <v>0</v>
      </c>
      <c r="CE14" s="232" t="n">
        <v>0</v>
      </c>
      <c r="CF14" s="232" t="n">
        <v>0</v>
      </c>
      <c r="CG14" s="232" t="n">
        <v>0</v>
      </c>
      <c r="CH14" s="232" t="n">
        <v>0</v>
      </c>
      <c r="CI14" s="232" t="n">
        <v>0</v>
      </c>
      <c r="CJ14" s="232" t="n">
        <v>0</v>
      </c>
      <c r="CK14" s="223" t="n">
        <v>0</v>
      </c>
      <c r="CL14" s="223" t="n">
        <v>0</v>
      </c>
    </row>
    <row r="15" customFormat="false" ht="15.75" hidden="false" customHeight="false" outlineLevel="3" collapsed="false">
      <c r="A15" s="58" t="s">
        <v>398</v>
      </c>
      <c r="B15" s="58" t="s">
        <v>399</v>
      </c>
      <c r="C15" s="58" t="s">
        <v>400</v>
      </c>
      <c r="D15" s="58" t="s">
        <v>401</v>
      </c>
      <c r="E15" s="58" t="s">
        <v>415</v>
      </c>
      <c r="F15" s="58" t="s">
        <v>380</v>
      </c>
      <c r="G15" s="58" t="s">
        <v>403</v>
      </c>
      <c r="H15" s="58" t="s">
        <v>101</v>
      </c>
      <c r="I15" s="219" t="s">
        <v>404</v>
      </c>
      <c r="J15" s="221" t="n">
        <v>1</v>
      </c>
      <c r="K15" s="221" t="n">
        <v>1</v>
      </c>
      <c r="L15" s="223" t="n">
        <v>0</v>
      </c>
      <c r="M15" s="223" t="n">
        <v>0</v>
      </c>
      <c r="N15" s="223" t="n">
        <v>0</v>
      </c>
      <c r="O15" s="222" t="n">
        <v>200068.24</v>
      </c>
      <c r="P15" s="223" t="n">
        <v>200068.24</v>
      </c>
      <c r="Q15" s="223" t="n">
        <v>0</v>
      </c>
      <c r="R15" s="225" t="s">
        <v>416</v>
      </c>
      <c r="S15" s="271" t="n">
        <v>0.5</v>
      </c>
      <c r="T15" s="225" t="n">
        <v>0</v>
      </c>
      <c r="U15" s="227" t="n">
        <v>200068.24</v>
      </c>
      <c r="V15" s="222" t="s">
        <v>384</v>
      </c>
      <c r="W15" s="222" t="n">
        <v>0</v>
      </c>
      <c r="X15" s="222" t="n">
        <v>0</v>
      </c>
      <c r="Y15" s="222" t="n">
        <v>0</v>
      </c>
      <c r="Z15" s="222" t="n">
        <v>0</v>
      </c>
      <c r="AA15" s="222" t="n">
        <v>0</v>
      </c>
      <c r="AB15" s="222" t="n">
        <v>0</v>
      </c>
      <c r="AC15" s="227" t="n">
        <v>200068.24</v>
      </c>
      <c r="AD15" s="222" t="n">
        <v>0</v>
      </c>
      <c r="AE15" s="222" t="n">
        <v>0</v>
      </c>
      <c r="AF15" s="222" t="n">
        <v>0</v>
      </c>
      <c r="AG15" s="222" t="n">
        <v>0</v>
      </c>
      <c r="AH15" s="228" t="n">
        <v>0</v>
      </c>
      <c r="AI15" s="222" t="n">
        <v>0</v>
      </c>
      <c r="AJ15" s="222" t="n">
        <v>0</v>
      </c>
      <c r="AK15" s="229" t="n">
        <v>0</v>
      </c>
      <c r="AL15" s="230" t="n">
        <v>0</v>
      </c>
      <c r="AM15" s="222" t="n">
        <v>230788.389999999</v>
      </c>
      <c r="AN15" s="223" t="n">
        <v>0</v>
      </c>
      <c r="AO15" s="230" t="n">
        <v>0</v>
      </c>
      <c r="AP15" s="222" t="n">
        <v>230788.389999999</v>
      </c>
      <c r="AQ15" s="231" t="n">
        <v>1</v>
      </c>
      <c r="AR15" s="222" t="n">
        <v>0</v>
      </c>
      <c r="AS15" s="222" t="n">
        <v>200068.24</v>
      </c>
      <c r="AT15" s="222" t="n">
        <v>0</v>
      </c>
      <c r="AU15" s="222" t="n">
        <v>0</v>
      </c>
      <c r="AV15" s="222" t="n">
        <v>0</v>
      </c>
      <c r="AW15" s="222" t="n">
        <v>0</v>
      </c>
      <c r="AX15" s="222" t="n">
        <v>0</v>
      </c>
      <c r="AY15" s="222" t="n">
        <v>0</v>
      </c>
      <c r="AZ15" s="222" t="n">
        <v>0</v>
      </c>
      <c r="BA15" s="222" t="n">
        <v>0</v>
      </c>
      <c r="BB15" s="222" t="s">
        <v>380</v>
      </c>
      <c r="BC15" s="222" t="s">
        <v>380</v>
      </c>
      <c r="BD15" s="222" t="n">
        <v>0</v>
      </c>
      <c r="BE15" s="222" t="n">
        <v>0</v>
      </c>
      <c r="BF15" s="222" t="n">
        <v>0</v>
      </c>
      <c r="BG15" s="222" t="n">
        <v>0</v>
      </c>
      <c r="BH15" s="222" t="n">
        <v>0</v>
      </c>
      <c r="BI15" s="222" t="n">
        <v>0</v>
      </c>
      <c r="BJ15" s="222" t="n">
        <v>0</v>
      </c>
      <c r="BK15" s="222" t="n">
        <v>0</v>
      </c>
      <c r="BL15" s="222" t="n">
        <v>230788.389999999</v>
      </c>
      <c r="BM15" s="222" t="s">
        <v>385</v>
      </c>
      <c r="BN15" s="222" t="n">
        <v>0</v>
      </c>
      <c r="BO15" s="232" t="b">
        <f aca="false">FALSE()</f>
        <v>0</v>
      </c>
      <c r="BP15" s="232" t="n">
        <v>0</v>
      </c>
      <c r="BQ15" s="224" t="n">
        <v>0</v>
      </c>
      <c r="BR15" s="223" t="n">
        <v>0</v>
      </c>
      <c r="BS15" s="234" t="n">
        <v>79</v>
      </c>
      <c r="BT15" s="223" t="n">
        <v>0</v>
      </c>
      <c r="BU15" s="235" t="n">
        <v>0</v>
      </c>
      <c r="BV15" s="223" t="n">
        <v>157</v>
      </c>
      <c r="BW15" s="236" t="n">
        <v>0</v>
      </c>
      <c r="BX15" s="236" t="n">
        <v>0</v>
      </c>
      <c r="BY15" s="232" t="n">
        <v>0</v>
      </c>
      <c r="BZ15" s="232" t="n">
        <v>200068.24</v>
      </c>
      <c r="CA15" s="232" t="n">
        <v>-30720.149999999</v>
      </c>
      <c r="CB15" s="232" t="n">
        <v>-30720.149999999</v>
      </c>
      <c r="CC15" s="232" t="n">
        <v>0</v>
      </c>
      <c r="CD15" s="232" t="n">
        <v>0</v>
      </c>
      <c r="CE15" s="232" t="n">
        <v>0</v>
      </c>
      <c r="CF15" s="232" t="n">
        <v>0</v>
      </c>
      <c r="CG15" s="232" t="n">
        <v>0</v>
      </c>
      <c r="CH15" s="232" t="n">
        <v>0</v>
      </c>
      <c r="CI15" s="232" t="n">
        <v>0</v>
      </c>
      <c r="CJ15" s="232" t="n">
        <v>0</v>
      </c>
      <c r="CK15" s="223" t="n">
        <v>0</v>
      </c>
      <c r="CL15" s="223" t="n">
        <v>0</v>
      </c>
    </row>
    <row r="16" customFormat="false" ht="15.75" hidden="false" customHeight="false" outlineLevel="3" collapsed="false">
      <c r="A16" s="58" t="s">
        <v>398</v>
      </c>
      <c r="B16" s="58" t="s">
        <v>399</v>
      </c>
      <c r="C16" s="58" t="s">
        <v>400</v>
      </c>
      <c r="D16" s="58" t="s">
        <v>401</v>
      </c>
      <c r="E16" s="58" t="s">
        <v>417</v>
      </c>
      <c r="F16" s="58" t="s">
        <v>380</v>
      </c>
      <c r="G16" s="58" t="s">
        <v>403</v>
      </c>
      <c r="H16" s="58" t="s">
        <v>101</v>
      </c>
      <c r="I16" s="219" t="s">
        <v>404</v>
      </c>
      <c r="J16" s="221" t="n">
        <v>1</v>
      </c>
      <c r="K16" s="221" t="n">
        <v>1</v>
      </c>
      <c r="L16" s="223" t="n">
        <v>0</v>
      </c>
      <c r="M16" s="223" t="n">
        <v>0</v>
      </c>
      <c r="N16" s="223" t="n">
        <v>0</v>
      </c>
      <c r="O16" s="222" t="n">
        <v>162836.33</v>
      </c>
      <c r="P16" s="223" t="n">
        <v>162836.33</v>
      </c>
      <c r="Q16" s="223" t="n">
        <v>0</v>
      </c>
      <c r="R16" s="225" t="s">
        <v>416</v>
      </c>
      <c r="S16" s="271" t="n">
        <v>1</v>
      </c>
      <c r="T16" s="225" t="n">
        <v>0</v>
      </c>
      <c r="U16" s="227" t="n">
        <v>162836.33</v>
      </c>
      <c r="V16" s="222" t="s">
        <v>384</v>
      </c>
      <c r="W16" s="222" t="n">
        <v>0</v>
      </c>
      <c r="X16" s="222" t="n">
        <v>0</v>
      </c>
      <c r="Y16" s="222" t="n">
        <v>0</v>
      </c>
      <c r="Z16" s="222" t="n">
        <v>0</v>
      </c>
      <c r="AA16" s="222" t="n">
        <v>0</v>
      </c>
      <c r="AB16" s="222" t="n">
        <v>0</v>
      </c>
      <c r="AC16" s="227" t="n">
        <v>162836.33</v>
      </c>
      <c r="AD16" s="222" t="n">
        <v>0</v>
      </c>
      <c r="AE16" s="222" t="n">
        <v>0</v>
      </c>
      <c r="AF16" s="222" t="n">
        <v>0</v>
      </c>
      <c r="AG16" s="222" t="n">
        <v>0</v>
      </c>
      <c r="AH16" s="228" t="n">
        <v>0</v>
      </c>
      <c r="AI16" s="222" t="n">
        <v>0</v>
      </c>
      <c r="AJ16" s="222" t="n">
        <v>0</v>
      </c>
      <c r="AK16" s="229" t="n">
        <v>0</v>
      </c>
      <c r="AL16" s="230" t="n">
        <v>0</v>
      </c>
      <c r="AM16" s="222" t="n">
        <v>400561.36</v>
      </c>
      <c r="AN16" s="223" t="n">
        <v>0</v>
      </c>
      <c r="AO16" s="230" t="n">
        <v>0</v>
      </c>
      <c r="AP16" s="222" t="n">
        <v>400561.36</v>
      </c>
      <c r="AQ16" s="231" t="n">
        <v>1</v>
      </c>
      <c r="AR16" s="222" t="n">
        <v>0</v>
      </c>
      <c r="AS16" s="222" t="n">
        <v>162836.33</v>
      </c>
      <c r="AT16" s="222" t="n">
        <v>0</v>
      </c>
      <c r="AU16" s="222" t="n">
        <v>0</v>
      </c>
      <c r="AV16" s="222" t="n">
        <v>0</v>
      </c>
      <c r="AW16" s="222" t="n">
        <v>0</v>
      </c>
      <c r="AX16" s="222" t="n">
        <v>0</v>
      </c>
      <c r="AY16" s="222" t="n">
        <v>0</v>
      </c>
      <c r="AZ16" s="222" t="n">
        <v>0</v>
      </c>
      <c r="BA16" s="222" t="n">
        <v>0</v>
      </c>
      <c r="BB16" s="222" t="s">
        <v>380</v>
      </c>
      <c r="BC16" s="222" t="s">
        <v>380</v>
      </c>
      <c r="BD16" s="222" t="n">
        <v>0</v>
      </c>
      <c r="BE16" s="222" t="n">
        <v>0</v>
      </c>
      <c r="BF16" s="222" t="n">
        <v>0</v>
      </c>
      <c r="BG16" s="222" t="n">
        <v>0</v>
      </c>
      <c r="BH16" s="222" t="n">
        <v>0</v>
      </c>
      <c r="BI16" s="222" t="n">
        <v>0</v>
      </c>
      <c r="BJ16" s="222" t="n">
        <v>0</v>
      </c>
      <c r="BK16" s="222" t="n">
        <v>0</v>
      </c>
      <c r="BL16" s="222" t="n">
        <v>400561.36</v>
      </c>
      <c r="BM16" s="222" t="s">
        <v>385</v>
      </c>
      <c r="BN16" s="222" t="n">
        <v>0</v>
      </c>
      <c r="BO16" s="232" t="b">
        <f aca="false">FALSE()</f>
        <v>0</v>
      </c>
      <c r="BP16" s="232" t="n">
        <v>0</v>
      </c>
      <c r="BQ16" s="224" t="n">
        <v>0</v>
      </c>
      <c r="BR16" s="223" t="n">
        <v>0</v>
      </c>
      <c r="BS16" s="234" t="n">
        <v>79</v>
      </c>
      <c r="BT16" s="223" t="n">
        <v>0</v>
      </c>
      <c r="BU16" s="235" t="n">
        <v>0</v>
      </c>
      <c r="BV16" s="223" t="n">
        <v>158</v>
      </c>
      <c r="BW16" s="236" t="n">
        <v>0</v>
      </c>
      <c r="BX16" s="236" t="n">
        <v>0</v>
      </c>
      <c r="BY16" s="232" t="n">
        <v>0</v>
      </c>
      <c r="BZ16" s="232" t="n">
        <v>0</v>
      </c>
      <c r="CA16" s="232" t="n">
        <v>-237725.03</v>
      </c>
      <c r="CB16" s="232" t="n">
        <v>-237725.03</v>
      </c>
      <c r="CC16" s="232" t="n">
        <v>0</v>
      </c>
      <c r="CD16" s="232" t="n">
        <v>0</v>
      </c>
      <c r="CE16" s="232" t="n">
        <v>0</v>
      </c>
      <c r="CF16" s="232" t="n">
        <v>0</v>
      </c>
      <c r="CG16" s="232" t="n">
        <v>0</v>
      </c>
      <c r="CH16" s="232" t="n">
        <v>0</v>
      </c>
      <c r="CI16" s="232" t="n">
        <v>0</v>
      </c>
      <c r="CJ16" s="232" t="n">
        <v>0</v>
      </c>
      <c r="CK16" s="223" t="n">
        <v>0</v>
      </c>
      <c r="CL16" s="223" t="n">
        <v>0</v>
      </c>
    </row>
    <row r="17" customFormat="false" ht="20.1" hidden="false" customHeight="true" outlineLevel="2" collapsed="false">
      <c r="A17" s="238" t="s">
        <v>418</v>
      </c>
      <c r="B17" s="238"/>
      <c r="C17" s="238"/>
      <c r="D17" s="238"/>
      <c r="E17" s="238"/>
      <c r="F17" s="238"/>
      <c r="G17" s="238"/>
      <c r="H17" s="238"/>
      <c r="I17" s="239"/>
      <c r="J17" s="241"/>
      <c r="K17" s="241"/>
      <c r="L17" s="243"/>
      <c r="M17" s="243"/>
      <c r="N17" s="243"/>
      <c r="O17" s="242"/>
      <c r="P17" s="243"/>
      <c r="Q17" s="243"/>
      <c r="R17" s="245" t="n">
        <v>0</v>
      </c>
      <c r="S17" s="272" t="n">
        <v>6.5</v>
      </c>
      <c r="T17" s="245" t="n">
        <v>0</v>
      </c>
      <c r="U17" s="247" t="n">
        <v>39550338.23</v>
      </c>
      <c r="V17" s="242"/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7" t="n">
        <v>39550338.23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8" t="n">
        <v>0</v>
      </c>
      <c r="AI17" s="242" t="n">
        <v>0</v>
      </c>
      <c r="AJ17" s="242" t="n">
        <v>0</v>
      </c>
      <c r="AK17" s="249" t="n">
        <v>0</v>
      </c>
      <c r="AL17" s="250"/>
      <c r="AM17" s="242" t="n">
        <v>39750356.87</v>
      </c>
      <c r="AN17" s="243"/>
      <c r="AO17" s="250"/>
      <c r="AP17" s="242" t="n">
        <v>39750356.87</v>
      </c>
      <c r="AQ17" s="251"/>
      <c r="AR17" s="242"/>
      <c r="AS17" s="242"/>
      <c r="AT17" s="242" t="n">
        <v>0</v>
      </c>
      <c r="AU17" s="242" t="n">
        <v>0</v>
      </c>
      <c r="AV17" s="242" t="n">
        <v>0</v>
      </c>
      <c r="AW17" s="242" t="n">
        <v>0</v>
      </c>
      <c r="AX17" s="242" t="n">
        <v>0</v>
      </c>
      <c r="AY17" s="242" t="n">
        <v>0</v>
      </c>
      <c r="AZ17" s="242" t="n">
        <v>0</v>
      </c>
      <c r="BA17" s="242" t="n">
        <v>0</v>
      </c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4"/>
      <c r="BR17" s="243"/>
      <c r="BS17" s="253"/>
      <c r="BT17" s="243"/>
      <c r="BU17" s="254"/>
      <c r="BV17" s="243"/>
      <c r="BW17" s="255"/>
      <c r="BX17" s="255"/>
      <c r="BY17" s="242"/>
      <c r="BZ17" s="242"/>
      <c r="CA17" s="242" t="n">
        <v>-200018.639999999</v>
      </c>
      <c r="CB17" s="242"/>
      <c r="CC17" s="242"/>
      <c r="CD17" s="242"/>
      <c r="CE17" s="242"/>
      <c r="CF17" s="242"/>
      <c r="CG17" s="242"/>
      <c r="CH17" s="242"/>
      <c r="CI17" s="242"/>
      <c r="CJ17" s="242"/>
      <c r="CK17" s="243"/>
      <c r="CL17" s="243"/>
    </row>
    <row r="18" customFormat="false" ht="30" hidden="false" customHeight="true" outlineLevel="1" collapsed="false">
      <c r="A18" s="238"/>
      <c r="B18" s="238" t="s">
        <v>419</v>
      </c>
      <c r="C18" s="238"/>
      <c r="D18" s="238"/>
      <c r="E18" s="238"/>
      <c r="F18" s="238"/>
      <c r="G18" s="238"/>
      <c r="H18" s="238"/>
      <c r="I18" s="239"/>
      <c r="J18" s="256"/>
      <c r="K18" s="256"/>
      <c r="L18" s="258"/>
      <c r="M18" s="258"/>
      <c r="N18" s="258"/>
      <c r="O18" s="257"/>
      <c r="P18" s="258"/>
      <c r="Q18" s="258"/>
      <c r="R18" s="260" t="n">
        <v>0</v>
      </c>
      <c r="S18" s="273" t="n">
        <v>6.5</v>
      </c>
      <c r="T18" s="260" t="n">
        <v>0</v>
      </c>
      <c r="U18" s="262" t="n">
        <v>39550338.23</v>
      </c>
      <c r="V18" s="257"/>
      <c r="W18" s="257" t="n">
        <v>0</v>
      </c>
      <c r="X18" s="257" t="n">
        <v>0</v>
      </c>
      <c r="Y18" s="257" t="n">
        <v>0</v>
      </c>
      <c r="Z18" s="257" t="n">
        <v>0</v>
      </c>
      <c r="AA18" s="257" t="n">
        <v>0</v>
      </c>
      <c r="AB18" s="257" t="n">
        <v>0</v>
      </c>
      <c r="AC18" s="262" t="n">
        <v>39550338.23</v>
      </c>
      <c r="AD18" s="257" t="n">
        <v>0</v>
      </c>
      <c r="AE18" s="257" t="n">
        <v>0</v>
      </c>
      <c r="AF18" s="257" t="n">
        <v>0</v>
      </c>
      <c r="AG18" s="257" t="n">
        <v>0</v>
      </c>
      <c r="AH18" s="263" t="n">
        <v>0</v>
      </c>
      <c r="AI18" s="257" t="n">
        <v>0</v>
      </c>
      <c r="AJ18" s="257" t="n">
        <v>0</v>
      </c>
      <c r="AK18" s="264" t="n">
        <v>0</v>
      </c>
      <c r="AL18" s="265"/>
      <c r="AM18" s="257" t="n">
        <v>39750356.87</v>
      </c>
      <c r="AN18" s="258"/>
      <c r="AO18" s="265"/>
      <c r="AP18" s="257" t="n">
        <v>39750356.87</v>
      </c>
      <c r="AQ18" s="266"/>
      <c r="AR18" s="257"/>
      <c r="AS18" s="257"/>
      <c r="AT18" s="257" t="n">
        <v>0</v>
      </c>
      <c r="AU18" s="257" t="n">
        <v>0</v>
      </c>
      <c r="AV18" s="257" t="n">
        <v>0</v>
      </c>
      <c r="AW18" s="257" t="n">
        <v>0</v>
      </c>
      <c r="AX18" s="257" t="n">
        <v>0</v>
      </c>
      <c r="AY18" s="257" t="n">
        <v>0</v>
      </c>
      <c r="AZ18" s="257" t="n">
        <v>0</v>
      </c>
      <c r="BA18" s="257" t="n">
        <v>0</v>
      </c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9"/>
      <c r="BR18" s="258"/>
      <c r="BS18" s="268"/>
      <c r="BT18" s="258"/>
      <c r="BU18" s="269"/>
      <c r="BV18" s="258"/>
      <c r="BW18" s="270"/>
      <c r="BX18" s="270"/>
      <c r="BY18" s="257"/>
      <c r="BZ18" s="257"/>
      <c r="CA18" s="257" t="n">
        <v>-200018.639999999</v>
      </c>
      <c r="CB18" s="257"/>
      <c r="CC18" s="257"/>
      <c r="CD18" s="257"/>
      <c r="CE18" s="257"/>
      <c r="CF18" s="257"/>
      <c r="CG18" s="257"/>
      <c r="CH18" s="257"/>
      <c r="CI18" s="257"/>
      <c r="CJ18" s="257"/>
      <c r="CK18" s="258"/>
      <c r="CL18" s="258"/>
    </row>
    <row r="19" customFormat="false" ht="15.75" hidden="false" customHeight="false" outlineLevel="3" collapsed="false">
      <c r="A19" s="58" t="s">
        <v>420</v>
      </c>
      <c r="B19" s="58" t="s">
        <v>421</v>
      </c>
      <c r="C19" s="58" t="s">
        <v>422</v>
      </c>
      <c r="D19" s="58" t="s">
        <v>423</v>
      </c>
      <c r="E19" s="58" t="s">
        <v>424</v>
      </c>
      <c r="F19" s="58" t="s">
        <v>425</v>
      </c>
      <c r="G19" s="274" t="s">
        <v>426</v>
      </c>
      <c r="H19" s="274" t="s">
        <v>427</v>
      </c>
      <c r="I19" s="219" t="s">
        <v>427</v>
      </c>
      <c r="J19" s="221" t="n">
        <v>46956</v>
      </c>
      <c r="K19" s="221" t="n">
        <v>46956</v>
      </c>
      <c r="L19" s="223" t="n">
        <v>0.0319006877135627</v>
      </c>
      <c r="M19" s="223" t="n">
        <v>0</v>
      </c>
      <c r="N19" s="223" t="n">
        <v>0.411019404323489</v>
      </c>
      <c r="O19" s="222" t="n">
        <v>2.55045605898546</v>
      </c>
      <c r="P19" s="223" t="n">
        <v>2.85861555797261</v>
      </c>
      <c r="Q19" s="223" t="n">
        <v>-0.308159498987151</v>
      </c>
      <c r="R19" s="225" t="n">
        <v>0</v>
      </c>
      <c r="S19" s="226" t="n">
        <v>0</v>
      </c>
      <c r="T19" s="225" t="n">
        <v>0</v>
      </c>
      <c r="U19" s="227" t="n">
        <v>119759.214705721</v>
      </c>
      <c r="V19" s="222" t="s">
        <v>384</v>
      </c>
      <c r="W19" s="222" t="n">
        <v>0</v>
      </c>
      <c r="X19" s="222" t="n">
        <v>0</v>
      </c>
      <c r="Y19" s="222" t="n">
        <v>0</v>
      </c>
      <c r="Z19" s="222" t="n">
        <v>0</v>
      </c>
      <c r="AA19" s="222" t="n">
        <v>0</v>
      </c>
      <c r="AB19" s="222" t="n">
        <v>0</v>
      </c>
      <c r="AC19" s="227" t="n">
        <v>134229.152140162</v>
      </c>
      <c r="AD19" s="222" t="n">
        <v>-14469.9374344407</v>
      </c>
      <c r="AE19" s="222" t="n">
        <v>0</v>
      </c>
      <c r="AF19" s="222" t="n">
        <v>14469.9374344407</v>
      </c>
      <c r="AG19" s="222" t="n">
        <v>0</v>
      </c>
      <c r="AH19" s="228" t="n">
        <v>-7723.23286703133</v>
      </c>
      <c r="AI19" s="222" t="n">
        <v>0</v>
      </c>
      <c r="AJ19" s="222" t="n">
        <v>7723.23286703133</v>
      </c>
      <c r="AK19" s="229" t="n">
        <v>0</v>
      </c>
      <c r="AL19" s="230" t="n">
        <v>0</v>
      </c>
      <c r="AM19" s="222" t="n">
        <v>127482.447572753</v>
      </c>
      <c r="AN19" s="230" t="n">
        <v>0</v>
      </c>
      <c r="AO19" s="230" t="n">
        <v>26869.0959177376</v>
      </c>
      <c r="AP19" s="222" t="n">
        <v>84870.3860270403</v>
      </c>
      <c r="AQ19" s="231" t="n">
        <v>1</v>
      </c>
      <c r="AR19" s="222" t="n">
        <v>346190.649492609</v>
      </c>
      <c r="AS19" s="222" t="n">
        <v>17.9375</v>
      </c>
      <c r="AT19" s="222" t="n">
        <v>16957.2132079227</v>
      </c>
      <c r="AU19" s="222" t="n">
        <v>0</v>
      </c>
      <c r="AV19" s="222" t="n">
        <v>-16957.2132079227</v>
      </c>
      <c r="AW19" s="222" t="n">
        <v>0</v>
      </c>
      <c r="AX19" s="222" t="n">
        <v>-7723.23286703133</v>
      </c>
      <c r="AY19" s="222" t="n">
        <v>0</v>
      </c>
      <c r="AZ19" s="222" t="n">
        <v>7723.23286703133</v>
      </c>
      <c r="BA19" s="222" t="n">
        <v>0</v>
      </c>
      <c r="BB19" s="222" t="n">
        <v>17.9375</v>
      </c>
      <c r="BC19" s="222" t="n">
        <v>18.625</v>
      </c>
      <c r="BD19" s="222" t="n">
        <v>31427.1506423634</v>
      </c>
      <c r="BE19" s="222" t="n">
        <v>0</v>
      </c>
      <c r="BF19" s="222" t="n">
        <v>-31427.1506423634</v>
      </c>
      <c r="BG19" s="222" t="n">
        <v>0</v>
      </c>
      <c r="BH19" s="222" t="n">
        <v>6746.70456740935</v>
      </c>
      <c r="BI19" s="222" t="n">
        <v>0</v>
      </c>
      <c r="BJ19" s="222" t="n">
        <v>-6746.70456740935</v>
      </c>
      <c r="BK19" s="222" t="n">
        <v>0</v>
      </c>
      <c r="BL19" s="222" t="n">
        <v>84870.3860270403</v>
      </c>
      <c r="BM19" s="222" t="s">
        <v>395</v>
      </c>
      <c r="BN19" s="222" t="n">
        <v>0</v>
      </c>
      <c r="BO19" s="232" t="b">
        <f aca="false">FALSE()</f>
        <v>0</v>
      </c>
      <c r="BP19" s="232" t="n">
        <v>-6746.70456740935</v>
      </c>
      <c r="BQ19" s="223" t="n">
        <v>0</v>
      </c>
      <c r="BR19" s="223" t="n">
        <v>0</v>
      </c>
      <c r="BS19" s="234" t="n">
        <v>42</v>
      </c>
      <c r="BT19" s="223" t="n">
        <v>0</v>
      </c>
      <c r="BU19" s="235" t="n">
        <v>19299.8271494138</v>
      </c>
      <c r="BV19" s="223" t="n">
        <v>202</v>
      </c>
      <c r="BW19" s="236" t="n">
        <v>17.9375</v>
      </c>
      <c r="BX19" s="236" t="n">
        <v>17.9375</v>
      </c>
      <c r="BY19" s="232" t="n">
        <v>0</v>
      </c>
      <c r="BZ19" s="232" t="n">
        <v>0</v>
      </c>
      <c r="CA19" s="232" t="n">
        <v>0</v>
      </c>
      <c r="CB19" s="232" t="n">
        <v>0</v>
      </c>
      <c r="CC19" s="232" t="n">
        <v>0</v>
      </c>
      <c r="CD19" s="232" t="n">
        <v>0</v>
      </c>
      <c r="CE19" s="232" t="n">
        <v>0</v>
      </c>
      <c r="CF19" s="232" t="n">
        <v>0</v>
      </c>
      <c r="CG19" s="232" t="n">
        <v>6746.70456740935</v>
      </c>
      <c r="CH19" s="232" t="n">
        <v>0</v>
      </c>
      <c r="CI19" s="232" t="n">
        <v>-6746.70456740935</v>
      </c>
      <c r="CJ19" s="232" t="n">
        <v>0</v>
      </c>
      <c r="CK19" s="223" t="n">
        <v>0</v>
      </c>
      <c r="CL19" s="223" t="n">
        <v>0</v>
      </c>
    </row>
    <row r="20" customFormat="false" ht="20.1" hidden="false" customHeight="true" outlineLevel="2" collapsed="false">
      <c r="A20" s="238" t="s">
        <v>428</v>
      </c>
      <c r="B20" s="238"/>
      <c r="C20" s="238"/>
      <c r="D20" s="238"/>
      <c r="E20" s="238"/>
      <c r="F20" s="238"/>
      <c r="G20" s="275"/>
      <c r="H20" s="275"/>
      <c r="I20" s="239"/>
      <c r="J20" s="241"/>
      <c r="K20" s="241"/>
      <c r="L20" s="243"/>
      <c r="M20" s="243"/>
      <c r="N20" s="243"/>
      <c r="O20" s="242"/>
      <c r="P20" s="243"/>
      <c r="Q20" s="243"/>
      <c r="R20" s="245" t="n">
        <v>0</v>
      </c>
      <c r="S20" s="246" t="n">
        <v>0</v>
      </c>
      <c r="T20" s="245" t="n">
        <v>0</v>
      </c>
      <c r="U20" s="247" t="n">
        <v>119759.214705721</v>
      </c>
      <c r="V20" s="242"/>
      <c r="W20" s="242" t="n">
        <v>0</v>
      </c>
      <c r="X20" s="242" t="n">
        <v>0</v>
      </c>
      <c r="Y20" s="242" t="n">
        <v>0</v>
      </c>
      <c r="Z20" s="242" t="n">
        <v>0</v>
      </c>
      <c r="AA20" s="242" t="n">
        <v>0</v>
      </c>
      <c r="AB20" s="242" t="n">
        <v>0</v>
      </c>
      <c r="AC20" s="247" t="n">
        <v>134229.152140162</v>
      </c>
      <c r="AD20" s="242" t="n">
        <v>-14469.9374344407</v>
      </c>
      <c r="AE20" s="242" t="n">
        <v>0</v>
      </c>
      <c r="AF20" s="242" t="n">
        <v>14469.9374344407</v>
      </c>
      <c r="AG20" s="242" t="n">
        <v>0</v>
      </c>
      <c r="AH20" s="248" t="n">
        <v>-7723.23286703133</v>
      </c>
      <c r="AI20" s="242" t="n">
        <v>0</v>
      </c>
      <c r="AJ20" s="242" t="n">
        <v>7723.23286703133</v>
      </c>
      <c r="AK20" s="249" t="n">
        <v>0</v>
      </c>
      <c r="AL20" s="250"/>
      <c r="AM20" s="242" t="n">
        <v>127482.447572753</v>
      </c>
      <c r="AN20" s="250"/>
      <c r="AO20" s="250"/>
      <c r="AP20" s="242" t="n">
        <v>84870.3860270403</v>
      </c>
      <c r="AQ20" s="251"/>
      <c r="AR20" s="242"/>
      <c r="AS20" s="242"/>
      <c r="AT20" s="242" t="n">
        <v>16957.2132079227</v>
      </c>
      <c r="AU20" s="242" t="n">
        <v>0</v>
      </c>
      <c r="AV20" s="242" t="n">
        <v>-16957.2132079227</v>
      </c>
      <c r="AW20" s="242" t="n">
        <v>0</v>
      </c>
      <c r="AX20" s="242" t="n">
        <v>-7723.23286703133</v>
      </c>
      <c r="AY20" s="242" t="n">
        <v>0</v>
      </c>
      <c r="AZ20" s="242" t="n">
        <v>7723.23286703133</v>
      </c>
      <c r="BA20" s="242" t="n">
        <v>0</v>
      </c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3"/>
      <c r="BR20" s="243"/>
      <c r="BS20" s="253"/>
      <c r="BT20" s="243"/>
      <c r="BU20" s="254"/>
      <c r="BV20" s="243"/>
      <c r="BW20" s="255"/>
      <c r="BX20" s="255"/>
      <c r="BY20" s="242"/>
      <c r="BZ20" s="242"/>
      <c r="CA20" s="242" t="n">
        <v>0</v>
      </c>
      <c r="CB20" s="242"/>
      <c r="CC20" s="242"/>
      <c r="CD20" s="242"/>
      <c r="CE20" s="242"/>
      <c r="CF20" s="242"/>
      <c r="CG20" s="242"/>
      <c r="CH20" s="242"/>
      <c r="CI20" s="242"/>
      <c r="CJ20" s="242"/>
      <c r="CK20" s="243"/>
      <c r="CL20" s="243"/>
    </row>
    <row r="21" customFormat="false" ht="30" hidden="false" customHeight="true" outlineLevel="1" collapsed="false">
      <c r="A21" s="238"/>
      <c r="B21" s="238" t="s">
        <v>429</v>
      </c>
      <c r="C21" s="238"/>
      <c r="D21" s="238"/>
      <c r="E21" s="238"/>
      <c r="F21" s="238"/>
      <c r="G21" s="275"/>
      <c r="H21" s="275"/>
      <c r="I21" s="239"/>
      <c r="J21" s="256"/>
      <c r="K21" s="256"/>
      <c r="L21" s="258"/>
      <c r="M21" s="258"/>
      <c r="N21" s="258"/>
      <c r="O21" s="257"/>
      <c r="P21" s="258"/>
      <c r="Q21" s="258"/>
      <c r="R21" s="260" t="n">
        <v>0</v>
      </c>
      <c r="S21" s="261" t="n">
        <v>0</v>
      </c>
      <c r="T21" s="260" t="n">
        <v>0</v>
      </c>
      <c r="U21" s="262" t="n">
        <v>119759.214705721</v>
      </c>
      <c r="V21" s="257"/>
      <c r="W21" s="257" t="n">
        <v>0</v>
      </c>
      <c r="X21" s="257" t="n">
        <v>0</v>
      </c>
      <c r="Y21" s="257" t="n">
        <v>0</v>
      </c>
      <c r="Z21" s="257" t="n">
        <v>0</v>
      </c>
      <c r="AA21" s="257" t="n">
        <v>0</v>
      </c>
      <c r="AB21" s="257" t="n">
        <v>0</v>
      </c>
      <c r="AC21" s="262" t="n">
        <v>134229.152140162</v>
      </c>
      <c r="AD21" s="257" t="n">
        <v>-14469.9374344407</v>
      </c>
      <c r="AE21" s="257" t="n">
        <v>0</v>
      </c>
      <c r="AF21" s="257" t="n">
        <v>14469.9374344407</v>
      </c>
      <c r="AG21" s="257" t="n">
        <v>0</v>
      </c>
      <c r="AH21" s="263" t="n">
        <v>-7723.23286703133</v>
      </c>
      <c r="AI21" s="257" t="n">
        <v>0</v>
      </c>
      <c r="AJ21" s="257" t="n">
        <v>7723.23286703133</v>
      </c>
      <c r="AK21" s="264" t="n">
        <v>0</v>
      </c>
      <c r="AL21" s="265"/>
      <c r="AM21" s="257" t="n">
        <v>127482.447572753</v>
      </c>
      <c r="AN21" s="265"/>
      <c r="AO21" s="265"/>
      <c r="AP21" s="257" t="n">
        <v>84870.3860270403</v>
      </c>
      <c r="AQ21" s="266"/>
      <c r="AR21" s="257"/>
      <c r="AS21" s="257"/>
      <c r="AT21" s="257" t="n">
        <v>16957.2132079227</v>
      </c>
      <c r="AU21" s="257" t="n">
        <v>0</v>
      </c>
      <c r="AV21" s="257" t="n">
        <v>-16957.2132079227</v>
      </c>
      <c r="AW21" s="257" t="n">
        <v>0</v>
      </c>
      <c r="AX21" s="257" t="n">
        <v>-7723.23286703133</v>
      </c>
      <c r="AY21" s="257" t="n">
        <v>0</v>
      </c>
      <c r="AZ21" s="257" t="n">
        <v>7723.23286703133</v>
      </c>
      <c r="BA21" s="257" t="n">
        <v>0</v>
      </c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8"/>
      <c r="BR21" s="258"/>
      <c r="BS21" s="268"/>
      <c r="BT21" s="258"/>
      <c r="BU21" s="269"/>
      <c r="BV21" s="258"/>
      <c r="BW21" s="270"/>
      <c r="BX21" s="270"/>
      <c r="BY21" s="257"/>
      <c r="BZ21" s="257"/>
      <c r="CA21" s="257" t="n">
        <v>0</v>
      </c>
      <c r="CB21" s="257"/>
      <c r="CC21" s="257"/>
      <c r="CD21" s="257"/>
      <c r="CE21" s="257"/>
      <c r="CF21" s="257"/>
      <c r="CG21" s="257"/>
      <c r="CH21" s="257"/>
      <c r="CI21" s="257"/>
      <c r="CJ21" s="257"/>
      <c r="CK21" s="258"/>
      <c r="CL21" s="258"/>
    </row>
    <row r="22" customFormat="false" ht="15.75" hidden="false" customHeight="false" outlineLevel="3" collapsed="false">
      <c r="A22" s="58" t="s">
        <v>398</v>
      </c>
      <c r="B22" s="58" t="s">
        <v>430</v>
      </c>
      <c r="C22" s="58" t="s">
        <v>431</v>
      </c>
      <c r="D22" s="58" t="s">
        <v>432</v>
      </c>
      <c r="E22" s="58" t="s">
        <v>433</v>
      </c>
      <c r="F22" s="58" t="s">
        <v>380</v>
      </c>
      <c r="G22" s="58" t="s">
        <v>434</v>
      </c>
      <c r="H22" s="58" t="s">
        <v>101</v>
      </c>
      <c r="I22" s="219" t="s">
        <v>404</v>
      </c>
      <c r="J22" s="221" t="n">
        <v>1</v>
      </c>
      <c r="K22" s="221" t="n">
        <v>1</v>
      </c>
      <c r="L22" s="223" t="n">
        <v>0</v>
      </c>
      <c r="M22" s="223" t="n">
        <v>0</v>
      </c>
      <c r="N22" s="223" t="n">
        <v>0</v>
      </c>
      <c r="O22" s="222" t="n">
        <v>1803840</v>
      </c>
      <c r="P22" s="223" t="n">
        <v>1803840</v>
      </c>
      <c r="Q22" s="223" t="n">
        <v>0</v>
      </c>
      <c r="R22" s="225" t="s">
        <v>435</v>
      </c>
      <c r="S22" s="271" t="n">
        <v>1</v>
      </c>
      <c r="T22" s="225" t="n">
        <v>0</v>
      </c>
      <c r="U22" s="227" t="n">
        <v>1803840</v>
      </c>
      <c r="V22" s="222" t="s">
        <v>384</v>
      </c>
      <c r="W22" s="222" t="n">
        <v>0</v>
      </c>
      <c r="X22" s="222" t="n">
        <v>0</v>
      </c>
      <c r="Y22" s="222" t="n">
        <v>0</v>
      </c>
      <c r="Z22" s="222" t="n">
        <v>0</v>
      </c>
      <c r="AA22" s="222" t="n">
        <v>0</v>
      </c>
      <c r="AB22" s="222" t="n">
        <v>0</v>
      </c>
      <c r="AC22" s="227" t="n">
        <v>1803840</v>
      </c>
      <c r="AD22" s="222" t="n">
        <v>0</v>
      </c>
      <c r="AE22" s="222" t="n">
        <v>0</v>
      </c>
      <c r="AF22" s="222" t="n">
        <v>0</v>
      </c>
      <c r="AG22" s="222" t="n">
        <v>0</v>
      </c>
      <c r="AH22" s="228" t="n">
        <v>0</v>
      </c>
      <c r="AI22" s="222" t="n">
        <v>0</v>
      </c>
      <c r="AJ22" s="222" t="n">
        <v>0</v>
      </c>
      <c r="AK22" s="229" t="n">
        <v>0</v>
      </c>
      <c r="AL22" s="230" t="n">
        <v>0</v>
      </c>
      <c r="AM22" s="222" t="n">
        <v>1803840</v>
      </c>
      <c r="AN22" s="223" t="n">
        <v>0</v>
      </c>
      <c r="AO22" s="230" t="n">
        <v>0</v>
      </c>
      <c r="AP22" s="222" t="n">
        <v>1803840</v>
      </c>
      <c r="AQ22" s="231" t="n">
        <v>1</v>
      </c>
      <c r="AR22" s="222" t="n">
        <v>0</v>
      </c>
      <c r="AS22" s="222" t="n">
        <v>1803840</v>
      </c>
      <c r="AT22" s="222" t="n">
        <v>0</v>
      </c>
      <c r="AU22" s="222" t="n">
        <v>0</v>
      </c>
      <c r="AV22" s="222" t="n">
        <v>0</v>
      </c>
      <c r="AW22" s="222" t="n">
        <v>0</v>
      </c>
      <c r="AX22" s="222" t="n">
        <v>0</v>
      </c>
      <c r="AY22" s="222" t="n">
        <v>0</v>
      </c>
      <c r="AZ22" s="222" t="n">
        <v>0</v>
      </c>
      <c r="BA22" s="222" t="n">
        <v>0</v>
      </c>
      <c r="BB22" s="222" t="s">
        <v>380</v>
      </c>
      <c r="BC22" s="222" t="s">
        <v>380</v>
      </c>
      <c r="BD22" s="222" t="n">
        <v>0</v>
      </c>
      <c r="BE22" s="222" t="n">
        <v>0</v>
      </c>
      <c r="BF22" s="222" t="n">
        <v>0</v>
      </c>
      <c r="BG22" s="222" t="n">
        <v>0</v>
      </c>
      <c r="BH22" s="222" t="n">
        <v>0</v>
      </c>
      <c r="BI22" s="222" t="n">
        <v>0</v>
      </c>
      <c r="BJ22" s="222" t="n">
        <v>0</v>
      </c>
      <c r="BK22" s="222" t="n">
        <v>0</v>
      </c>
      <c r="BL22" s="222" t="n">
        <v>1803840</v>
      </c>
      <c r="BM22" s="222" t="s">
        <v>385</v>
      </c>
      <c r="BN22" s="222" t="n">
        <v>0</v>
      </c>
      <c r="BO22" s="232" t="b">
        <f aca="false">FALSE()</f>
        <v>0</v>
      </c>
      <c r="BP22" s="232" t="n">
        <v>0</v>
      </c>
      <c r="BQ22" s="224" t="n">
        <v>0</v>
      </c>
      <c r="BR22" s="223" t="n">
        <v>0</v>
      </c>
      <c r="BS22" s="234" t="n">
        <v>79</v>
      </c>
      <c r="BT22" s="223" t="n">
        <v>0</v>
      </c>
      <c r="BU22" s="235" t="n">
        <v>0</v>
      </c>
      <c r="BV22" s="223" t="n">
        <v>150</v>
      </c>
      <c r="BW22" s="236" t="n">
        <v>0</v>
      </c>
      <c r="BX22" s="236" t="n">
        <v>0</v>
      </c>
      <c r="BY22" s="232" t="n">
        <v>0</v>
      </c>
      <c r="BZ22" s="232" t="n">
        <v>0</v>
      </c>
      <c r="CA22" s="232" t="n">
        <v>0</v>
      </c>
      <c r="CB22" s="232" t="n">
        <v>0</v>
      </c>
      <c r="CC22" s="232" t="n">
        <v>0</v>
      </c>
      <c r="CD22" s="232" t="n">
        <v>0</v>
      </c>
      <c r="CE22" s="232" t="n">
        <v>0</v>
      </c>
      <c r="CF22" s="232" t="n">
        <v>0</v>
      </c>
      <c r="CG22" s="232" t="n">
        <v>0</v>
      </c>
      <c r="CH22" s="232" t="n">
        <v>0</v>
      </c>
      <c r="CI22" s="232" t="n">
        <v>0</v>
      </c>
      <c r="CJ22" s="232" t="n">
        <v>0</v>
      </c>
      <c r="CK22" s="223" t="n">
        <v>0</v>
      </c>
      <c r="CL22" s="223" t="n">
        <v>0</v>
      </c>
    </row>
    <row r="23" customFormat="false" ht="15.75" hidden="false" customHeight="false" outlineLevel="3" collapsed="false">
      <c r="A23" s="58" t="s">
        <v>398</v>
      </c>
      <c r="B23" s="58" t="s">
        <v>430</v>
      </c>
      <c r="C23" s="58" t="s">
        <v>431</v>
      </c>
      <c r="D23" s="58" t="s">
        <v>432</v>
      </c>
      <c r="E23" s="58" t="s">
        <v>436</v>
      </c>
      <c r="F23" s="58" t="s">
        <v>380</v>
      </c>
      <c r="G23" s="58" t="s">
        <v>434</v>
      </c>
      <c r="H23" s="58" t="s">
        <v>101</v>
      </c>
      <c r="I23" s="219" t="s">
        <v>404</v>
      </c>
      <c r="J23" s="221" t="n">
        <v>1</v>
      </c>
      <c r="K23" s="221" t="n">
        <v>1</v>
      </c>
      <c r="L23" s="223" t="n">
        <v>0</v>
      </c>
      <c r="M23" s="223" t="n">
        <v>0</v>
      </c>
      <c r="N23" s="223" t="n">
        <v>0</v>
      </c>
      <c r="O23" s="222" t="n">
        <v>2300803</v>
      </c>
      <c r="P23" s="223" t="n">
        <v>2300803</v>
      </c>
      <c r="Q23" s="223" t="n">
        <v>0</v>
      </c>
      <c r="R23" s="225" t="s">
        <v>437</v>
      </c>
      <c r="S23" s="271" t="n">
        <v>1</v>
      </c>
      <c r="T23" s="225" t="n">
        <v>0</v>
      </c>
      <c r="U23" s="227" t="n">
        <v>2300803</v>
      </c>
      <c r="V23" s="222" t="s">
        <v>384</v>
      </c>
      <c r="W23" s="222" t="n">
        <v>0</v>
      </c>
      <c r="X23" s="222" t="n">
        <v>0</v>
      </c>
      <c r="Y23" s="222" t="n">
        <v>0</v>
      </c>
      <c r="Z23" s="222" t="n">
        <v>0</v>
      </c>
      <c r="AA23" s="222" t="n">
        <v>0</v>
      </c>
      <c r="AB23" s="222" t="n">
        <v>0</v>
      </c>
      <c r="AC23" s="227" t="n">
        <v>2300803</v>
      </c>
      <c r="AD23" s="222" t="n">
        <v>0</v>
      </c>
      <c r="AE23" s="222" t="n">
        <v>0</v>
      </c>
      <c r="AF23" s="222" t="n">
        <v>0</v>
      </c>
      <c r="AG23" s="222" t="n">
        <v>0</v>
      </c>
      <c r="AH23" s="228" t="n">
        <v>0</v>
      </c>
      <c r="AI23" s="222" t="n">
        <v>0</v>
      </c>
      <c r="AJ23" s="222" t="n">
        <v>0</v>
      </c>
      <c r="AK23" s="229" t="n">
        <v>0</v>
      </c>
      <c r="AL23" s="230" t="n">
        <v>0</v>
      </c>
      <c r="AM23" s="222" t="n">
        <v>2300803</v>
      </c>
      <c r="AN23" s="223" t="n">
        <v>0</v>
      </c>
      <c r="AO23" s="230" t="n">
        <v>0</v>
      </c>
      <c r="AP23" s="222" t="n">
        <v>2300803</v>
      </c>
      <c r="AQ23" s="231" t="n">
        <v>1</v>
      </c>
      <c r="AR23" s="222" t="n">
        <v>0</v>
      </c>
      <c r="AS23" s="222" t="n">
        <v>2300803</v>
      </c>
      <c r="AT23" s="222" t="n">
        <v>0</v>
      </c>
      <c r="AU23" s="222" t="n">
        <v>0</v>
      </c>
      <c r="AV23" s="222" t="n">
        <v>0</v>
      </c>
      <c r="AW23" s="222" t="n">
        <v>0</v>
      </c>
      <c r="AX23" s="222" t="n">
        <v>0</v>
      </c>
      <c r="AY23" s="222" t="n">
        <v>0</v>
      </c>
      <c r="AZ23" s="222" t="n">
        <v>0</v>
      </c>
      <c r="BA23" s="222" t="n">
        <v>0</v>
      </c>
      <c r="BB23" s="222" t="s">
        <v>380</v>
      </c>
      <c r="BC23" s="222" t="s">
        <v>380</v>
      </c>
      <c r="BD23" s="222" t="n">
        <v>0</v>
      </c>
      <c r="BE23" s="222" t="n">
        <v>0</v>
      </c>
      <c r="BF23" s="222" t="n">
        <v>0</v>
      </c>
      <c r="BG23" s="222" t="n">
        <v>0</v>
      </c>
      <c r="BH23" s="222" t="n">
        <v>0</v>
      </c>
      <c r="BI23" s="222" t="n">
        <v>0</v>
      </c>
      <c r="BJ23" s="222" t="n">
        <v>0</v>
      </c>
      <c r="BK23" s="222" t="n">
        <v>0</v>
      </c>
      <c r="BL23" s="222" t="n">
        <v>2300803</v>
      </c>
      <c r="BM23" s="222" t="s">
        <v>385</v>
      </c>
      <c r="BN23" s="222" t="n">
        <v>0</v>
      </c>
      <c r="BO23" s="232" t="b">
        <f aca="false">FALSE()</f>
        <v>0</v>
      </c>
      <c r="BP23" s="232" t="n">
        <v>0</v>
      </c>
      <c r="BQ23" s="224" t="n">
        <v>0</v>
      </c>
      <c r="BR23" s="223" t="n">
        <v>0</v>
      </c>
      <c r="BS23" s="234" t="n">
        <v>79</v>
      </c>
      <c r="BT23" s="223" t="n">
        <v>0</v>
      </c>
      <c r="BU23" s="235" t="n">
        <v>0</v>
      </c>
      <c r="BV23" s="223" t="n">
        <v>151</v>
      </c>
      <c r="BW23" s="236" t="n">
        <v>0</v>
      </c>
      <c r="BX23" s="236" t="n">
        <v>0</v>
      </c>
      <c r="BY23" s="232" t="n">
        <v>0</v>
      </c>
      <c r="BZ23" s="232" t="n">
        <v>0</v>
      </c>
      <c r="CA23" s="232" t="n">
        <v>0</v>
      </c>
      <c r="CB23" s="232" t="n">
        <v>0</v>
      </c>
      <c r="CC23" s="232" t="n">
        <v>0</v>
      </c>
      <c r="CD23" s="232" t="n">
        <v>0</v>
      </c>
      <c r="CE23" s="232" t="n">
        <v>0</v>
      </c>
      <c r="CF23" s="232" t="n">
        <v>0</v>
      </c>
      <c r="CG23" s="232" t="n">
        <v>0</v>
      </c>
      <c r="CH23" s="232" t="n">
        <v>0</v>
      </c>
      <c r="CI23" s="232" t="n">
        <v>0</v>
      </c>
      <c r="CJ23" s="232" t="n">
        <v>0</v>
      </c>
      <c r="CK23" s="223" t="n">
        <v>0</v>
      </c>
      <c r="CL23" s="223" t="n">
        <v>0</v>
      </c>
    </row>
    <row r="24" customFormat="false" ht="20.1" hidden="false" customHeight="true" outlineLevel="2" collapsed="false">
      <c r="A24" s="238" t="s">
        <v>418</v>
      </c>
      <c r="B24" s="238"/>
      <c r="C24" s="238"/>
      <c r="D24" s="238"/>
      <c r="E24" s="238"/>
      <c r="F24" s="238"/>
      <c r="G24" s="238"/>
      <c r="H24" s="238"/>
      <c r="I24" s="239"/>
      <c r="J24" s="241"/>
      <c r="K24" s="241"/>
      <c r="L24" s="243"/>
      <c r="M24" s="243"/>
      <c r="N24" s="243"/>
      <c r="O24" s="242"/>
      <c r="P24" s="243"/>
      <c r="Q24" s="243"/>
      <c r="R24" s="245" t="n">
        <v>0</v>
      </c>
      <c r="S24" s="272" t="n">
        <v>2</v>
      </c>
      <c r="T24" s="245" t="n">
        <v>0</v>
      </c>
      <c r="U24" s="247" t="n">
        <v>4104643</v>
      </c>
      <c r="V24" s="242"/>
      <c r="W24" s="242" t="n">
        <v>0</v>
      </c>
      <c r="X24" s="242" t="n">
        <v>0</v>
      </c>
      <c r="Y24" s="242" t="n">
        <v>0</v>
      </c>
      <c r="Z24" s="242" t="n">
        <v>0</v>
      </c>
      <c r="AA24" s="242" t="n">
        <v>0</v>
      </c>
      <c r="AB24" s="242" t="n">
        <v>0</v>
      </c>
      <c r="AC24" s="247" t="n">
        <v>4104643</v>
      </c>
      <c r="AD24" s="242" t="n">
        <v>0</v>
      </c>
      <c r="AE24" s="242" t="n">
        <v>0</v>
      </c>
      <c r="AF24" s="242" t="n">
        <v>0</v>
      </c>
      <c r="AG24" s="242" t="n">
        <v>0</v>
      </c>
      <c r="AH24" s="248" t="n">
        <v>0</v>
      </c>
      <c r="AI24" s="242" t="n">
        <v>0</v>
      </c>
      <c r="AJ24" s="242" t="n">
        <v>0</v>
      </c>
      <c r="AK24" s="249" t="n">
        <v>0</v>
      </c>
      <c r="AL24" s="250"/>
      <c r="AM24" s="242" t="n">
        <v>4104643</v>
      </c>
      <c r="AN24" s="243"/>
      <c r="AO24" s="250"/>
      <c r="AP24" s="242" t="n">
        <v>4104643</v>
      </c>
      <c r="AQ24" s="251"/>
      <c r="AR24" s="242"/>
      <c r="AS24" s="242"/>
      <c r="AT24" s="242" t="n">
        <v>0</v>
      </c>
      <c r="AU24" s="242" t="n">
        <v>0</v>
      </c>
      <c r="AV24" s="242" t="n">
        <v>0</v>
      </c>
      <c r="AW24" s="242" t="n">
        <v>0</v>
      </c>
      <c r="AX24" s="242" t="n">
        <v>0</v>
      </c>
      <c r="AY24" s="242" t="n">
        <v>0</v>
      </c>
      <c r="AZ24" s="242" t="n">
        <v>0</v>
      </c>
      <c r="BA24" s="242" t="n">
        <v>0</v>
      </c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2"/>
      <c r="BM24" s="242"/>
      <c r="BN24" s="242"/>
      <c r="BO24" s="242"/>
      <c r="BP24" s="242"/>
      <c r="BQ24" s="244"/>
      <c r="BR24" s="243"/>
      <c r="BS24" s="253"/>
      <c r="BT24" s="243"/>
      <c r="BU24" s="254"/>
      <c r="BV24" s="243"/>
      <c r="BW24" s="255"/>
      <c r="BX24" s="255"/>
      <c r="BY24" s="242"/>
      <c r="BZ24" s="242"/>
      <c r="CA24" s="242" t="n">
        <v>0</v>
      </c>
      <c r="CB24" s="242"/>
      <c r="CC24" s="242"/>
      <c r="CD24" s="242"/>
      <c r="CE24" s="242"/>
      <c r="CF24" s="242"/>
      <c r="CG24" s="242"/>
      <c r="CH24" s="242"/>
      <c r="CI24" s="242"/>
      <c r="CJ24" s="242"/>
      <c r="CK24" s="243"/>
      <c r="CL24" s="243"/>
    </row>
    <row r="25" customFormat="false" ht="30" hidden="false" customHeight="true" outlineLevel="1" collapsed="false">
      <c r="A25" s="238"/>
      <c r="B25" s="238" t="s">
        <v>438</v>
      </c>
      <c r="C25" s="238"/>
      <c r="D25" s="238"/>
      <c r="E25" s="238"/>
      <c r="F25" s="238"/>
      <c r="G25" s="238"/>
      <c r="H25" s="238"/>
      <c r="I25" s="239"/>
      <c r="J25" s="256"/>
      <c r="K25" s="256"/>
      <c r="L25" s="258"/>
      <c r="M25" s="258"/>
      <c r="N25" s="258"/>
      <c r="O25" s="257"/>
      <c r="P25" s="258"/>
      <c r="Q25" s="258"/>
      <c r="R25" s="260" t="n">
        <v>0</v>
      </c>
      <c r="S25" s="273" t="n">
        <v>2</v>
      </c>
      <c r="T25" s="260" t="n">
        <v>0</v>
      </c>
      <c r="U25" s="262" t="n">
        <v>4104643</v>
      </c>
      <c r="V25" s="257"/>
      <c r="W25" s="257" t="n">
        <v>0</v>
      </c>
      <c r="X25" s="257" t="n">
        <v>0</v>
      </c>
      <c r="Y25" s="257" t="n">
        <v>0</v>
      </c>
      <c r="Z25" s="257" t="n">
        <v>0</v>
      </c>
      <c r="AA25" s="257" t="n">
        <v>0</v>
      </c>
      <c r="AB25" s="257" t="n">
        <v>0</v>
      </c>
      <c r="AC25" s="262" t="n">
        <v>4104643</v>
      </c>
      <c r="AD25" s="257" t="n">
        <v>0</v>
      </c>
      <c r="AE25" s="257" t="n">
        <v>0</v>
      </c>
      <c r="AF25" s="257" t="n">
        <v>0</v>
      </c>
      <c r="AG25" s="257" t="n">
        <v>0</v>
      </c>
      <c r="AH25" s="263" t="n">
        <v>0</v>
      </c>
      <c r="AI25" s="257" t="n">
        <v>0</v>
      </c>
      <c r="AJ25" s="257" t="n">
        <v>0</v>
      </c>
      <c r="AK25" s="264" t="n">
        <v>0</v>
      </c>
      <c r="AL25" s="265"/>
      <c r="AM25" s="257" t="n">
        <v>4104643</v>
      </c>
      <c r="AN25" s="258"/>
      <c r="AO25" s="265"/>
      <c r="AP25" s="257" t="n">
        <v>4104643</v>
      </c>
      <c r="AQ25" s="266"/>
      <c r="AR25" s="257"/>
      <c r="AS25" s="257"/>
      <c r="AT25" s="257" t="n">
        <v>0</v>
      </c>
      <c r="AU25" s="257" t="n">
        <v>0</v>
      </c>
      <c r="AV25" s="257" t="n">
        <v>0</v>
      </c>
      <c r="AW25" s="257" t="n">
        <v>0</v>
      </c>
      <c r="AX25" s="257" t="n">
        <v>0</v>
      </c>
      <c r="AY25" s="257" t="n">
        <v>0</v>
      </c>
      <c r="AZ25" s="257" t="n">
        <v>0</v>
      </c>
      <c r="BA25" s="257" t="n">
        <v>0</v>
      </c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9"/>
      <c r="BR25" s="258"/>
      <c r="BS25" s="268"/>
      <c r="BT25" s="258"/>
      <c r="BU25" s="269"/>
      <c r="BV25" s="258"/>
      <c r="BW25" s="270"/>
      <c r="BX25" s="270"/>
      <c r="BY25" s="257"/>
      <c r="BZ25" s="257"/>
      <c r="CA25" s="257" t="n">
        <v>0</v>
      </c>
      <c r="CB25" s="257"/>
      <c r="CC25" s="257"/>
      <c r="CD25" s="257"/>
      <c r="CE25" s="257"/>
      <c r="CF25" s="257"/>
      <c r="CG25" s="257"/>
      <c r="CH25" s="257"/>
      <c r="CI25" s="257"/>
      <c r="CJ25" s="257"/>
      <c r="CK25" s="258"/>
      <c r="CL25" s="258"/>
    </row>
    <row r="26" customFormat="false" ht="15.75" hidden="false" customHeight="false" outlineLevel="3" collapsed="false">
      <c r="A26" s="58" t="s">
        <v>439</v>
      </c>
      <c r="B26" s="58" t="s">
        <v>440</v>
      </c>
      <c r="C26" s="58" t="s">
        <v>441</v>
      </c>
      <c r="D26" s="58" t="s">
        <v>442</v>
      </c>
      <c r="E26" s="58" t="s">
        <v>443</v>
      </c>
      <c r="F26" s="58" t="s">
        <v>380</v>
      </c>
      <c r="G26" s="58" t="s">
        <v>444</v>
      </c>
      <c r="H26" s="58" t="s">
        <v>101</v>
      </c>
      <c r="I26" s="219" t="s">
        <v>445</v>
      </c>
      <c r="J26" s="221" t="n">
        <v>1</v>
      </c>
      <c r="K26" s="221" t="n">
        <v>1</v>
      </c>
      <c r="L26" s="223" t="n">
        <v>0</v>
      </c>
      <c r="M26" s="223" t="n">
        <v>0</v>
      </c>
      <c r="N26" s="223" t="n">
        <v>0</v>
      </c>
      <c r="O26" s="222" t="n">
        <v>30637565.036478</v>
      </c>
      <c r="P26" s="223" t="n">
        <v>30637565.036478</v>
      </c>
      <c r="Q26" s="223" t="n">
        <v>0</v>
      </c>
      <c r="R26" s="225" t="s">
        <v>446</v>
      </c>
      <c r="S26" s="271" t="n">
        <v>1</v>
      </c>
      <c r="T26" s="225" t="n">
        <v>0</v>
      </c>
      <c r="U26" s="227" t="n">
        <v>30637565.036478</v>
      </c>
      <c r="V26" s="222" t="s">
        <v>384</v>
      </c>
      <c r="W26" s="222" t="n">
        <v>0</v>
      </c>
      <c r="X26" s="222" t="n">
        <v>0</v>
      </c>
      <c r="Y26" s="222" t="n">
        <v>0</v>
      </c>
      <c r="Z26" s="222" t="n">
        <v>0</v>
      </c>
      <c r="AA26" s="222" t="n">
        <v>0</v>
      </c>
      <c r="AB26" s="222" t="n">
        <v>0</v>
      </c>
      <c r="AC26" s="227" t="n">
        <v>30637565.036478</v>
      </c>
      <c r="AD26" s="222" t="n">
        <v>0</v>
      </c>
      <c r="AE26" s="222" t="n">
        <v>0</v>
      </c>
      <c r="AF26" s="222" t="n">
        <v>0</v>
      </c>
      <c r="AG26" s="222" t="n">
        <v>0</v>
      </c>
      <c r="AH26" s="228" t="n">
        <v>-63109023.64</v>
      </c>
      <c r="AI26" s="222" t="n">
        <v>0</v>
      </c>
      <c r="AJ26" s="222" t="n">
        <v>63109023.64</v>
      </c>
      <c r="AK26" s="229" t="n">
        <v>0</v>
      </c>
      <c r="AL26" s="230" t="n">
        <v>0</v>
      </c>
      <c r="AM26" s="222" t="n">
        <v>93746588.676478</v>
      </c>
      <c r="AN26" s="223" t="n">
        <v>0</v>
      </c>
      <c r="AO26" s="230" t="n">
        <v>0</v>
      </c>
      <c r="AP26" s="222" t="n">
        <v>30637565.036478</v>
      </c>
      <c r="AQ26" s="231" t="n">
        <v>1</v>
      </c>
      <c r="AR26" s="222" t="n">
        <v>0</v>
      </c>
      <c r="AS26" s="222" t="n">
        <v>30637565.036478</v>
      </c>
      <c r="AT26" s="222" t="n">
        <v>0</v>
      </c>
      <c r="AU26" s="222" t="n">
        <v>0</v>
      </c>
      <c r="AV26" s="222" t="n">
        <v>0</v>
      </c>
      <c r="AW26" s="222" t="n">
        <v>0</v>
      </c>
      <c r="AX26" s="222" t="n">
        <v>-63109023.64</v>
      </c>
      <c r="AY26" s="222" t="n">
        <v>0</v>
      </c>
      <c r="AZ26" s="222" t="n">
        <v>63109023.64</v>
      </c>
      <c r="BA26" s="222" t="n">
        <v>0</v>
      </c>
      <c r="BB26" s="222" t="s">
        <v>380</v>
      </c>
      <c r="BC26" s="222" t="s">
        <v>380</v>
      </c>
      <c r="BD26" s="222" t="n">
        <v>0</v>
      </c>
      <c r="BE26" s="222" t="n">
        <v>0</v>
      </c>
      <c r="BF26" s="222" t="n">
        <v>0</v>
      </c>
      <c r="BG26" s="222" t="n">
        <v>0</v>
      </c>
      <c r="BH26" s="222" t="n">
        <v>-63109023.64</v>
      </c>
      <c r="BI26" s="222" t="n">
        <v>0</v>
      </c>
      <c r="BJ26" s="222" t="n">
        <v>63109023.64</v>
      </c>
      <c r="BK26" s="222" t="n">
        <v>0</v>
      </c>
      <c r="BL26" s="222" t="n">
        <v>30637565.036478</v>
      </c>
      <c r="BM26" s="222" t="s">
        <v>385</v>
      </c>
      <c r="BN26" s="222" t="n">
        <v>0</v>
      </c>
      <c r="BO26" s="232" t="b">
        <f aca="false">FALSE()</f>
        <v>0</v>
      </c>
      <c r="BP26" s="232" t="n">
        <v>63109023.64</v>
      </c>
      <c r="BQ26" s="224" t="n">
        <v>0</v>
      </c>
      <c r="BR26" s="223" t="n">
        <v>0</v>
      </c>
      <c r="BS26" s="234" t="n">
        <v>80</v>
      </c>
      <c r="BT26" s="223" t="n">
        <v>0</v>
      </c>
      <c r="BU26" s="235" t="n">
        <v>0</v>
      </c>
      <c r="BV26" s="223" t="n">
        <v>171</v>
      </c>
      <c r="BW26" s="236" t="n">
        <v>0</v>
      </c>
      <c r="BX26" s="236" t="n">
        <v>0</v>
      </c>
      <c r="BY26" s="232" t="n">
        <v>0</v>
      </c>
      <c r="BZ26" s="232" t="n">
        <v>0</v>
      </c>
      <c r="CA26" s="232" t="n">
        <v>0</v>
      </c>
      <c r="CB26" s="232" t="n">
        <v>0</v>
      </c>
      <c r="CC26" s="232" t="n">
        <v>0</v>
      </c>
      <c r="CD26" s="232" t="n">
        <v>0</v>
      </c>
      <c r="CE26" s="232" t="n">
        <v>0</v>
      </c>
      <c r="CF26" s="232" t="n">
        <v>0</v>
      </c>
      <c r="CG26" s="232" t="n">
        <v>-63109023.64</v>
      </c>
      <c r="CH26" s="232" t="n">
        <v>0</v>
      </c>
      <c r="CI26" s="232" t="n">
        <v>63109023.64</v>
      </c>
      <c r="CJ26" s="232" t="n">
        <v>0</v>
      </c>
      <c r="CK26" s="223" t="n">
        <v>0</v>
      </c>
      <c r="CL26" s="223" t="n">
        <v>0</v>
      </c>
    </row>
    <row r="27" customFormat="false" ht="20.1" hidden="false" customHeight="true" outlineLevel="2" collapsed="false">
      <c r="A27" s="238" t="s">
        <v>447</v>
      </c>
      <c r="B27" s="238"/>
      <c r="C27" s="238"/>
      <c r="D27" s="238"/>
      <c r="E27" s="238"/>
      <c r="F27" s="238"/>
      <c r="G27" s="238"/>
      <c r="H27" s="238"/>
      <c r="I27" s="239"/>
      <c r="J27" s="241"/>
      <c r="K27" s="241"/>
      <c r="L27" s="243"/>
      <c r="M27" s="243"/>
      <c r="N27" s="243"/>
      <c r="O27" s="242"/>
      <c r="P27" s="243"/>
      <c r="Q27" s="243"/>
      <c r="R27" s="245" t="n">
        <v>0</v>
      </c>
      <c r="S27" s="272" t="n">
        <v>1</v>
      </c>
      <c r="T27" s="245" t="n">
        <v>0</v>
      </c>
      <c r="U27" s="247" t="n">
        <v>30637565.036478</v>
      </c>
      <c r="V27" s="242"/>
      <c r="W27" s="242" t="n">
        <v>0</v>
      </c>
      <c r="X27" s="242" t="n">
        <v>0</v>
      </c>
      <c r="Y27" s="242" t="n">
        <v>0</v>
      </c>
      <c r="Z27" s="242" t="n">
        <v>0</v>
      </c>
      <c r="AA27" s="242" t="n">
        <v>0</v>
      </c>
      <c r="AB27" s="242" t="n">
        <v>0</v>
      </c>
      <c r="AC27" s="247" t="n">
        <v>30637565.036478</v>
      </c>
      <c r="AD27" s="242" t="n">
        <v>0</v>
      </c>
      <c r="AE27" s="242" t="n">
        <v>0</v>
      </c>
      <c r="AF27" s="242" t="n">
        <v>0</v>
      </c>
      <c r="AG27" s="242" t="n">
        <v>0</v>
      </c>
      <c r="AH27" s="248" t="n">
        <v>-63109023.64</v>
      </c>
      <c r="AI27" s="242" t="n">
        <v>0</v>
      </c>
      <c r="AJ27" s="242" t="n">
        <v>63109023.64</v>
      </c>
      <c r="AK27" s="249" t="n">
        <v>0</v>
      </c>
      <c r="AL27" s="250"/>
      <c r="AM27" s="242" t="n">
        <v>93746588.676478</v>
      </c>
      <c r="AN27" s="243"/>
      <c r="AO27" s="250"/>
      <c r="AP27" s="242" t="n">
        <v>30637565.036478</v>
      </c>
      <c r="AQ27" s="251"/>
      <c r="AR27" s="242"/>
      <c r="AS27" s="242"/>
      <c r="AT27" s="242" t="n">
        <v>0</v>
      </c>
      <c r="AU27" s="242" t="n">
        <v>0</v>
      </c>
      <c r="AV27" s="242" t="n">
        <v>0</v>
      </c>
      <c r="AW27" s="242" t="n">
        <v>0</v>
      </c>
      <c r="AX27" s="242" t="n">
        <v>-63109023.64</v>
      </c>
      <c r="AY27" s="242" t="n">
        <v>0</v>
      </c>
      <c r="AZ27" s="242" t="n">
        <v>63109023.64</v>
      </c>
      <c r="BA27" s="242" t="n">
        <v>0</v>
      </c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2"/>
      <c r="BP27" s="242"/>
      <c r="BQ27" s="244"/>
      <c r="BR27" s="243"/>
      <c r="BS27" s="253"/>
      <c r="BT27" s="243"/>
      <c r="BU27" s="254"/>
      <c r="BV27" s="243"/>
      <c r="BW27" s="255"/>
      <c r="BX27" s="255"/>
      <c r="BY27" s="242"/>
      <c r="BZ27" s="242"/>
      <c r="CA27" s="242" t="n">
        <v>0</v>
      </c>
      <c r="CB27" s="242"/>
      <c r="CC27" s="242"/>
      <c r="CD27" s="242"/>
      <c r="CE27" s="242"/>
      <c r="CF27" s="242"/>
      <c r="CG27" s="242"/>
      <c r="CH27" s="242"/>
      <c r="CI27" s="242"/>
      <c r="CJ27" s="242"/>
      <c r="CK27" s="243"/>
      <c r="CL27" s="243"/>
    </row>
    <row r="28" customFormat="false" ht="30" hidden="false" customHeight="true" outlineLevel="1" collapsed="false">
      <c r="A28" s="238"/>
      <c r="B28" s="238" t="s">
        <v>448</v>
      </c>
      <c r="C28" s="238"/>
      <c r="D28" s="238"/>
      <c r="E28" s="238"/>
      <c r="F28" s="238"/>
      <c r="G28" s="238"/>
      <c r="H28" s="238"/>
      <c r="I28" s="239"/>
      <c r="J28" s="256"/>
      <c r="K28" s="256"/>
      <c r="L28" s="258"/>
      <c r="M28" s="258"/>
      <c r="N28" s="258"/>
      <c r="O28" s="257"/>
      <c r="P28" s="258"/>
      <c r="Q28" s="258"/>
      <c r="R28" s="260" t="n">
        <v>0</v>
      </c>
      <c r="S28" s="273" t="n">
        <v>1</v>
      </c>
      <c r="T28" s="260" t="n">
        <v>0</v>
      </c>
      <c r="U28" s="262" t="n">
        <v>30637565.036478</v>
      </c>
      <c r="V28" s="257"/>
      <c r="W28" s="257" t="n">
        <v>0</v>
      </c>
      <c r="X28" s="257" t="n">
        <v>0</v>
      </c>
      <c r="Y28" s="257" t="n">
        <v>0</v>
      </c>
      <c r="Z28" s="257" t="n">
        <v>0</v>
      </c>
      <c r="AA28" s="257" t="n">
        <v>0</v>
      </c>
      <c r="AB28" s="257" t="n">
        <v>0</v>
      </c>
      <c r="AC28" s="262" t="n">
        <v>30637565.036478</v>
      </c>
      <c r="AD28" s="257" t="n">
        <v>0</v>
      </c>
      <c r="AE28" s="257" t="n">
        <v>0</v>
      </c>
      <c r="AF28" s="257" t="n">
        <v>0</v>
      </c>
      <c r="AG28" s="257" t="n">
        <v>0</v>
      </c>
      <c r="AH28" s="263" t="n">
        <v>-63109023.64</v>
      </c>
      <c r="AI28" s="257" t="n">
        <v>0</v>
      </c>
      <c r="AJ28" s="257" t="n">
        <v>63109023.64</v>
      </c>
      <c r="AK28" s="264" t="n">
        <v>0</v>
      </c>
      <c r="AL28" s="265"/>
      <c r="AM28" s="257" t="n">
        <v>93746588.676478</v>
      </c>
      <c r="AN28" s="258"/>
      <c r="AO28" s="265"/>
      <c r="AP28" s="257" t="n">
        <v>30637565.036478</v>
      </c>
      <c r="AQ28" s="266"/>
      <c r="AR28" s="257"/>
      <c r="AS28" s="257"/>
      <c r="AT28" s="257" t="n">
        <v>0</v>
      </c>
      <c r="AU28" s="257" t="n">
        <v>0</v>
      </c>
      <c r="AV28" s="257" t="n">
        <v>0</v>
      </c>
      <c r="AW28" s="257" t="n">
        <v>0</v>
      </c>
      <c r="AX28" s="257" t="n">
        <v>-63109023.64</v>
      </c>
      <c r="AY28" s="257" t="n">
        <v>0</v>
      </c>
      <c r="AZ28" s="257" t="n">
        <v>63109023.64</v>
      </c>
      <c r="BA28" s="257" t="n">
        <v>0</v>
      </c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9"/>
      <c r="BR28" s="258"/>
      <c r="BS28" s="268"/>
      <c r="BT28" s="258"/>
      <c r="BU28" s="269"/>
      <c r="BV28" s="258"/>
      <c r="BW28" s="270"/>
      <c r="BX28" s="270"/>
      <c r="BY28" s="257"/>
      <c r="BZ28" s="257"/>
      <c r="CA28" s="257" t="n">
        <v>0</v>
      </c>
      <c r="CB28" s="257"/>
      <c r="CC28" s="257"/>
      <c r="CD28" s="257"/>
      <c r="CE28" s="257"/>
      <c r="CF28" s="257"/>
      <c r="CG28" s="257"/>
      <c r="CH28" s="257"/>
      <c r="CI28" s="257"/>
      <c r="CJ28" s="257"/>
      <c r="CK28" s="258"/>
      <c r="CL28" s="258"/>
    </row>
    <row r="29" customFormat="false" ht="15.75" hidden="false" customHeight="false" outlineLevel="3" collapsed="false">
      <c r="A29" s="58" t="s">
        <v>449</v>
      </c>
      <c r="B29" s="58" t="s">
        <v>450</v>
      </c>
      <c r="C29" s="58" t="s">
        <v>451</v>
      </c>
      <c r="D29" s="58" t="s">
        <v>452</v>
      </c>
      <c r="E29" s="58" t="s">
        <v>453</v>
      </c>
      <c r="F29" s="58" t="s">
        <v>454</v>
      </c>
      <c r="G29" s="58" t="s">
        <v>455</v>
      </c>
      <c r="H29" s="58" t="s">
        <v>99</v>
      </c>
      <c r="I29" s="219" t="s">
        <v>382</v>
      </c>
      <c r="J29" s="221" t="n">
        <v>1021107</v>
      </c>
      <c r="K29" s="221" t="n">
        <v>1021107</v>
      </c>
      <c r="L29" s="223" t="n">
        <v>0</v>
      </c>
      <c r="M29" s="223" t="n">
        <v>0</v>
      </c>
      <c r="N29" s="223" t="n">
        <v>1</v>
      </c>
      <c r="O29" s="222" t="n">
        <v>17.5625</v>
      </c>
      <c r="P29" s="224" t="n">
        <v>18.75</v>
      </c>
      <c r="Q29" s="224" t="n">
        <v>-1.1875</v>
      </c>
      <c r="R29" s="225" t="s">
        <v>456</v>
      </c>
      <c r="S29" s="226" t="n">
        <v>1</v>
      </c>
      <c r="T29" s="225" t="n">
        <v>0</v>
      </c>
      <c r="U29" s="227" t="n">
        <v>17933191.6875</v>
      </c>
      <c r="V29" s="222" t="s">
        <v>384</v>
      </c>
      <c r="W29" s="222" t="n">
        <v>0</v>
      </c>
      <c r="X29" s="222" t="n">
        <v>0</v>
      </c>
      <c r="Y29" s="222" t="n">
        <v>0</v>
      </c>
      <c r="Z29" s="222" t="n">
        <v>0</v>
      </c>
      <c r="AA29" s="222" t="n">
        <v>0</v>
      </c>
      <c r="AB29" s="222" t="n">
        <v>0</v>
      </c>
      <c r="AC29" s="227" t="n">
        <v>19145756.25</v>
      </c>
      <c r="AD29" s="222" t="n">
        <v>-1212564.5625</v>
      </c>
      <c r="AE29" s="222" t="n">
        <v>0</v>
      </c>
      <c r="AF29" s="222" t="n">
        <v>1212564.5625</v>
      </c>
      <c r="AG29" s="222" t="n">
        <v>0</v>
      </c>
      <c r="AH29" s="228" t="n">
        <v>-3617693.265</v>
      </c>
      <c r="AI29" s="222" t="n">
        <v>0</v>
      </c>
      <c r="AJ29" s="222" t="n">
        <v>3617693.265</v>
      </c>
      <c r="AK29" s="229" t="n">
        <v>0</v>
      </c>
      <c r="AL29" s="230" t="n">
        <v>0</v>
      </c>
      <c r="AM29" s="222" t="n">
        <v>28000652.0625</v>
      </c>
      <c r="AN29" s="223" t="n">
        <v>0</v>
      </c>
      <c r="AO29" s="230" t="n">
        <v>0</v>
      </c>
      <c r="AP29" s="222" t="n">
        <v>79135746</v>
      </c>
      <c r="AQ29" s="231" t="n">
        <v>1</v>
      </c>
      <c r="AR29" s="222" t="n">
        <v>17933191.6875</v>
      </c>
      <c r="AS29" s="222" t="n">
        <v>17.5625</v>
      </c>
      <c r="AT29" s="222" t="n">
        <v>-2361309.9375</v>
      </c>
      <c r="AU29" s="222" t="n">
        <v>0</v>
      </c>
      <c r="AV29" s="222" t="n">
        <v>2361309.9375</v>
      </c>
      <c r="AW29" s="222" t="n">
        <v>0</v>
      </c>
      <c r="AX29" s="222" t="n">
        <v>-3617693.265</v>
      </c>
      <c r="AY29" s="222" t="n">
        <v>0</v>
      </c>
      <c r="AZ29" s="222" t="n">
        <v>3617693.265</v>
      </c>
      <c r="BA29" s="222" t="n">
        <v>0</v>
      </c>
      <c r="BB29" s="222" t="n">
        <v>17.5625</v>
      </c>
      <c r="BC29" s="222" t="n">
        <v>18.75</v>
      </c>
      <c r="BD29" s="222" t="n">
        <v>-1148745.375</v>
      </c>
      <c r="BE29" s="222" t="n">
        <v>0</v>
      </c>
      <c r="BF29" s="222" t="n">
        <v>1148745.375</v>
      </c>
      <c r="BG29" s="222" t="n">
        <v>0</v>
      </c>
      <c r="BH29" s="222" t="n">
        <v>-2405128.7025</v>
      </c>
      <c r="BI29" s="222" t="n">
        <v>0</v>
      </c>
      <c r="BJ29" s="222" t="n">
        <v>2405128.7025</v>
      </c>
      <c r="BK29" s="222" t="n">
        <v>0</v>
      </c>
      <c r="BL29" s="222" t="n">
        <v>79135746</v>
      </c>
      <c r="BM29" s="222" t="s">
        <v>395</v>
      </c>
      <c r="BN29" s="222" t="n">
        <v>0</v>
      </c>
      <c r="BO29" s="232" t="b">
        <f aca="false">FALSE()</f>
        <v>0</v>
      </c>
      <c r="BP29" s="232" t="n">
        <v>2405128.7025</v>
      </c>
      <c r="BQ29" s="224" t="n">
        <v>0</v>
      </c>
      <c r="BR29" s="223" t="n">
        <v>0</v>
      </c>
      <c r="BS29" s="234" t="n">
        <v>72</v>
      </c>
      <c r="BT29" s="223" t="n">
        <v>-1212564.5625</v>
      </c>
      <c r="BU29" s="235" t="n">
        <v>0</v>
      </c>
      <c r="BV29" s="223" t="n">
        <v>25</v>
      </c>
      <c r="BW29" s="236" t="n">
        <v>17.5625</v>
      </c>
      <c r="BX29" s="236" t="n">
        <v>0</v>
      </c>
      <c r="BY29" s="232" t="n">
        <v>0</v>
      </c>
      <c r="BZ29" s="232" t="n">
        <v>0</v>
      </c>
      <c r="CA29" s="232" t="n">
        <v>-6449767.11</v>
      </c>
      <c r="CB29" s="232" t="n">
        <v>-6449767.11</v>
      </c>
      <c r="CC29" s="232" t="n">
        <v>0</v>
      </c>
      <c r="CD29" s="232" t="n">
        <v>0</v>
      </c>
      <c r="CE29" s="232" t="n">
        <v>0</v>
      </c>
      <c r="CF29" s="232" t="n">
        <v>0</v>
      </c>
      <c r="CG29" s="232" t="n">
        <v>-2405128.7025</v>
      </c>
      <c r="CH29" s="232" t="n">
        <v>0</v>
      </c>
      <c r="CI29" s="232" t="n">
        <v>2405128.7025</v>
      </c>
      <c r="CJ29" s="232" t="n">
        <v>0</v>
      </c>
      <c r="CK29" s="223" t="n">
        <v>0</v>
      </c>
      <c r="CL29" s="223" t="n">
        <v>0</v>
      </c>
    </row>
    <row r="30" customFormat="false" ht="20.1" hidden="false" customHeight="true" outlineLevel="2" collapsed="false">
      <c r="A30" s="238" t="s">
        <v>457</v>
      </c>
      <c r="B30" s="238"/>
      <c r="C30" s="238"/>
      <c r="D30" s="238"/>
      <c r="E30" s="238"/>
      <c r="F30" s="238"/>
      <c r="G30" s="238"/>
      <c r="H30" s="238"/>
      <c r="I30" s="239"/>
      <c r="J30" s="241"/>
      <c r="K30" s="241"/>
      <c r="L30" s="243"/>
      <c r="M30" s="243"/>
      <c r="N30" s="243"/>
      <c r="O30" s="242"/>
      <c r="P30" s="244"/>
      <c r="Q30" s="244"/>
      <c r="R30" s="245" t="n">
        <v>0</v>
      </c>
      <c r="S30" s="246" t="n">
        <v>1</v>
      </c>
      <c r="T30" s="245" t="n">
        <v>0</v>
      </c>
      <c r="U30" s="247" t="n">
        <v>17933191.6875</v>
      </c>
      <c r="V30" s="242"/>
      <c r="W30" s="242" t="n">
        <v>0</v>
      </c>
      <c r="X30" s="242" t="n">
        <v>0</v>
      </c>
      <c r="Y30" s="242" t="n">
        <v>0</v>
      </c>
      <c r="Z30" s="242" t="n">
        <v>0</v>
      </c>
      <c r="AA30" s="242" t="n">
        <v>0</v>
      </c>
      <c r="AB30" s="242" t="n">
        <v>0</v>
      </c>
      <c r="AC30" s="247" t="n">
        <v>19145756.25</v>
      </c>
      <c r="AD30" s="242" t="n">
        <v>-1212564.5625</v>
      </c>
      <c r="AE30" s="242" t="n">
        <v>0</v>
      </c>
      <c r="AF30" s="242" t="n">
        <v>1212564.5625</v>
      </c>
      <c r="AG30" s="242" t="n">
        <v>0</v>
      </c>
      <c r="AH30" s="248" t="n">
        <v>-3617693.265</v>
      </c>
      <c r="AI30" s="242" t="n">
        <v>0</v>
      </c>
      <c r="AJ30" s="242" t="n">
        <v>3617693.265</v>
      </c>
      <c r="AK30" s="249" t="n">
        <v>0</v>
      </c>
      <c r="AL30" s="250"/>
      <c r="AM30" s="242" t="n">
        <v>28000652.0625</v>
      </c>
      <c r="AN30" s="243"/>
      <c r="AO30" s="250"/>
      <c r="AP30" s="242" t="n">
        <v>79135746</v>
      </c>
      <c r="AQ30" s="251"/>
      <c r="AR30" s="242"/>
      <c r="AS30" s="242"/>
      <c r="AT30" s="242" t="n">
        <v>-2361309.9375</v>
      </c>
      <c r="AU30" s="242" t="n">
        <v>0</v>
      </c>
      <c r="AV30" s="242" t="n">
        <v>2361309.9375</v>
      </c>
      <c r="AW30" s="242" t="n">
        <v>0</v>
      </c>
      <c r="AX30" s="242" t="n">
        <v>-3617693.265</v>
      </c>
      <c r="AY30" s="242" t="n">
        <v>0</v>
      </c>
      <c r="AZ30" s="242" t="n">
        <v>3617693.265</v>
      </c>
      <c r="BA30" s="242" t="n">
        <v>0</v>
      </c>
      <c r="BB30" s="242"/>
      <c r="BC30" s="242"/>
      <c r="BD30" s="242"/>
      <c r="BE30" s="242"/>
      <c r="BF30" s="242"/>
      <c r="BG30" s="242"/>
      <c r="BH30" s="242"/>
      <c r="BI30" s="242"/>
      <c r="BJ30" s="242"/>
      <c r="BK30" s="242"/>
      <c r="BL30" s="242"/>
      <c r="BM30" s="242"/>
      <c r="BN30" s="242"/>
      <c r="BO30" s="242"/>
      <c r="BP30" s="242"/>
      <c r="BQ30" s="244"/>
      <c r="BR30" s="243"/>
      <c r="BS30" s="253"/>
      <c r="BT30" s="243"/>
      <c r="BU30" s="254"/>
      <c r="BV30" s="243"/>
      <c r="BW30" s="255"/>
      <c r="BX30" s="255"/>
      <c r="BY30" s="242"/>
      <c r="BZ30" s="242"/>
      <c r="CA30" s="242" t="n">
        <v>-6449767.11</v>
      </c>
      <c r="CB30" s="242"/>
      <c r="CC30" s="242"/>
      <c r="CD30" s="242"/>
      <c r="CE30" s="242"/>
      <c r="CF30" s="242"/>
      <c r="CG30" s="242"/>
      <c r="CH30" s="242"/>
      <c r="CI30" s="242"/>
      <c r="CJ30" s="242"/>
      <c r="CK30" s="243"/>
      <c r="CL30" s="243"/>
    </row>
    <row r="31" customFormat="false" ht="30" hidden="false" customHeight="true" outlineLevel="1" collapsed="false">
      <c r="A31" s="238"/>
      <c r="B31" s="238" t="s">
        <v>458</v>
      </c>
      <c r="C31" s="238"/>
      <c r="D31" s="238"/>
      <c r="E31" s="238"/>
      <c r="F31" s="238"/>
      <c r="G31" s="238"/>
      <c r="H31" s="238"/>
      <c r="I31" s="239"/>
      <c r="J31" s="256"/>
      <c r="K31" s="256"/>
      <c r="L31" s="258"/>
      <c r="M31" s="258"/>
      <c r="N31" s="258"/>
      <c r="O31" s="257"/>
      <c r="P31" s="259"/>
      <c r="Q31" s="259"/>
      <c r="R31" s="260" t="n">
        <v>0</v>
      </c>
      <c r="S31" s="261" t="n">
        <v>1</v>
      </c>
      <c r="T31" s="260" t="n">
        <v>0</v>
      </c>
      <c r="U31" s="262" t="n">
        <v>17933191.6875</v>
      </c>
      <c r="V31" s="257"/>
      <c r="W31" s="257" t="n">
        <v>0</v>
      </c>
      <c r="X31" s="257" t="n">
        <v>0</v>
      </c>
      <c r="Y31" s="257" t="n">
        <v>0</v>
      </c>
      <c r="Z31" s="257" t="n">
        <v>0</v>
      </c>
      <c r="AA31" s="257" t="n">
        <v>0</v>
      </c>
      <c r="AB31" s="257" t="n">
        <v>0</v>
      </c>
      <c r="AC31" s="262" t="n">
        <v>19145756.25</v>
      </c>
      <c r="AD31" s="257" t="n">
        <v>-1212564.5625</v>
      </c>
      <c r="AE31" s="257" t="n">
        <v>0</v>
      </c>
      <c r="AF31" s="257" t="n">
        <v>1212564.5625</v>
      </c>
      <c r="AG31" s="257" t="n">
        <v>0</v>
      </c>
      <c r="AH31" s="263" t="n">
        <v>-3617693.265</v>
      </c>
      <c r="AI31" s="257" t="n">
        <v>0</v>
      </c>
      <c r="AJ31" s="257" t="n">
        <v>3617693.265</v>
      </c>
      <c r="AK31" s="264" t="n">
        <v>0</v>
      </c>
      <c r="AL31" s="265"/>
      <c r="AM31" s="257" t="n">
        <v>28000652.0625</v>
      </c>
      <c r="AN31" s="258"/>
      <c r="AO31" s="265"/>
      <c r="AP31" s="257" t="n">
        <v>79135746</v>
      </c>
      <c r="AQ31" s="266"/>
      <c r="AR31" s="257"/>
      <c r="AS31" s="257"/>
      <c r="AT31" s="257" t="n">
        <v>-2361309.9375</v>
      </c>
      <c r="AU31" s="257" t="n">
        <v>0</v>
      </c>
      <c r="AV31" s="257" t="n">
        <v>2361309.9375</v>
      </c>
      <c r="AW31" s="257" t="n">
        <v>0</v>
      </c>
      <c r="AX31" s="257" t="n">
        <v>-3617693.265</v>
      </c>
      <c r="AY31" s="257" t="n">
        <v>0</v>
      </c>
      <c r="AZ31" s="257" t="n">
        <v>3617693.265</v>
      </c>
      <c r="BA31" s="257" t="n">
        <v>0</v>
      </c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9"/>
      <c r="BR31" s="258"/>
      <c r="BS31" s="268"/>
      <c r="BT31" s="258"/>
      <c r="BU31" s="269"/>
      <c r="BV31" s="258"/>
      <c r="BW31" s="270"/>
      <c r="BX31" s="270"/>
      <c r="BY31" s="257"/>
      <c r="BZ31" s="257"/>
      <c r="CA31" s="257" t="n">
        <v>-6449767.11</v>
      </c>
      <c r="CB31" s="257"/>
      <c r="CC31" s="257"/>
      <c r="CD31" s="257"/>
      <c r="CE31" s="257"/>
      <c r="CF31" s="257"/>
      <c r="CG31" s="257"/>
      <c r="CH31" s="257"/>
      <c r="CI31" s="257"/>
      <c r="CJ31" s="257"/>
      <c r="CK31" s="258"/>
      <c r="CL31" s="258"/>
    </row>
    <row r="32" customFormat="false" ht="15.75" hidden="false" customHeight="false" outlineLevel="3" collapsed="false">
      <c r="A32" s="58" t="s">
        <v>459</v>
      </c>
      <c r="B32" s="58" t="s">
        <v>460</v>
      </c>
      <c r="C32" s="58" t="s">
        <v>461</v>
      </c>
      <c r="D32" s="58" t="s">
        <v>462</v>
      </c>
      <c r="E32" s="58" t="s">
        <v>463</v>
      </c>
      <c r="F32" s="58" t="s">
        <v>380</v>
      </c>
      <c r="G32" s="58" t="s">
        <v>426</v>
      </c>
      <c r="H32" s="58" t="s">
        <v>101</v>
      </c>
      <c r="I32" s="219" t="s">
        <v>404</v>
      </c>
      <c r="J32" s="221" t="n">
        <v>1</v>
      </c>
      <c r="K32" s="221" t="n">
        <v>1</v>
      </c>
      <c r="L32" s="223" t="n">
        <v>0</v>
      </c>
      <c r="M32" s="223" t="n">
        <v>0</v>
      </c>
      <c r="N32" s="223" t="n">
        <v>0</v>
      </c>
      <c r="O32" s="222" t="n">
        <v>2848429.66708</v>
      </c>
      <c r="P32" s="223" t="n">
        <v>2848429.66708</v>
      </c>
      <c r="Q32" s="223" t="n">
        <v>0</v>
      </c>
      <c r="R32" s="225" t="n">
        <v>0</v>
      </c>
      <c r="S32" s="226" t="n">
        <v>0</v>
      </c>
      <c r="T32" s="225" t="n">
        <v>0</v>
      </c>
      <c r="U32" s="227" t="n">
        <v>2848429.66708</v>
      </c>
      <c r="V32" s="222" t="s">
        <v>384</v>
      </c>
      <c r="W32" s="222" t="n">
        <v>0</v>
      </c>
      <c r="X32" s="222" t="n">
        <v>0</v>
      </c>
      <c r="Y32" s="222" t="n">
        <v>0</v>
      </c>
      <c r="Z32" s="222" t="n">
        <v>0</v>
      </c>
      <c r="AA32" s="222" t="n">
        <v>0</v>
      </c>
      <c r="AB32" s="222" t="n">
        <v>0</v>
      </c>
      <c r="AC32" s="227" t="n">
        <v>2848429.66708</v>
      </c>
      <c r="AD32" s="222" t="n">
        <v>0</v>
      </c>
      <c r="AE32" s="222" t="n">
        <v>0</v>
      </c>
      <c r="AF32" s="222" t="n">
        <v>0</v>
      </c>
      <c r="AG32" s="222" t="n">
        <v>0</v>
      </c>
      <c r="AH32" s="228" t="n">
        <v>0</v>
      </c>
      <c r="AI32" s="222" t="n">
        <v>0</v>
      </c>
      <c r="AJ32" s="222" t="n">
        <v>0</v>
      </c>
      <c r="AK32" s="229" t="n">
        <v>0</v>
      </c>
      <c r="AL32" s="230" t="n">
        <v>0</v>
      </c>
      <c r="AM32" s="222" t="n">
        <v>2807236.89</v>
      </c>
      <c r="AN32" s="223" t="n">
        <v>0</v>
      </c>
      <c r="AO32" s="230" t="n">
        <v>0</v>
      </c>
      <c r="AP32" s="222" t="n">
        <v>2807236.89</v>
      </c>
      <c r="AQ32" s="231" t="n">
        <v>1</v>
      </c>
      <c r="AR32" s="222" t="n">
        <v>0</v>
      </c>
      <c r="AS32" s="222" t="n">
        <v>2848429.66708</v>
      </c>
      <c r="AT32" s="222" t="n">
        <v>0</v>
      </c>
      <c r="AU32" s="222" t="n">
        <v>0</v>
      </c>
      <c r="AV32" s="222" t="n">
        <v>0</v>
      </c>
      <c r="AW32" s="222" t="n">
        <v>0</v>
      </c>
      <c r="AX32" s="222" t="n">
        <v>0</v>
      </c>
      <c r="AY32" s="222" t="n">
        <v>0</v>
      </c>
      <c r="AZ32" s="222" t="n">
        <v>0</v>
      </c>
      <c r="BA32" s="222" t="n">
        <v>0</v>
      </c>
      <c r="BB32" s="222" t="s">
        <v>380</v>
      </c>
      <c r="BC32" s="222" t="s">
        <v>380</v>
      </c>
      <c r="BD32" s="222" t="n">
        <v>0</v>
      </c>
      <c r="BE32" s="222" t="n">
        <v>0</v>
      </c>
      <c r="BF32" s="222" t="n">
        <v>0</v>
      </c>
      <c r="BG32" s="222" t="n">
        <v>0</v>
      </c>
      <c r="BH32" s="222" t="n">
        <v>0</v>
      </c>
      <c r="BI32" s="222" t="n">
        <v>0</v>
      </c>
      <c r="BJ32" s="222" t="n">
        <v>0</v>
      </c>
      <c r="BK32" s="222" t="n">
        <v>0</v>
      </c>
      <c r="BL32" s="222" t="n">
        <v>2807236.89</v>
      </c>
      <c r="BM32" s="222" t="s">
        <v>385</v>
      </c>
      <c r="BN32" s="222" t="n">
        <v>0</v>
      </c>
      <c r="BO32" s="232" t="b">
        <f aca="false">FALSE()</f>
        <v>0</v>
      </c>
      <c r="BP32" s="232" t="n">
        <v>0</v>
      </c>
      <c r="BQ32" s="224" t="n">
        <v>0</v>
      </c>
      <c r="BR32" s="223" t="n">
        <v>0</v>
      </c>
      <c r="BS32" s="234" t="n">
        <v>39</v>
      </c>
      <c r="BT32" s="223" t="n">
        <v>0</v>
      </c>
      <c r="BU32" s="235" t="n">
        <v>0</v>
      </c>
      <c r="BV32" s="223" t="n">
        <v>188</v>
      </c>
      <c r="BW32" s="236" t="n">
        <v>0</v>
      </c>
      <c r="BX32" s="236" t="n">
        <v>0</v>
      </c>
      <c r="BY32" s="232" t="n">
        <v>0</v>
      </c>
      <c r="BZ32" s="232" t="n">
        <v>0</v>
      </c>
      <c r="CA32" s="232" t="n">
        <v>41192.77708</v>
      </c>
      <c r="CB32" s="232" t="n">
        <v>41192.77708</v>
      </c>
      <c r="CC32" s="232" t="n">
        <v>0</v>
      </c>
      <c r="CD32" s="232" t="n">
        <v>0</v>
      </c>
      <c r="CE32" s="232" t="n">
        <v>0</v>
      </c>
      <c r="CF32" s="232" t="n">
        <v>0</v>
      </c>
      <c r="CG32" s="232" t="n">
        <v>0</v>
      </c>
      <c r="CH32" s="232" t="n">
        <v>0</v>
      </c>
      <c r="CI32" s="232" t="n">
        <v>0</v>
      </c>
      <c r="CJ32" s="232" t="n">
        <v>0</v>
      </c>
      <c r="CK32" s="223" t="n">
        <v>0</v>
      </c>
      <c r="CL32" s="223" t="n">
        <v>0</v>
      </c>
    </row>
    <row r="33" customFormat="false" ht="20.1" hidden="false" customHeight="true" outlineLevel="2" collapsed="false">
      <c r="A33" s="238" t="s">
        <v>464</v>
      </c>
      <c r="B33" s="238"/>
      <c r="C33" s="238"/>
      <c r="D33" s="238"/>
      <c r="E33" s="238"/>
      <c r="F33" s="238"/>
      <c r="G33" s="238"/>
      <c r="H33" s="238"/>
      <c r="I33" s="239"/>
      <c r="J33" s="241"/>
      <c r="K33" s="241"/>
      <c r="L33" s="243"/>
      <c r="M33" s="243"/>
      <c r="N33" s="243"/>
      <c r="O33" s="242"/>
      <c r="P33" s="243"/>
      <c r="Q33" s="243"/>
      <c r="R33" s="245" t="n">
        <v>0</v>
      </c>
      <c r="S33" s="246" t="n">
        <v>0</v>
      </c>
      <c r="T33" s="245" t="n">
        <v>0</v>
      </c>
      <c r="U33" s="247" t="n">
        <v>2848429.66708</v>
      </c>
      <c r="V33" s="242"/>
      <c r="W33" s="242" t="n">
        <v>0</v>
      </c>
      <c r="X33" s="242" t="n">
        <v>0</v>
      </c>
      <c r="Y33" s="242" t="n">
        <v>0</v>
      </c>
      <c r="Z33" s="242" t="n">
        <v>0</v>
      </c>
      <c r="AA33" s="242" t="n">
        <v>0</v>
      </c>
      <c r="AB33" s="242" t="n">
        <v>0</v>
      </c>
      <c r="AC33" s="247" t="n">
        <v>2848429.66708</v>
      </c>
      <c r="AD33" s="242" t="n">
        <v>0</v>
      </c>
      <c r="AE33" s="242" t="n">
        <v>0</v>
      </c>
      <c r="AF33" s="242" t="n">
        <v>0</v>
      </c>
      <c r="AG33" s="242" t="n">
        <v>0</v>
      </c>
      <c r="AH33" s="248" t="n">
        <v>0</v>
      </c>
      <c r="AI33" s="242" t="n">
        <v>0</v>
      </c>
      <c r="AJ33" s="242" t="n">
        <v>0</v>
      </c>
      <c r="AK33" s="249" t="n">
        <v>0</v>
      </c>
      <c r="AL33" s="250"/>
      <c r="AM33" s="242" t="n">
        <v>2807236.89</v>
      </c>
      <c r="AN33" s="243"/>
      <c r="AO33" s="250"/>
      <c r="AP33" s="242" t="n">
        <v>2807236.89</v>
      </c>
      <c r="AQ33" s="251"/>
      <c r="AR33" s="242"/>
      <c r="AS33" s="242"/>
      <c r="AT33" s="242" t="n">
        <v>0</v>
      </c>
      <c r="AU33" s="242" t="n">
        <v>0</v>
      </c>
      <c r="AV33" s="242" t="n">
        <v>0</v>
      </c>
      <c r="AW33" s="242" t="n">
        <v>0</v>
      </c>
      <c r="AX33" s="242" t="n">
        <v>0</v>
      </c>
      <c r="AY33" s="242" t="n">
        <v>0</v>
      </c>
      <c r="AZ33" s="242" t="n">
        <v>0</v>
      </c>
      <c r="BA33" s="242" t="n">
        <v>0</v>
      </c>
      <c r="BB33" s="242"/>
      <c r="BC33" s="242"/>
      <c r="BD33" s="242"/>
      <c r="BE33" s="242"/>
      <c r="BF33" s="242"/>
      <c r="BG33" s="242"/>
      <c r="BH33" s="242"/>
      <c r="BI33" s="242"/>
      <c r="BJ33" s="242"/>
      <c r="BK33" s="242"/>
      <c r="BL33" s="242"/>
      <c r="BM33" s="242"/>
      <c r="BN33" s="242"/>
      <c r="BO33" s="242"/>
      <c r="BP33" s="242"/>
      <c r="BQ33" s="244"/>
      <c r="BR33" s="243"/>
      <c r="BS33" s="253"/>
      <c r="BT33" s="243"/>
      <c r="BU33" s="254"/>
      <c r="BV33" s="243"/>
      <c r="BW33" s="255"/>
      <c r="BX33" s="255"/>
      <c r="BY33" s="242"/>
      <c r="BZ33" s="242"/>
      <c r="CA33" s="242" t="n">
        <v>41192.77708</v>
      </c>
      <c r="CB33" s="242"/>
      <c r="CC33" s="242"/>
      <c r="CD33" s="242"/>
      <c r="CE33" s="242"/>
      <c r="CF33" s="242"/>
      <c r="CG33" s="242"/>
      <c r="CH33" s="242"/>
      <c r="CI33" s="242"/>
      <c r="CJ33" s="242"/>
      <c r="CK33" s="243"/>
      <c r="CL33" s="243"/>
    </row>
    <row r="34" customFormat="false" ht="15.75" hidden="false" customHeight="false" outlineLevel="3" collapsed="false">
      <c r="A34" s="58" t="s">
        <v>465</v>
      </c>
      <c r="B34" s="58" t="s">
        <v>460</v>
      </c>
      <c r="C34" s="58" t="s">
        <v>466</v>
      </c>
      <c r="D34" s="58" t="s">
        <v>467</v>
      </c>
      <c r="E34" s="58" t="s">
        <v>468</v>
      </c>
      <c r="F34" s="58" t="s">
        <v>469</v>
      </c>
      <c r="G34" s="274" t="s">
        <v>426</v>
      </c>
      <c r="H34" s="274" t="s">
        <v>99</v>
      </c>
      <c r="I34" s="219" t="s">
        <v>382</v>
      </c>
      <c r="J34" s="221" t="n">
        <v>6101.0292</v>
      </c>
      <c r="K34" s="221" t="n">
        <v>6101.0292</v>
      </c>
      <c r="L34" s="223" t="n">
        <v>0</v>
      </c>
      <c r="M34" s="223" t="n">
        <v>0</v>
      </c>
      <c r="N34" s="223" t="n">
        <v>1</v>
      </c>
      <c r="O34" s="222" t="n">
        <v>8.3125</v>
      </c>
      <c r="P34" s="224" t="n">
        <v>8.1875</v>
      </c>
      <c r="Q34" s="224" t="n">
        <v>0.125</v>
      </c>
      <c r="R34" s="225" t="n">
        <v>0</v>
      </c>
      <c r="S34" s="226" t="n">
        <v>0</v>
      </c>
      <c r="T34" s="225" t="n">
        <v>0</v>
      </c>
      <c r="U34" s="227" t="n">
        <v>50714.805225</v>
      </c>
      <c r="V34" s="222" t="s">
        <v>384</v>
      </c>
      <c r="W34" s="222" t="n">
        <v>0</v>
      </c>
      <c r="X34" s="222" t="n">
        <v>0</v>
      </c>
      <c r="Y34" s="222" t="n">
        <v>0</v>
      </c>
      <c r="Z34" s="222" t="n">
        <v>0</v>
      </c>
      <c r="AA34" s="222" t="n">
        <v>0</v>
      </c>
      <c r="AB34" s="222" t="n">
        <v>0</v>
      </c>
      <c r="AC34" s="227" t="n">
        <v>49952.176575</v>
      </c>
      <c r="AD34" s="222" t="n">
        <v>762.628650000006</v>
      </c>
      <c r="AE34" s="222" t="n">
        <v>0</v>
      </c>
      <c r="AF34" s="222" t="n">
        <v>-762.628650000006</v>
      </c>
      <c r="AG34" s="222" t="n">
        <v>0</v>
      </c>
      <c r="AH34" s="228" t="n">
        <v>2669.200275</v>
      </c>
      <c r="AI34" s="222" t="n">
        <v>0</v>
      </c>
      <c r="AJ34" s="222" t="n">
        <v>-2669.200275</v>
      </c>
      <c r="AK34" s="229" t="n">
        <v>0</v>
      </c>
      <c r="AL34" s="230" t="n">
        <v>0</v>
      </c>
      <c r="AM34" s="222" t="n">
        <v>48045.60495</v>
      </c>
      <c r="AN34" s="230" t="n">
        <v>0</v>
      </c>
      <c r="AO34" s="230" t="n">
        <v>0</v>
      </c>
      <c r="AP34" s="222" t="n">
        <v>243059.556432</v>
      </c>
      <c r="AQ34" s="231" t="n">
        <v>1</v>
      </c>
      <c r="AR34" s="222" t="n">
        <v>50714.805225</v>
      </c>
      <c r="AS34" s="222" t="n">
        <v>8.3125</v>
      </c>
      <c r="AT34" s="222" t="n">
        <v>7244.97217500001</v>
      </c>
      <c r="AU34" s="222" t="n">
        <v>0</v>
      </c>
      <c r="AV34" s="222" t="n">
        <v>-7244.97217500001</v>
      </c>
      <c r="AW34" s="222" t="n">
        <v>0</v>
      </c>
      <c r="AX34" s="222" t="n">
        <v>2669.200275</v>
      </c>
      <c r="AY34" s="222" t="n">
        <v>0</v>
      </c>
      <c r="AZ34" s="222" t="n">
        <v>-2669.200275</v>
      </c>
      <c r="BA34" s="222" t="n">
        <v>0</v>
      </c>
      <c r="BB34" s="222" t="n">
        <v>8.3125</v>
      </c>
      <c r="BC34" s="222" t="n">
        <v>8.1875</v>
      </c>
      <c r="BD34" s="222" t="n">
        <v>6482.343525</v>
      </c>
      <c r="BE34" s="222" t="n">
        <v>0</v>
      </c>
      <c r="BF34" s="222" t="n">
        <v>-6482.343525</v>
      </c>
      <c r="BG34" s="222" t="n">
        <v>0</v>
      </c>
      <c r="BH34" s="222" t="n">
        <v>1906.571625</v>
      </c>
      <c r="BI34" s="222" t="n">
        <v>0</v>
      </c>
      <c r="BJ34" s="222" t="n">
        <v>-1906.571625</v>
      </c>
      <c r="BK34" s="222" t="n">
        <v>0</v>
      </c>
      <c r="BL34" s="222" t="n">
        <v>243059.556432</v>
      </c>
      <c r="BM34" s="222" t="s">
        <v>395</v>
      </c>
      <c r="BN34" s="222" t="n">
        <v>0</v>
      </c>
      <c r="BO34" s="232" t="b">
        <f aca="false">FALSE()</f>
        <v>0</v>
      </c>
      <c r="BP34" s="232" t="n">
        <v>-1906.571625</v>
      </c>
      <c r="BQ34" s="223" t="n">
        <v>0</v>
      </c>
      <c r="BR34" s="223" t="n">
        <v>0</v>
      </c>
      <c r="BS34" s="234" t="n">
        <v>41</v>
      </c>
      <c r="BT34" s="223" t="n">
        <v>762.628650000006</v>
      </c>
      <c r="BU34" s="235" t="n">
        <v>6101.0292</v>
      </c>
      <c r="BV34" s="223" t="n">
        <v>199</v>
      </c>
      <c r="BW34" s="236" t="n">
        <v>8.3125</v>
      </c>
      <c r="BX34" s="236" t="n">
        <v>0</v>
      </c>
      <c r="BY34" s="232" t="n">
        <v>0</v>
      </c>
      <c r="BZ34" s="232" t="n">
        <v>0</v>
      </c>
      <c r="CA34" s="232" t="n">
        <v>0</v>
      </c>
      <c r="CB34" s="232" t="n">
        <v>0</v>
      </c>
      <c r="CC34" s="232" t="n">
        <v>0</v>
      </c>
      <c r="CD34" s="232" t="n">
        <v>0</v>
      </c>
      <c r="CE34" s="232" t="n">
        <v>0</v>
      </c>
      <c r="CF34" s="232" t="n">
        <v>0</v>
      </c>
      <c r="CG34" s="232" t="n">
        <v>1906.571625</v>
      </c>
      <c r="CH34" s="232" t="n">
        <v>0</v>
      </c>
      <c r="CI34" s="232" t="n">
        <v>-1906.571625</v>
      </c>
      <c r="CJ34" s="232" t="n">
        <v>0</v>
      </c>
      <c r="CK34" s="223" t="n">
        <v>0</v>
      </c>
      <c r="CL34" s="223" t="n">
        <v>0</v>
      </c>
    </row>
    <row r="35" customFormat="false" ht="20.1" hidden="false" customHeight="true" outlineLevel="2" collapsed="false">
      <c r="A35" s="238" t="s">
        <v>470</v>
      </c>
      <c r="B35" s="238"/>
      <c r="C35" s="238"/>
      <c r="D35" s="238"/>
      <c r="E35" s="238"/>
      <c r="F35" s="238"/>
      <c r="G35" s="275"/>
      <c r="H35" s="275"/>
      <c r="I35" s="239"/>
      <c r="J35" s="241"/>
      <c r="K35" s="241"/>
      <c r="L35" s="243"/>
      <c r="M35" s="243"/>
      <c r="N35" s="243"/>
      <c r="O35" s="242"/>
      <c r="P35" s="244"/>
      <c r="Q35" s="244"/>
      <c r="R35" s="245" t="n">
        <v>0</v>
      </c>
      <c r="S35" s="246" t="n">
        <v>0</v>
      </c>
      <c r="T35" s="245" t="n">
        <v>0</v>
      </c>
      <c r="U35" s="247" t="n">
        <v>50714.805225</v>
      </c>
      <c r="V35" s="242"/>
      <c r="W35" s="242" t="n">
        <v>0</v>
      </c>
      <c r="X35" s="242" t="n">
        <v>0</v>
      </c>
      <c r="Y35" s="242" t="n">
        <v>0</v>
      </c>
      <c r="Z35" s="242" t="n">
        <v>0</v>
      </c>
      <c r="AA35" s="242" t="n">
        <v>0</v>
      </c>
      <c r="AB35" s="242" t="n">
        <v>0</v>
      </c>
      <c r="AC35" s="247" t="n">
        <v>49952.176575</v>
      </c>
      <c r="AD35" s="242" t="n">
        <v>762.628650000006</v>
      </c>
      <c r="AE35" s="242" t="n">
        <v>0</v>
      </c>
      <c r="AF35" s="242" t="n">
        <v>-762.628650000006</v>
      </c>
      <c r="AG35" s="242" t="n">
        <v>0</v>
      </c>
      <c r="AH35" s="248" t="n">
        <v>2669.200275</v>
      </c>
      <c r="AI35" s="242" t="n">
        <v>0</v>
      </c>
      <c r="AJ35" s="242" t="n">
        <v>-2669.200275</v>
      </c>
      <c r="AK35" s="249" t="n">
        <v>0</v>
      </c>
      <c r="AL35" s="250"/>
      <c r="AM35" s="242" t="n">
        <v>48045.60495</v>
      </c>
      <c r="AN35" s="250"/>
      <c r="AO35" s="250"/>
      <c r="AP35" s="242" t="n">
        <v>243059.556432</v>
      </c>
      <c r="AQ35" s="251"/>
      <c r="AR35" s="242"/>
      <c r="AS35" s="242"/>
      <c r="AT35" s="242" t="n">
        <v>7244.97217500001</v>
      </c>
      <c r="AU35" s="242" t="n">
        <v>0</v>
      </c>
      <c r="AV35" s="242" t="n">
        <v>-7244.97217500001</v>
      </c>
      <c r="AW35" s="242" t="n">
        <v>0</v>
      </c>
      <c r="AX35" s="242" t="n">
        <v>2669.200275</v>
      </c>
      <c r="AY35" s="242" t="n">
        <v>0</v>
      </c>
      <c r="AZ35" s="242" t="n">
        <v>-2669.200275</v>
      </c>
      <c r="BA35" s="242" t="n">
        <v>0</v>
      </c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3"/>
      <c r="BR35" s="243"/>
      <c r="BS35" s="253"/>
      <c r="BT35" s="243"/>
      <c r="BU35" s="254"/>
      <c r="BV35" s="243"/>
      <c r="BW35" s="255"/>
      <c r="BX35" s="255"/>
      <c r="BY35" s="242"/>
      <c r="BZ35" s="242"/>
      <c r="CA35" s="242" t="n">
        <v>0</v>
      </c>
      <c r="CB35" s="242"/>
      <c r="CC35" s="242"/>
      <c r="CD35" s="242"/>
      <c r="CE35" s="242"/>
      <c r="CF35" s="242"/>
      <c r="CG35" s="242"/>
      <c r="CH35" s="242"/>
      <c r="CI35" s="242"/>
      <c r="CJ35" s="242"/>
      <c r="CK35" s="243"/>
      <c r="CL35" s="243"/>
    </row>
    <row r="36" customFormat="false" ht="15.75" hidden="false" customHeight="false" outlineLevel="3" collapsed="false">
      <c r="A36" s="58" t="s">
        <v>471</v>
      </c>
      <c r="B36" s="58" t="s">
        <v>460</v>
      </c>
      <c r="C36" s="58" t="s">
        <v>472</v>
      </c>
      <c r="D36" s="58" t="s">
        <v>473</v>
      </c>
      <c r="E36" s="58" t="s">
        <v>474</v>
      </c>
      <c r="F36" s="58" t="s">
        <v>380</v>
      </c>
      <c r="G36" s="58" t="s">
        <v>426</v>
      </c>
      <c r="H36" s="58" t="s">
        <v>101</v>
      </c>
      <c r="I36" s="219" t="s">
        <v>445</v>
      </c>
      <c r="J36" s="221" t="n">
        <v>1</v>
      </c>
      <c r="K36" s="221" t="n">
        <v>1</v>
      </c>
      <c r="L36" s="223" t="n">
        <v>0</v>
      </c>
      <c r="M36" s="223" t="n">
        <v>0</v>
      </c>
      <c r="N36" s="223" t="n">
        <v>0</v>
      </c>
      <c r="O36" s="222" t="n">
        <v>0</v>
      </c>
      <c r="P36" s="223" t="n">
        <v>0</v>
      </c>
      <c r="Q36" s="223" t="n">
        <v>0</v>
      </c>
      <c r="R36" s="225" t="n">
        <v>0</v>
      </c>
      <c r="S36" s="226" t="n">
        <v>0</v>
      </c>
      <c r="T36" s="225" t="n">
        <v>0</v>
      </c>
      <c r="U36" s="227" t="n">
        <v>0</v>
      </c>
      <c r="V36" s="222" t="s">
        <v>384</v>
      </c>
      <c r="W36" s="222" t="n">
        <v>0</v>
      </c>
      <c r="X36" s="222" t="n">
        <v>0</v>
      </c>
      <c r="Y36" s="222" t="n">
        <v>0</v>
      </c>
      <c r="Z36" s="222" t="n">
        <v>0</v>
      </c>
      <c r="AA36" s="222" t="n">
        <v>0</v>
      </c>
      <c r="AB36" s="222" t="n">
        <v>0</v>
      </c>
      <c r="AC36" s="227" t="n">
        <v>0</v>
      </c>
      <c r="AD36" s="222" t="n">
        <v>0</v>
      </c>
      <c r="AE36" s="222" t="n">
        <v>0</v>
      </c>
      <c r="AF36" s="222" t="n">
        <v>0</v>
      </c>
      <c r="AG36" s="222" t="n">
        <v>0</v>
      </c>
      <c r="AH36" s="228" t="n">
        <v>-283416</v>
      </c>
      <c r="AI36" s="222" t="n">
        <v>0</v>
      </c>
      <c r="AJ36" s="222" t="n">
        <v>283416</v>
      </c>
      <c r="AK36" s="229" t="n">
        <v>0</v>
      </c>
      <c r="AL36" s="230" t="n">
        <v>0</v>
      </c>
      <c r="AM36" s="222" t="n">
        <v>283416</v>
      </c>
      <c r="AN36" s="223" t="n">
        <v>0</v>
      </c>
      <c r="AO36" s="230" t="n">
        <v>0</v>
      </c>
      <c r="AP36" s="222" t="n">
        <v>0</v>
      </c>
      <c r="AQ36" s="231" t="n">
        <v>1</v>
      </c>
      <c r="AR36" s="222" t="n">
        <v>0</v>
      </c>
      <c r="AS36" s="222" t="n">
        <v>0</v>
      </c>
      <c r="AT36" s="222" t="n">
        <v>0</v>
      </c>
      <c r="AU36" s="222" t="n">
        <v>0</v>
      </c>
      <c r="AV36" s="222" t="n">
        <v>0</v>
      </c>
      <c r="AW36" s="222" t="n">
        <v>0</v>
      </c>
      <c r="AX36" s="222" t="n">
        <v>-283416</v>
      </c>
      <c r="AY36" s="222" t="n">
        <v>0</v>
      </c>
      <c r="AZ36" s="222" t="n">
        <v>283416</v>
      </c>
      <c r="BA36" s="222" t="n">
        <v>0</v>
      </c>
      <c r="BB36" s="222" t="s">
        <v>380</v>
      </c>
      <c r="BC36" s="222" t="s">
        <v>380</v>
      </c>
      <c r="BD36" s="222" t="n">
        <v>0</v>
      </c>
      <c r="BE36" s="222" t="n">
        <v>0</v>
      </c>
      <c r="BF36" s="222" t="n">
        <v>0</v>
      </c>
      <c r="BG36" s="222" t="n">
        <v>0</v>
      </c>
      <c r="BH36" s="222" t="n">
        <v>-283416</v>
      </c>
      <c r="BI36" s="222" t="n">
        <v>0</v>
      </c>
      <c r="BJ36" s="222" t="n">
        <v>283416</v>
      </c>
      <c r="BK36" s="222" t="n">
        <v>0</v>
      </c>
      <c r="BL36" s="222" t="n">
        <v>0</v>
      </c>
      <c r="BM36" s="222" t="s">
        <v>385</v>
      </c>
      <c r="BN36" s="222" t="n">
        <v>0</v>
      </c>
      <c r="BO36" s="232" t="b">
        <f aca="false">FALSE()</f>
        <v>0</v>
      </c>
      <c r="BP36" s="232" t="n">
        <v>283416</v>
      </c>
      <c r="BQ36" s="224" t="n">
        <v>0</v>
      </c>
      <c r="BR36" s="223" t="n">
        <v>0</v>
      </c>
      <c r="BS36" s="234" t="n">
        <v>38</v>
      </c>
      <c r="BT36" s="223" t="n">
        <v>0</v>
      </c>
      <c r="BU36" s="235" t="n">
        <v>0</v>
      </c>
      <c r="BV36" s="223" t="n">
        <v>190</v>
      </c>
      <c r="BW36" s="236" t="n">
        <v>0</v>
      </c>
      <c r="BX36" s="236" t="n">
        <v>0</v>
      </c>
      <c r="BY36" s="232" t="n">
        <v>0</v>
      </c>
      <c r="BZ36" s="232" t="n">
        <v>0</v>
      </c>
      <c r="CA36" s="232" t="n">
        <v>0</v>
      </c>
      <c r="CB36" s="232" t="n">
        <v>0</v>
      </c>
      <c r="CC36" s="232" t="n">
        <v>0</v>
      </c>
      <c r="CD36" s="232" t="n">
        <v>0</v>
      </c>
      <c r="CE36" s="232" t="n">
        <v>0</v>
      </c>
      <c r="CF36" s="232" t="n">
        <v>0</v>
      </c>
      <c r="CG36" s="232" t="n">
        <v>-283416</v>
      </c>
      <c r="CH36" s="232" t="n">
        <v>0</v>
      </c>
      <c r="CI36" s="232" t="n">
        <v>283416</v>
      </c>
      <c r="CJ36" s="232" t="n">
        <v>0</v>
      </c>
      <c r="CK36" s="223" t="n">
        <v>0</v>
      </c>
      <c r="CL36" s="223" t="n">
        <v>0</v>
      </c>
    </row>
    <row r="37" customFormat="false" ht="20.1" hidden="false" customHeight="true" outlineLevel="2" collapsed="false">
      <c r="A37" s="238" t="s">
        <v>475</v>
      </c>
      <c r="B37" s="238"/>
      <c r="C37" s="238"/>
      <c r="D37" s="238"/>
      <c r="E37" s="238"/>
      <c r="F37" s="238"/>
      <c r="G37" s="238"/>
      <c r="H37" s="238"/>
      <c r="I37" s="239"/>
      <c r="J37" s="241"/>
      <c r="K37" s="241"/>
      <c r="L37" s="243"/>
      <c r="M37" s="243"/>
      <c r="N37" s="243"/>
      <c r="O37" s="242"/>
      <c r="P37" s="243"/>
      <c r="Q37" s="243"/>
      <c r="R37" s="245" t="n">
        <v>0</v>
      </c>
      <c r="S37" s="246" t="n">
        <v>0</v>
      </c>
      <c r="T37" s="245" t="n">
        <v>0</v>
      </c>
      <c r="U37" s="247" t="n">
        <v>0</v>
      </c>
      <c r="V37" s="242"/>
      <c r="W37" s="242" t="n">
        <v>0</v>
      </c>
      <c r="X37" s="242" t="n">
        <v>0</v>
      </c>
      <c r="Y37" s="242" t="n">
        <v>0</v>
      </c>
      <c r="Z37" s="242" t="n">
        <v>0</v>
      </c>
      <c r="AA37" s="242" t="n">
        <v>0</v>
      </c>
      <c r="AB37" s="242" t="n">
        <v>0</v>
      </c>
      <c r="AC37" s="247" t="n">
        <v>0</v>
      </c>
      <c r="AD37" s="242" t="n">
        <v>0</v>
      </c>
      <c r="AE37" s="242" t="n">
        <v>0</v>
      </c>
      <c r="AF37" s="242" t="n">
        <v>0</v>
      </c>
      <c r="AG37" s="242" t="n">
        <v>0</v>
      </c>
      <c r="AH37" s="248" t="n">
        <v>-283416</v>
      </c>
      <c r="AI37" s="242" t="n">
        <v>0</v>
      </c>
      <c r="AJ37" s="242" t="n">
        <v>283416</v>
      </c>
      <c r="AK37" s="249" t="n">
        <v>0</v>
      </c>
      <c r="AL37" s="250"/>
      <c r="AM37" s="242" t="n">
        <v>283416</v>
      </c>
      <c r="AN37" s="243"/>
      <c r="AO37" s="250"/>
      <c r="AP37" s="242" t="n">
        <v>0</v>
      </c>
      <c r="AQ37" s="251"/>
      <c r="AR37" s="242"/>
      <c r="AS37" s="242"/>
      <c r="AT37" s="242" t="n">
        <v>0</v>
      </c>
      <c r="AU37" s="242" t="n">
        <v>0</v>
      </c>
      <c r="AV37" s="242" t="n">
        <v>0</v>
      </c>
      <c r="AW37" s="242" t="n">
        <v>0</v>
      </c>
      <c r="AX37" s="242" t="n">
        <v>-283416</v>
      </c>
      <c r="AY37" s="242" t="n">
        <v>0</v>
      </c>
      <c r="AZ37" s="242" t="n">
        <v>283416</v>
      </c>
      <c r="BA37" s="242" t="n">
        <v>0</v>
      </c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4"/>
      <c r="BR37" s="243"/>
      <c r="BS37" s="253"/>
      <c r="BT37" s="243"/>
      <c r="BU37" s="254"/>
      <c r="BV37" s="243"/>
      <c r="BW37" s="255"/>
      <c r="BX37" s="255"/>
      <c r="BY37" s="242"/>
      <c r="BZ37" s="242"/>
      <c r="CA37" s="242" t="n">
        <v>0</v>
      </c>
      <c r="CB37" s="242"/>
      <c r="CC37" s="242"/>
      <c r="CD37" s="242"/>
      <c r="CE37" s="242"/>
      <c r="CF37" s="242"/>
      <c r="CG37" s="242"/>
      <c r="CH37" s="242"/>
      <c r="CI37" s="242"/>
      <c r="CJ37" s="242"/>
      <c r="CK37" s="243"/>
      <c r="CL37" s="243"/>
    </row>
    <row r="38" customFormat="false" ht="15.75" hidden="false" customHeight="false" outlineLevel="3" collapsed="false">
      <c r="A38" s="58" t="s">
        <v>476</v>
      </c>
      <c r="B38" s="58" t="s">
        <v>460</v>
      </c>
      <c r="C38" s="58" t="s">
        <v>477</v>
      </c>
      <c r="D38" s="58" t="s">
        <v>478</v>
      </c>
      <c r="E38" s="58" t="s">
        <v>479</v>
      </c>
      <c r="F38" s="58" t="s">
        <v>480</v>
      </c>
      <c r="G38" s="274" t="s">
        <v>426</v>
      </c>
      <c r="H38" s="274" t="s">
        <v>99</v>
      </c>
      <c r="I38" s="219" t="s">
        <v>382</v>
      </c>
      <c r="J38" s="221" t="n">
        <v>1995232</v>
      </c>
      <c r="K38" s="221" t="n">
        <v>1995232</v>
      </c>
      <c r="L38" s="223" t="n">
        <v>0</v>
      </c>
      <c r="M38" s="223" t="n">
        <v>0</v>
      </c>
      <c r="N38" s="223" t="n">
        <v>1</v>
      </c>
      <c r="O38" s="222" t="n">
        <v>38.97</v>
      </c>
      <c r="P38" s="224" t="n">
        <v>40</v>
      </c>
      <c r="Q38" s="224" t="n">
        <v>-1.03</v>
      </c>
      <c r="R38" s="225" t="n">
        <v>0</v>
      </c>
      <c r="S38" s="226" t="n">
        <v>1</v>
      </c>
      <c r="T38" s="225" t="n">
        <v>0</v>
      </c>
      <c r="U38" s="227" t="n">
        <v>77754191.04</v>
      </c>
      <c r="V38" s="222" t="s">
        <v>481</v>
      </c>
      <c r="W38" s="222" t="n">
        <v>0</v>
      </c>
      <c r="X38" s="222" t="n">
        <v>0</v>
      </c>
      <c r="Y38" s="222" t="n">
        <v>0</v>
      </c>
      <c r="Z38" s="222" t="n">
        <v>0</v>
      </c>
      <c r="AA38" s="222" t="n">
        <v>0</v>
      </c>
      <c r="AB38" s="222" t="n">
        <v>0</v>
      </c>
      <c r="AC38" s="227" t="n">
        <v>79809280</v>
      </c>
      <c r="AD38" s="222" t="n">
        <v>-2055088.96000001</v>
      </c>
      <c r="AE38" s="222" t="n">
        <v>0</v>
      </c>
      <c r="AF38" s="222" t="n">
        <v>2055088.96000001</v>
      </c>
      <c r="AG38" s="222" t="n">
        <v>0</v>
      </c>
      <c r="AH38" s="228" t="n">
        <v>-11781844.96</v>
      </c>
      <c r="AI38" s="222" t="n">
        <v>0</v>
      </c>
      <c r="AJ38" s="222" t="n">
        <v>11781844.96</v>
      </c>
      <c r="AK38" s="229" t="n">
        <v>0</v>
      </c>
      <c r="AL38" s="230" t="n">
        <v>0</v>
      </c>
      <c r="AM38" s="222" t="n">
        <v>0</v>
      </c>
      <c r="AN38" s="230" t="n">
        <v>0</v>
      </c>
      <c r="AO38" s="230" t="n">
        <v>0</v>
      </c>
      <c r="AP38" s="222" t="n">
        <v>0</v>
      </c>
      <c r="AQ38" s="231" t="n">
        <v>1</v>
      </c>
      <c r="AR38" s="222" t="n">
        <v>77754191.04</v>
      </c>
      <c r="AS38" s="222" t="n">
        <v>38.97</v>
      </c>
      <c r="AT38" s="222" t="n">
        <v>2932991.03999999</v>
      </c>
      <c r="AU38" s="222" t="n">
        <v>0</v>
      </c>
      <c r="AV38" s="222" t="n">
        <v>-2932991.03999999</v>
      </c>
      <c r="AW38" s="222" t="n">
        <v>0</v>
      </c>
      <c r="AX38" s="222" t="n">
        <v>-11781844.96</v>
      </c>
      <c r="AY38" s="222" t="n">
        <v>0</v>
      </c>
      <c r="AZ38" s="222" t="n">
        <v>11781844.96</v>
      </c>
      <c r="BA38" s="222" t="n">
        <v>0</v>
      </c>
      <c r="BB38" s="222" t="n">
        <v>38.97</v>
      </c>
      <c r="BC38" s="222" t="n">
        <v>40</v>
      </c>
      <c r="BD38" s="222" t="n">
        <v>4988080</v>
      </c>
      <c r="BE38" s="222" t="n">
        <v>0</v>
      </c>
      <c r="BF38" s="222" t="n">
        <v>-4988080</v>
      </c>
      <c r="BG38" s="222" t="n">
        <v>0</v>
      </c>
      <c r="BH38" s="222" t="n">
        <v>-9726756</v>
      </c>
      <c r="BI38" s="222" t="n">
        <v>0</v>
      </c>
      <c r="BJ38" s="222" t="n">
        <v>9726756</v>
      </c>
      <c r="BK38" s="222" t="n">
        <v>0</v>
      </c>
      <c r="BL38" s="222" t="n">
        <v>0</v>
      </c>
      <c r="BM38" s="222" t="s">
        <v>395</v>
      </c>
      <c r="BN38" s="222" t="n">
        <v>0</v>
      </c>
      <c r="BO38" s="232" t="b">
        <f aca="false">FALSE()</f>
        <v>0</v>
      </c>
      <c r="BP38" s="232" t="n">
        <v>9726756</v>
      </c>
      <c r="BQ38" s="223" t="n">
        <v>0</v>
      </c>
      <c r="BR38" s="223" t="n">
        <v>0</v>
      </c>
      <c r="BS38" s="234" t="n">
        <v>84</v>
      </c>
      <c r="BT38" s="223" t="n">
        <v>-2055088.96000001</v>
      </c>
      <c r="BU38" s="235" t="n">
        <v>1995232</v>
      </c>
      <c r="BV38" s="223" t="n">
        <v>197</v>
      </c>
      <c r="BW38" s="236" t="n">
        <v>38.97</v>
      </c>
      <c r="BX38" s="236" t="n">
        <v>0</v>
      </c>
      <c r="BY38" s="232" t="n">
        <v>0</v>
      </c>
      <c r="BZ38" s="232" t="n">
        <v>0</v>
      </c>
      <c r="CA38" s="232" t="n">
        <v>89536036</v>
      </c>
      <c r="CB38" s="232" t="n">
        <v>89536036</v>
      </c>
      <c r="CC38" s="232" t="n">
        <v>0</v>
      </c>
      <c r="CD38" s="232" t="n">
        <v>0</v>
      </c>
      <c r="CE38" s="232" t="n">
        <v>0</v>
      </c>
      <c r="CF38" s="232" t="n">
        <v>0</v>
      </c>
      <c r="CG38" s="232" t="n">
        <v>-9726756</v>
      </c>
      <c r="CH38" s="232" t="n">
        <v>0</v>
      </c>
      <c r="CI38" s="232" t="n">
        <v>9726756</v>
      </c>
      <c r="CJ38" s="232" t="n">
        <v>0</v>
      </c>
      <c r="CK38" s="223" t="n">
        <v>0</v>
      </c>
      <c r="CL38" s="223" t="n">
        <v>0</v>
      </c>
    </row>
    <row r="39" customFormat="false" ht="20.1" hidden="false" customHeight="true" outlineLevel="2" collapsed="false">
      <c r="A39" s="238" t="s">
        <v>482</v>
      </c>
      <c r="B39" s="238"/>
      <c r="C39" s="238"/>
      <c r="D39" s="238"/>
      <c r="E39" s="238"/>
      <c r="F39" s="238"/>
      <c r="G39" s="275"/>
      <c r="H39" s="275"/>
      <c r="I39" s="239"/>
      <c r="J39" s="241"/>
      <c r="K39" s="241"/>
      <c r="L39" s="243"/>
      <c r="M39" s="243"/>
      <c r="N39" s="243"/>
      <c r="O39" s="242"/>
      <c r="P39" s="244"/>
      <c r="Q39" s="244"/>
      <c r="R39" s="245" t="n">
        <v>0</v>
      </c>
      <c r="S39" s="246" t="n">
        <v>1</v>
      </c>
      <c r="T39" s="245" t="n">
        <v>0</v>
      </c>
      <c r="U39" s="247" t="n">
        <v>77754191.04</v>
      </c>
      <c r="V39" s="242"/>
      <c r="W39" s="242" t="n">
        <v>0</v>
      </c>
      <c r="X39" s="242" t="n">
        <v>0</v>
      </c>
      <c r="Y39" s="242" t="n">
        <v>0</v>
      </c>
      <c r="Z39" s="242" t="n">
        <v>0</v>
      </c>
      <c r="AA39" s="242" t="n">
        <v>0</v>
      </c>
      <c r="AB39" s="242" t="n">
        <v>0</v>
      </c>
      <c r="AC39" s="247" t="n">
        <v>79809280</v>
      </c>
      <c r="AD39" s="242" t="n">
        <v>-2055088.96000001</v>
      </c>
      <c r="AE39" s="242" t="n">
        <v>0</v>
      </c>
      <c r="AF39" s="242" t="n">
        <v>2055088.96000001</v>
      </c>
      <c r="AG39" s="242" t="n">
        <v>0</v>
      </c>
      <c r="AH39" s="248" t="n">
        <v>-11781844.96</v>
      </c>
      <c r="AI39" s="242" t="n">
        <v>0</v>
      </c>
      <c r="AJ39" s="242" t="n">
        <v>11781844.96</v>
      </c>
      <c r="AK39" s="249" t="n">
        <v>0</v>
      </c>
      <c r="AL39" s="250"/>
      <c r="AM39" s="242" t="n">
        <v>0</v>
      </c>
      <c r="AN39" s="250"/>
      <c r="AO39" s="250"/>
      <c r="AP39" s="242" t="n">
        <v>0</v>
      </c>
      <c r="AQ39" s="251"/>
      <c r="AR39" s="242"/>
      <c r="AS39" s="242"/>
      <c r="AT39" s="242" t="n">
        <v>2932991.03999999</v>
      </c>
      <c r="AU39" s="242" t="n">
        <v>0</v>
      </c>
      <c r="AV39" s="242" t="n">
        <v>-2932991.03999999</v>
      </c>
      <c r="AW39" s="242" t="n">
        <v>0</v>
      </c>
      <c r="AX39" s="242" t="n">
        <v>-11781844.96</v>
      </c>
      <c r="AY39" s="242" t="n">
        <v>0</v>
      </c>
      <c r="AZ39" s="242" t="n">
        <v>11781844.96</v>
      </c>
      <c r="BA39" s="242" t="n">
        <v>0</v>
      </c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3"/>
      <c r="BR39" s="243"/>
      <c r="BS39" s="253"/>
      <c r="BT39" s="243"/>
      <c r="BU39" s="254"/>
      <c r="BV39" s="243"/>
      <c r="BW39" s="255"/>
      <c r="BX39" s="255"/>
      <c r="BY39" s="242"/>
      <c r="BZ39" s="242"/>
      <c r="CA39" s="242" t="n">
        <v>89536036</v>
      </c>
      <c r="CB39" s="242"/>
      <c r="CC39" s="242"/>
      <c r="CD39" s="242"/>
      <c r="CE39" s="242"/>
      <c r="CF39" s="242"/>
      <c r="CG39" s="242"/>
      <c r="CH39" s="242"/>
      <c r="CI39" s="242"/>
      <c r="CJ39" s="242"/>
      <c r="CK39" s="243"/>
      <c r="CL39" s="243"/>
    </row>
    <row r="40" customFormat="false" ht="30" hidden="false" customHeight="true" outlineLevel="1" collapsed="false">
      <c r="A40" s="238"/>
      <c r="B40" s="238" t="s">
        <v>483</v>
      </c>
      <c r="C40" s="238"/>
      <c r="D40" s="238"/>
      <c r="E40" s="238"/>
      <c r="F40" s="238"/>
      <c r="G40" s="275"/>
      <c r="H40" s="275"/>
      <c r="I40" s="239"/>
      <c r="J40" s="256"/>
      <c r="K40" s="256"/>
      <c r="L40" s="258"/>
      <c r="M40" s="258"/>
      <c r="N40" s="258"/>
      <c r="O40" s="257"/>
      <c r="P40" s="259"/>
      <c r="Q40" s="259"/>
      <c r="R40" s="260" t="n">
        <v>0</v>
      </c>
      <c r="S40" s="261" t="n">
        <v>1</v>
      </c>
      <c r="T40" s="260" t="n">
        <v>0</v>
      </c>
      <c r="U40" s="262" t="n">
        <v>80653335.512305</v>
      </c>
      <c r="V40" s="257"/>
      <c r="W40" s="257" t="n">
        <v>0</v>
      </c>
      <c r="X40" s="257" t="n">
        <v>0</v>
      </c>
      <c r="Y40" s="257" t="n">
        <v>0</v>
      </c>
      <c r="Z40" s="257" t="n">
        <v>0</v>
      </c>
      <c r="AA40" s="257" t="n">
        <v>0</v>
      </c>
      <c r="AB40" s="257" t="n">
        <v>0</v>
      </c>
      <c r="AC40" s="262" t="n">
        <v>82707661.843655</v>
      </c>
      <c r="AD40" s="257" t="n">
        <v>-2054326.33135001</v>
      </c>
      <c r="AE40" s="257" t="n">
        <v>0</v>
      </c>
      <c r="AF40" s="257" t="n">
        <v>2054326.33135001</v>
      </c>
      <c r="AG40" s="257" t="n">
        <v>0</v>
      </c>
      <c r="AH40" s="263" t="n">
        <v>-12062591.759725</v>
      </c>
      <c r="AI40" s="257" t="n">
        <v>0</v>
      </c>
      <c r="AJ40" s="257" t="n">
        <v>12062591.759725</v>
      </c>
      <c r="AK40" s="264" t="n">
        <v>0</v>
      </c>
      <c r="AL40" s="265"/>
      <c r="AM40" s="257" t="n">
        <v>3138698.49495</v>
      </c>
      <c r="AN40" s="265"/>
      <c r="AO40" s="265"/>
      <c r="AP40" s="257" t="n">
        <v>3050296.446432</v>
      </c>
      <c r="AQ40" s="266"/>
      <c r="AR40" s="257"/>
      <c r="AS40" s="257"/>
      <c r="AT40" s="257" t="n">
        <v>2940236.01217499</v>
      </c>
      <c r="AU40" s="257" t="n">
        <v>0</v>
      </c>
      <c r="AV40" s="257" t="n">
        <v>-2940236.01217499</v>
      </c>
      <c r="AW40" s="257" t="n">
        <v>0</v>
      </c>
      <c r="AX40" s="257" t="n">
        <v>-12062591.759725</v>
      </c>
      <c r="AY40" s="257" t="n">
        <v>0</v>
      </c>
      <c r="AZ40" s="257" t="n">
        <v>12062591.759725</v>
      </c>
      <c r="BA40" s="257" t="n">
        <v>0</v>
      </c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8"/>
      <c r="BR40" s="258"/>
      <c r="BS40" s="268"/>
      <c r="BT40" s="258"/>
      <c r="BU40" s="269"/>
      <c r="BV40" s="258"/>
      <c r="BW40" s="270"/>
      <c r="BX40" s="270"/>
      <c r="BY40" s="257"/>
      <c r="BZ40" s="257"/>
      <c r="CA40" s="257" t="n">
        <v>89577228.77708</v>
      </c>
      <c r="CB40" s="257"/>
      <c r="CC40" s="257"/>
      <c r="CD40" s="257"/>
      <c r="CE40" s="257"/>
      <c r="CF40" s="257"/>
      <c r="CG40" s="257"/>
      <c r="CH40" s="257"/>
      <c r="CI40" s="257"/>
      <c r="CJ40" s="257"/>
      <c r="CK40" s="258"/>
      <c r="CL40" s="258"/>
    </row>
    <row r="41" customFormat="false" ht="15.75" hidden="false" customHeight="false" outlineLevel="3" collapsed="false">
      <c r="A41" s="58" t="s">
        <v>484</v>
      </c>
      <c r="B41" s="58" t="s">
        <v>485</v>
      </c>
      <c r="C41" s="58" t="s">
        <v>472</v>
      </c>
      <c r="D41" s="58" t="s">
        <v>473</v>
      </c>
      <c r="E41" s="58" t="s">
        <v>486</v>
      </c>
      <c r="F41" s="58" t="s">
        <v>380</v>
      </c>
      <c r="G41" s="58" t="s">
        <v>487</v>
      </c>
      <c r="H41" s="274" t="s">
        <v>488</v>
      </c>
      <c r="I41" s="219" t="s">
        <v>382</v>
      </c>
      <c r="J41" s="220" t="n">
        <v>1000</v>
      </c>
      <c r="K41" s="221" t="n">
        <v>1000</v>
      </c>
      <c r="L41" s="223" t="n">
        <v>0</v>
      </c>
      <c r="M41" s="223" t="n">
        <v>0</v>
      </c>
      <c r="N41" s="223" t="n">
        <v>1</v>
      </c>
      <c r="O41" s="222" t="n">
        <v>1247.9435</v>
      </c>
      <c r="P41" s="224" t="n">
        <v>1247.9435</v>
      </c>
      <c r="Q41" s="224" t="n">
        <v>0</v>
      </c>
      <c r="R41" s="225" t="n">
        <v>0</v>
      </c>
      <c r="S41" s="226" t="n">
        <v>0.5</v>
      </c>
      <c r="T41" s="225" t="n">
        <v>0</v>
      </c>
      <c r="U41" s="227" t="n">
        <v>1247943.5</v>
      </c>
      <c r="V41" s="222" t="s">
        <v>384</v>
      </c>
      <c r="W41" s="222" t="n">
        <v>0</v>
      </c>
      <c r="X41" s="222" t="n">
        <v>0</v>
      </c>
      <c r="Y41" s="222" t="n">
        <v>0</v>
      </c>
      <c r="Z41" s="222" t="n">
        <v>0</v>
      </c>
      <c r="AA41" s="222" t="n">
        <v>0</v>
      </c>
      <c r="AB41" s="222" t="n">
        <v>0</v>
      </c>
      <c r="AC41" s="227" t="n">
        <v>1247943.5</v>
      </c>
      <c r="AD41" s="222" t="n">
        <v>0</v>
      </c>
      <c r="AE41" s="222" t="n">
        <v>0</v>
      </c>
      <c r="AF41" s="222" t="n">
        <v>0</v>
      </c>
      <c r="AG41" s="222" t="n">
        <v>0</v>
      </c>
      <c r="AH41" s="228" t="n">
        <v>0</v>
      </c>
      <c r="AI41" s="222" t="n">
        <v>0</v>
      </c>
      <c r="AJ41" s="222" t="n">
        <v>0</v>
      </c>
      <c r="AK41" s="229" t="n">
        <v>0</v>
      </c>
      <c r="AL41" s="230" t="n">
        <v>0</v>
      </c>
      <c r="AM41" s="222" t="n">
        <v>1247943.5</v>
      </c>
      <c r="AN41" s="230" t="n">
        <v>0</v>
      </c>
      <c r="AO41" s="223" t="n">
        <v>0</v>
      </c>
      <c r="AP41" s="222" t="n">
        <v>1247943.5</v>
      </c>
      <c r="AQ41" s="231" t="n">
        <v>1</v>
      </c>
      <c r="AR41" s="222" t="n">
        <v>1247943.5</v>
      </c>
      <c r="AS41" s="222" t="n">
        <v>1247.9435</v>
      </c>
      <c r="AT41" s="222" t="n">
        <v>0</v>
      </c>
      <c r="AU41" s="222" t="n">
        <v>0</v>
      </c>
      <c r="AV41" s="222" t="n">
        <v>0</v>
      </c>
      <c r="AW41" s="222" t="n">
        <v>0</v>
      </c>
      <c r="AX41" s="222" t="n">
        <v>0</v>
      </c>
      <c r="AY41" s="222" t="n">
        <v>0</v>
      </c>
      <c r="AZ41" s="222" t="n">
        <v>0</v>
      </c>
      <c r="BA41" s="222" t="n">
        <v>0</v>
      </c>
      <c r="BB41" s="222" t="s">
        <v>380</v>
      </c>
      <c r="BC41" s="222" t="s">
        <v>380</v>
      </c>
      <c r="BD41" s="222" t="n">
        <v>0</v>
      </c>
      <c r="BE41" s="222" t="n">
        <v>0</v>
      </c>
      <c r="BF41" s="222" t="n">
        <v>0</v>
      </c>
      <c r="BG41" s="222" t="n">
        <v>0</v>
      </c>
      <c r="BH41" s="222" t="n">
        <v>0</v>
      </c>
      <c r="BI41" s="222" t="n">
        <v>0</v>
      </c>
      <c r="BJ41" s="222" t="n">
        <v>0</v>
      </c>
      <c r="BK41" s="222" t="n">
        <v>0</v>
      </c>
      <c r="BL41" s="236" t="n">
        <v>1247943.5</v>
      </c>
      <c r="BM41" s="222" t="s">
        <v>385</v>
      </c>
      <c r="BN41" s="222" t="n">
        <v>0</v>
      </c>
      <c r="BO41" s="232" t="b">
        <f aca="false">FALSE()</f>
        <v>0</v>
      </c>
      <c r="BP41" s="232" t="n">
        <v>0</v>
      </c>
      <c r="BQ41" s="223" t="n">
        <v>0</v>
      </c>
      <c r="BR41" s="223" t="n">
        <v>0</v>
      </c>
      <c r="BS41" s="234" t="n">
        <v>73</v>
      </c>
      <c r="BT41" s="223" t="n">
        <v>0</v>
      </c>
      <c r="BU41" s="235" t="n">
        <v>0</v>
      </c>
      <c r="BV41" s="223" t="n">
        <v>34</v>
      </c>
      <c r="BW41" s="236" t="n">
        <v>0</v>
      </c>
      <c r="BX41" s="236" t="n">
        <v>0</v>
      </c>
      <c r="BY41" s="232" t="n">
        <v>0</v>
      </c>
      <c r="BZ41" s="232" t="n">
        <v>0</v>
      </c>
      <c r="CA41" s="232" t="n">
        <v>0</v>
      </c>
      <c r="CB41" s="232" t="n">
        <v>0</v>
      </c>
      <c r="CC41" s="232" t="n">
        <v>0</v>
      </c>
      <c r="CD41" s="232" t="n">
        <v>0</v>
      </c>
      <c r="CE41" s="232" t="n">
        <v>0</v>
      </c>
      <c r="CF41" s="232" t="n">
        <v>0</v>
      </c>
      <c r="CG41" s="232" t="n">
        <v>0</v>
      </c>
      <c r="CH41" s="232" t="n">
        <v>0</v>
      </c>
      <c r="CI41" s="232" t="n">
        <v>0</v>
      </c>
      <c r="CJ41" s="232" t="n">
        <v>0</v>
      </c>
      <c r="CK41" s="223" t="n">
        <v>0</v>
      </c>
      <c r="CL41" s="223" t="n">
        <v>0</v>
      </c>
    </row>
    <row r="42" customFormat="false" ht="15.75" hidden="false" customHeight="false" outlineLevel="3" collapsed="false">
      <c r="A42" s="58" t="s">
        <v>484</v>
      </c>
      <c r="B42" s="58" t="s">
        <v>485</v>
      </c>
      <c r="C42" s="58" t="s">
        <v>472</v>
      </c>
      <c r="D42" s="58" t="s">
        <v>473</v>
      </c>
      <c r="E42" s="58" t="s">
        <v>489</v>
      </c>
      <c r="F42" s="58" t="s">
        <v>380</v>
      </c>
      <c r="G42" s="58" t="s">
        <v>487</v>
      </c>
      <c r="H42" s="274" t="s">
        <v>488</v>
      </c>
      <c r="I42" s="219" t="s">
        <v>382</v>
      </c>
      <c r="J42" s="220" t="n">
        <v>1000</v>
      </c>
      <c r="K42" s="221" t="n">
        <v>1000</v>
      </c>
      <c r="L42" s="223" t="n">
        <v>0</v>
      </c>
      <c r="M42" s="223" t="n">
        <v>0</v>
      </c>
      <c r="N42" s="223" t="n">
        <v>1</v>
      </c>
      <c r="O42" s="222" t="n">
        <v>0</v>
      </c>
      <c r="P42" s="224" t="n">
        <v>0</v>
      </c>
      <c r="Q42" s="224" t="n">
        <v>0</v>
      </c>
      <c r="R42" s="225" t="n">
        <v>0</v>
      </c>
      <c r="S42" s="226" t="n">
        <v>0.5</v>
      </c>
      <c r="T42" s="225" t="n">
        <v>0</v>
      </c>
      <c r="U42" s="227" t="n">
        <v>0</v>
      </c>
      <c r="V42" s="222" t="s">
        <v>384</v>
      </c>
      <c r="W42" s="222" t="n">
        <v>0</v>
      </c>
      <c r="X42" s="222" t="n">
        <v>0</v>
      </c>
      <c r="Y42" s="222" t="n">
        <v>0</v>
      </c>
      <c r="Z42" s="222" t="n">
        <v>0</v>
      </c>
      <c r="AA42" s="222" t="n">
        <v>0</v>
      </c>
      <c r="AB42" s="222" t="n">
        <v>0</v>
      </c>
      <c r="AC42" s="227" t="n">
        <v>0</v>
      </c>
      <c r="AD42" s="222" t="n">
        <v>0</v>
      </c>
      <c r="AE42" s="222" t="n">
        <v>0</v>
      </c>
      <c r="AF42" s="222" t="n">
        <v>0</v>
      </c>
      <c r="AG42" s="222" t="n">
        <v>0</v>
      </c>
      <c r="AH42" s="228" t="n">
        <v>-175230.57</v>
      </c>
      <c r="AI42" s="222" t="n">
        <v>0</v>
      </c>
      <c r="AJ42" s="222" t="n">
        <v>175230.57</v>
      </c>
      <c r="AK42" s="229" t="n">
        <v>0</v>
      </c>
      <c r="AL42" s="230" t="n">
        <v>0</v>
      </c>
      <c r="AM42" s="222" t="n">
        <v>0</v>
      </c>
      <c r="AN42" s="230" t="n">
        <v>0</v>
      </c>
      <c r="AO42" s="223" t="n">
        <v>0</v>
      </c>
      <c r="AP42" s="222" t="n">
        <v>0</v>
      </c>
      <c r="AQ42" s="231" t="n">
        <v>1</v>
      </c>
      <c r="AR42" s="222" t="n">
        <v>0</v>
      </c>
      <c r="AS42" s="222" t="n">
        <v>0</v>
      </c>
      <c r="AT42" s="222" t="n">
        <v>0</v>
      </c>
      <c r="AU42" s="222" t="n">
        <v>0</v>
      </c>
      <c r="AV42" s="222" t="n">
        <v>0</v>
      </c>
      <c r="AW42" s="222" t="n">
        <v>0</v>
      </c>
      <c r="AX42" s="222" t="n">
        <v>-175230.57</v>
      </c>
      <c r="AY42" s="222" t="n">
        <v>0</v>
      </c>
      <c r="AZ42" s="222" t="n">
        <v>175230.57</v>
      </c>
      <c r="BA42" s="222" t="n">
        <v>0</v>
      </c>
      <c r="BB42" s="222" t="s">
        <v>380</v>
      </c>
      <c r="BC42" s="222" t="s">
        <v>380</v>
      </c>
      <c r="BD42" s="222" t="n">
        <v>0</v>
      </c>
      <c r="BE42" s="222" t="n">
        <v>0</v>
      </c>
      <c r="BF42" s="222" t="n">
        <v>0</v>
      </c>
      <c r="BG42" s="222" t="n">
        <v>0</v>
      </c>
      <c r="BH42" s="222" t="n">
        <v>-175230.57</v>
      </c>
      <c r="BI42" s="222" t="n">
        <v>0</v>
      </c>
      <c r="BJ42" s="222" t="n">
        <v>175230.57</v>
      </c>
      <c r="BK42" s="222" t="n">
        <v>0</v>
      </c>
      <c r="BL42" s="236" t="n">
        <v>0</v>
      </c>
      <c r="BM42" s="222" t="s">
        <v>385</v>
      </c>
      <c r="BN42" s="222" t="n">
        <v>0</v>
      </c>
      <c r="BO42" s="232" t="b">
        <f aca="false">FALSE()</f>
        <v>0</v>
      </c>
      <c r="BP42" s="232" t="n">
        <v>175230.57</v>
      </c>
      <c r="BQ42" s="223" t="n">
        <v>0</v>
      </c>
      <c r="BR42" s="223" t="n">
        <v>0</v>
      </c>
      <c r="BS42" s="234" t="n">
        <v>73</v>
      </c>
      <c r="BT42" s="223" t="n">
        <v>0</v>
      </c>
      <c r="BU42" s="235" t="n">
        <v>0</v>
      </c>
      <c r="BV42" s="223" t="n">
        <v>35</v>
      </c>
      <c r="BW42" s="236" t="n">
        <v>0</v>
      </c>
      <c r="BX42" s="236" t="n">
        <v>0</v>
      </c>
      <c r="BY42" s="232" t="n">
        <v>0</v>
      </c>
      <c r="BZ42" s="232" t="n">
        <v>0</v>
      </c>
      <c r="CA42" s="232" t="n">
        <v>175230.57</v>
      </c>
      <c r="CB42" s="232" t="n">
        <v>175230.57</v>
      </c>
      <c r="CC42" s="232" t="n">
        <v>0</v>
      </c>
      <c r="CD42" s="232" t="n">
        <v>0</v>
      </c>
      <c r="CE42" s="232" t="n">
        <v>0</v>
      </c>
      <c r="CF42" s="232" t="n">
        <v>0</v>
      </c>
      <c r="CG42" s="232" t="n">
        <v>-175230.57</v>
      </c>
      <c r="CH42" s="232" t="n">
        <v>0</v>
      </c>
      <c r="CI42" s="232" t="n">
        <v>175230.57</v>
      </c>
      <c r="CJ42" s="232" t="n">
        <v>0</v>
      </c>
      <c r="CK42" s="223" t="n">
        <v>0</v>
      </c>
      <c r="CL42" s="223" t="n">
        <v>0</v>
      </c>
    </row>
    <row r="43" customFormat="false" ht="15.75" hidden="false" customHeight="false" outlineLevel="3" collapsed="false">
      <c r="A43" s="58" t="s">
        <v>484</v>
      </c>
      <c r="B43" s="58" t="s">
        <v>485</v>
      </c>
      <c r="C43" s="58" t="s">
        <v>472</v>
      </c>
      <c r="D43" s="58" t="s">
        <v>473</v>
      </c>
      <c r="E43" s="58" t="s">
        <v>490</v>
      </c>
      <c r="F43" s="58" t="s">
        <v>380</v>
      </c>
      <c r="G43" s="58" t="s">
        <v>487</v>
      </c>
      <c r="H43" s="274" t="s">
        <v>488</v>
      </c>
      <c r="I43" s="219" t="s">
        <v>382</v>
      </c>
      <c r="J43" s="220" t="n">
        <v>172031</v>
      </c>
      <c r="K43" s="221" t="n">
        <v>172031</v>
      </c>
      <c r="L43" s="223" t="n">
        <v>0</v>
      </c>
      <c r="M43" s="223" t="n">
        <v>0.5</v>
      </c>
      <c r="N43" s="223" t="n">
        <v>1</v>
      </c>
      <c r="O43" s="222" t="n">
        <v>0</v>
      </c>
      <c r="P43" s="224" t="n">
        <v>0</v>
      </c>
      <c r="Q43" s="224" t="n">
        <v>0</v>
      </c>
      <c r="R43" s="225" t="s">
        <v>491</v>
      </c>
      <c r="S43" s="226" t="n">
        <v>1</v>
      </c>
      <c r="T43" s="225" t="n">
        <v>0</v>
      </c>
      <c r="U43" s="227" t="n">
        <v>0</v>
      </c>
      <c r="V43" s="222" t="s">
        <v>384</v>
      </c>
      <c r="W43" s="222" t="n">
        <v>0</v>
      </c>
      <c r="X43" s="222" t="n">
        <v>0</v>
      </c>
      <c r="Y43" s="222" t="n">
        <v>0</v>
      </c>
      <c r="Z43" s="222" t="n">
        <v>0</v>
      </c>
      <c r="AA43" s="222" t="n">
        <v>0</v>
      </c>
      <c r="AB43" s="222" t="n">
        <v>0</v>
      </c>
      <c r="AC43" s="227" t="n">
        <v>0</v>
      </c>
      <c r="AD43" s="222" t="n">
        <v>0</v>
      </c>
      <c r="AE43" s="222" t="n">
        <v>0</v>
      </c>
      <c r="AF43" s="222" t="n">
        <v>0</v>
      </c>
      <c r="AG43" s="222" t="n">
        <v>0</v>
      </c>
      <c r="AH43" s="228" t="n">
        <v>-23507915</v>
      </c>
      <c r="AI43" s="222" t="n">
        <v>0</v>
      </c>
      <c r="AJ43" s="222" t="n">
        <v>23507915</v>
      </c>
      <c r="AK43" s="229" t="n">
        <v>0</v>
      </c>
      <c r="AL43" s="230" t="n">
        <v>0</v>
      </c>
      <c r="AM43" s="222" t="n">
        <v>23507915</v>
      </c>
      <c r="AN43" s="230" t="n">
        <v>0</v>
      </c>
      <c r="AO43" s="223" t="n">
        <v>0</v>
      </c>
      <c r="AP43" s="222" t="n">
        <v>0</v>
      </c>
      <c r="AQ43" s="231" t="n">
        <v>1</v>
      </c>
      <c r="AR43" s="222" t="n">
        <v>0</v>
      </c>
      <c r="AS43" s="222" t="n">
        <v>0</v>
      </c>
      <c r="AT43" s="222" t="n">
        <v>0</v>
      </c>
      <c r="AU43" s="222" t="n">
        <v>0</v>
      </c>
      <c r="AV43" s="222" t="n">
        <v>0</v>
      </c>
      <c r="AW43" s="222" t="n">
        <v>0</v>
      </c>
      <c r="AX43" s="222" t="n">
        <v>-23507915</v>
      </c>
      <c r="AY43" s="222" t="n">
        <v>0</v>
      </c>
      <c r="AZ43" s="222" t="n">
        <v>23507915</v>
      </c>
      <c r="BA43" s="222" t="n">
        <v>0</v>
      </c>
      <c r="BB43" s="222" t="s">
        <v>380</v>
      </c>
      <c r="BC43" s="222" t="s">
        <v>380</v>
      </c>
      <c r="BD43" s="222" t="n">
        <v>0</v>
      </c>
      <c r="BE43" s="222" t="n">
        <v>0</v>
      </c>
      <c r="BF43" s="222" t="n">
        <v>0</v>
      </c>
      <c r="BG43" s="222" t="n">
        <v>0</v>
      </c>
      <c r="BH43" s="222" t="n">
        <v>-23507915</v>
      </c>
      <c r="BI43" s="222" t="n">
        <v>0</v>
      </c>
      <c r="BJ43" s="222" t="n">
        <v>23507915</v>
      </c>
      <c r="BK43" s="222" t="n">
        <v>0</v>
      </c>
      <c r="BL43" s="236" t="n">
        <v>0</v>
      </c>
      <c r="BM43" s="222" t="s">
        <v>385</v>
      </c>
      <c r="BN43" s="222" t="n">
        <v>0</v>
      </c>
      <c r="BO43" s="232" t="b">
        <f aca="false">FALSE()</f>
        <v>0</v>
      </c>
      <c r="BP43" s="232" t="n">
        <v>23507915</v>
      </c>
      <c r="BQ43" s="224" t="n">
        <v>89.2281</v>
      </c>
      <c r="BR43" s="223" t="n">
        <v>15349999.2711</v>
      </c>
      <c r="BS43" s="234" t="n">
        <v>73</v>
      </c>
      <c r="BT43" s="223" t="n">
        <v>0</v>
      </c>
      <c r="BU43" s="235" t="n">
        <v>0</v>
      </c>
      <c r="BV43" s="223" t="n">
        <v>39</v>
      </c>
      <c r="BW43" s="236" t="n">
        <v>0</v>
      </c>
      <c r="BX43" s="236" t="n">
        <v>0</v>
      </c>
      <c r="BY43" s="232" t="n">
        <v>0</v>
      </c>
      <c r="BZ43" s="232" t="n">
        <v>0</v>
      </c>
      <c r="CA43" s="232" t="n">
        <v>0</v>
      </c>
      <c r="CB43" s="232" t="n">
        <v>0</v>
      </c>
      <c r="CC43" s="232" t="n">
        <v>0</v>
      </c>
      <c r="CD43" s="232" t="n">
        <v>0</v>
      </c>
      <c r="CE43" s="232" t="n">
        <v>0</v>
      </c>
      <c r="CF43" s="232" t="n">
        <v>0</v>
      </c>
      <c r="CG43" s="232" t="n">
        <v>-23507915</v>
      </c>
      <c r="CH43" s="232" t="n">
        <v>0</v>
      </c>
      <c r="CI43" s="232" t="n">
        <v>23507915</v>
      </c>
      <c r="CJ43" s="232" t="n">
        <v>0</v>
      </c>
      <c r="CK43" s="223" t="n">
        <v>0.5</v>
      </c>
      <c r="CL43" s="223" t="n">
        <v>0</v>
      </c>
    </row>
    <row r="44" customFormat="false" ht="15.75" hidden="false" customHeight="false" outlineLevel="3" collapsed="false">
      <c r="A44" s="58" t="s">
        <v>484</v>
      </c>
      <c r="B44" s="58" t="s">
        <v>485</v>
      </c>
      <c r="C44" s="58" t="s">
        <v>472</v>
      </c>
      <c r="D44" s="58" t="s">
        <v>473</v>
      </c>
      <c r="E44" s="58" t="s">
        <v>492</v>
      </c>
      <c r="F44" s="58" t="s">
        <v>380</v>
      </c>
      <c r="G44" s="274" t="s">
        <v>493</v>
      </c>
      <c r="H44" s="274" t="s">
        <v>488</v>
      </c>
      <c r="I44" s="219" t="s">
        <v>382</v>
      </c>
      <c r="J44" s="220" t="n">
        <v>1</v>
      </c>
      <c r="K44" s="221" t="n">
        <v>1</v>
      </c>
      <c r="L44" s="223" t="n">
        <v>0</v>
      </c>
      <c r="M44" s="223" t="n">
        <v>0</v>
      </c>
      <c r="N44" s="223" t="n">
        <v>1</v>
      </c>
      <c r="O44" s="222" t="n">
        <v>0</v>
      </c>
      <c r="P44" s="224" t="n">
        <v>0</v>
      </c>
      <c r="Q44" s="224" t="n">
        <v>0</v>
      </c>
      <c r="R44" s="225" t="s">
        <v>494</v>
      </c>
      <c r="S44" s="226" t="n">
        <v>1</v>
      </c>
      <c r="T44" s="225" t="n">
        <v>0</v>
      </c>
      <c r="U44" s="227" t="n">
        <v>0</v>
      </c>
      <c r="V44" s="222" t="s">
        <v>384</v>
      </c>
      <c r="W44" s="222" t="n">
        <v>0</v>
      </c>
      <c r="X44" s="222" t="n">
        <v>0</v>
      </c>
      <c r="Y44" s="222" t="n">
        <v>0</v>
      </c>
      <c r="Z44" s="222" t="n">
        <v>0</v>
      </c>
      <c r="AA44" s="222" t="n">
        <v>0</v>
      </c>
      <c r="AB44" s="222" t="n">
        <v>0</v>
      </c>
      <c r="AC44" s="227" t="n">
        <v>0</v>
      </c>
      <c r="AD44" s="222" t="n">
        <v>0</v>
      </c>
      <c r="AE44" s="222" t="n">
        <v>0</v>
      </c>
      <c r="AF44" s="222" t="n">
        <v>0</v>
      </c>
      <c r="AG44" s="222" t="n">
        <v>0</v>
      </c>
      <c r="AH44" s="228" t="n">
        <v>-10372212</v>
      </c>
      <c r="AI44" s="222" t="n">
        <v>0</v>
      </c>
      <c r="AJ44" s="222" t="n">
        <v>10372212</v>
      </c>
      <c r="AK44" s="229" t="n">
        <v>0</v>
      </c>
      <c r="AL44" s="230" t="n">
        <v>0</v>
      </c>
      <c r="AM44" s="222" t="n">
        <v>10372212</v>
      </c>
      <c r="AN44" s="230" t="n">
        <v>0</v>
      </c>
      <c r="AO44" s="223" t="n">
        <v>0</v>
      </c>
      <c r="AP44" s="222" t="n">
        <v>0</v>
      </c>
      <c r="AQ44" s="231" t="n">
        <v>1</v>
      </c>
      <c r="AR44" s="222" t="n">
        <v>0</v>
      </c>
      <c r="AS44" s="222" t="n">
        <v>0</v>
      </c>
      <c r="AT44" s="222" t="n">
        <v>0</v>
      </c>
      <c r="AU44" s="222" t="n">
        <v>0</v>
      </c>
      <c r="AV44" s="222" t="n">
        <v>0</v>
      </c>
      <c r="AW44" s="222" t="n">
        <v>0</v>
      </c>
      <c r="AX44" s="222" t="n">
        <v>-10372212</v>
      </c>
      <c r="AY44" s="222" t="n">
        <v>0</v>
      </c>
      <c r="AZ44" s="222" t="n">
        <v>10372212</v>
      </c>
      <c r="BA44" s="222" t="n">
        <v>0</v>
      </c>
      <c r="BB44" s="222" t="s">
        <v>380</v>
      </c>
      <c r="BC44" s="222" t="s">
        <v>380</v>
      </c>
      <c r="BD44" s="222" t="n">
        <v>0</v>
      </c>
      <c r="BE44" s="222" t="n">
        <v>0</v>
      </c>
      <c r="BF44" s="222" t="n">
        <v>0</v>
      </c>
      <c r="BG44" s="222" t="n">
        <v>0</v>
      </c>
      <c r="BH44" s="222" t="n">
        <v>-10372212</v>
      </c>
      <c r="BI44" s="222" t="n">
        <v>0</v>
      </c>
      <c r="BJ44" s="222" t="n">
        <v>10372212</v>
      </c>
      <c r="BK44" s="222" t="n">
        <v>0</v>
      </c>
      <c r="BL44" s="222" t="n">
        <v>0</v>
      </c>
      <c r="BM44" s="222" t="s">
        <v>385</v>
      </c>
      <c r="BN44" s="222" t="n">
        <v>0</v>
      </c>
      <c r="BO44" s="232" t="b">
        <f aca="false">FALSE()</f>
        <v>0</v>
      </c>
      <c r="BP44" s="232" t="n">
        <v>10372212</v>
      </c>
      <c r="BQ44" s="224" t="n">
        <v>0</v>
      </c>
      <c r="BR44" s="223" t="n">
        <v>0</v>
      </c>
      <c r="BS44" s="234" t="n">
        <v>73</v>
      </c>
      <c r="BT44" s="223" t="n">
        <v>0</v>
      </c>
      <c r="BU44" s="235" t="n">
        <v>0</v>
      </c>
      <c r="BV44" s="223" t="n">
        <v>41</v>
      </c>
      <c r="BW44" s="236" t="n">
        <v>0</v>
      </c>
      <c r="BX44" s="236" t="n">
        <v>0</v>
      </c>
      <c r="BY44" s="232" t="n">
        <v>0</v>
      </c>
      <c r="BZ44" s="232" t="n">
        <v>0</v>
      </c>
      <c r="CA44" s="232" t="n">
        <v>0</v>
      </c>
      <c r="CB44" s="232" t="n">
        <v>0</v>
      </c>
      <c r="CC44" s="232" t="n">
        <v>0</v>
      </c>
      <c r="CD44" s="232" t="n">
        <v>0</v>
      </c>
      <c r="CE44" s="232" t="n">
        <v>0</v>
      </c>
      <c r="CF44" s="232" t="n">
        <v>0</v>
      </c>
      <c r="CG44" s="232" t="n">
        <v>-10372212</v>
      </c>
      <c r="CH44" s="232" t="n">
        <v>0</v>
      </c>
      <c r="CI44" s="232" t="n">
        <v>10372212</v>
      </c>
      <c r="CJ44" s="232" t="n">
        <v>0</v>
      </c>
      <c r="CK44" s="223" t="n">
        <v>0</v>
      </c>
      <c r="CL44" s="223" t="n">
        <v>0</v>
      </c>
    </row>
    <row r="45" customFormat="false" ht="20.1" hidden="false" customHeight="true" outlineLevel="2" collapsed="false">
      <c r="A45" s="238" t="s">
        <v>495</v>
      </c>
      <c r="B45" s="238"/>
      <c r="C45" s="238"/>
      <c r="D45" s="238"/>
      <c r="E45" s="238"/>
      <c r="F45" s="238"/>
      <c r="G45" s="275"/>
      <c r="H45" s="275"/>
      <c r="I45" s="239"/>
      <c r="J45" s="240"/>
      <c r="K45" s="241"/>
      <c r="L45" s="243"/>
      <c r="M45" s="243"/>
      <c r="N45" s="243"/>
      <c r="O45" s="242"/>
      <c r="P45" s="244"/>
      <c r="Q45" s="244"/>
      <c r="R45" s="245" t="n">
        <v>0</v>
      </c>
      <c r="S45" s="246" t="n">
        <v>3</v>
      </c>
      <c r="T45" s="245" t="n">
        <v>0</v>
      </c>
      <c r="U45" s="247" t="n">
        <v>1247943.5</v>
      </c>
      <c r="V45" s="242"/>
      <c r="W45" s="242" t="n">
        <v>0</v>
      </c>
      <c r="X45" s="242" t="n">
        <v>0</v>
      </c>
      <c r="Y45" s="242" t="n">
        <v>0</v>
      </c>
      <c r="Z45" s="242" t="n">
        <v>0</v>
      </c>
      <c r="AA45" s="242" t="n">
        <v>0</v>
      </c>
      <c r="AB45" s="242" t="n">
        <v>0</v>
      </c>
      <c r="AC45" s="247" t="n">
        <v>1247943.5</v>
      </c>
      <c r="AD45" s="242" t="n">
        <v>0</v>
      </c>
      <c r="AE45" s="242" t="n">
        <v>0</v>
      </c>
      <c r="AF45" s="242" t="n">
        <v>0</v>
      </c>
      <c r="AG45" s="242" t="n">
        <v>0</v>
      </c>
      <c r="AH45" s="248" t="n">
        <v>-34055357.57</v>
      </c>
      <c r="AI45" s="242" t="n">
        <v>0</v>
      </c>
      <c r="AJ45" s="242" t="n">
        <v>34055357.57</v>
      </c>
      <c r="AK45" s="249" t="n">
        <v>0</v>
      </c>
      <c r="AL45" s="250"/>
      <c r="AM45" s="242" t="n">
        <v>35128070.5</v>
      </c>
      <c r="AN45" s="250"/>
      <c r="AO45" s="243"/>
      <c r="AP45" s="242" t="n">
        <v>1247943.5</v>
      </c>
      <c r="AQ45" s="251"/>
      <c r="AR45" s="242"/>
      <c r="AS45" s="242"/>
      <c r="AT45" s="242" t="n">
        <v>0</v>
      </c>
      <c r="AU45" s="242" t="n">
        <v>0</v>
      </c>
      <c r="AV45" s="242" t="n">
        <v>0</v>
      </c>
      <c r="AW45" s="242" t="n">
        <v>0</v>
      </c>
      <c r="AX45" s="242" t="n">
        <v>-34055357.57</v>
      </c>
      <c r="AY45" s="242" t="n">
        <v>0</v>
      </c>
      <c r="AZ45" s="242" t="n">
        <v>34055357.57</v>
      </c>
      <c r="BA45" s="242" t="n">
        <v>0</v>
      </c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4"/>
      <c r="BR45" s="243"/>
      <c r="BS45" s="253"/>
      <c r="BT45" s="243"/>
      <c r="BU45" s="254"/>
      <c r="BV45" s="243"/>
      <c r="BW45" s="255"/>
      <c r="BX45" s="255"/>
      <c r="BY45" s="242"/>
      <c r="BZ45" s="242"/>
      <c r="CA45" s="242" t="n">
        <v>175230.57</v>
      </c>
      <c r="CB45" s="242"/>
      <c r="CC45" s="242"/>
      <c r="CD45" s="242"/>
      <c r="CE45" s="242"/>
      <c r="CF45" s="242"/>
      <c r="CG45" s="242"/>
      <c r="CH45" s="242"/>
      <c r="CI45" s="242"/>
      <c r="CJ45" s="242"/>
      <c r="CK45" s="243"/>
      <c r="CL45" s="243"/>
    </row>
    <row r="46" customFormat="false" ht="15.75" hidden="false" customHeight="false" outlineLevel="3" collapsed="false">
      <c r="A46" s="58" t="s">
        <v>449</v>
      </c>
      <c r="B46" s="58" t="s">
        <v>485</v>
      </c>
      <c r="C46" s="58" t="s">
        <v>472</v>
      </c>
      <c r="D46" s="58" t="s">
        <v>473</v>
      </c>
      <c r="E46" s="58" t="s">
        <v>496</v>
      </c>
      <c r="F46" s="58" t="s">
        <v>469</v>
      </c>
      <c r="G46" s="58" t="s">
        <v>487</v>
      </c>
      <c r="H46" s="58" t="s">
        <v>99</v>
      </c>
      <c r="I46" s="219" t="s">
        <v>382</v>
      </c>
      <c r="J46" s="221" t="n">
        <v>10134.6</v>
      </c>
      <c r="K46" s="221" t="n">
        <v>10134.6</v>
      </c>
      <c r="L46" s="223" t="n">
        <v>0</v>
      </c>
      <c r="M46" s="223" t="n">
        <v>0</v>
      </c>
      <c r="N46" s="223" t="n">
        <v>1</v>
      </c>
      <c r="O46" s="222" t="n">
        <v>8.3125</v>
      </c>
      <c r="P46" s="224" t="n">
        <v>8.1875</v>
      </c>
      <c r="Q46" s="224" t="n">
        <v>0.125</v>
      </c>
      <c r="R46" s="225" t="s">
        <v>497</v>
      </c>
      <c r="S46" s="226" t="n">
        <v>0.6</v>
      </c>
      <c r="T46" s="225" t="n">
        <v>0</v>
      </c>
      <c r="U46" s="227" t="n">
        <v>84243.8625000001</v>
      </c>
      <c r="V46" s="222" t="s">
        <v>384</v>
      </c>
      <c r="W46" s="222" t="n">
        <v>0</v>
      </c>
      <c r="X46" s="222" t="n">
        <v>0</v>
      </c>
      <c r="Y46" s="222" t="n">
        <v>0</v>
      </c>
      <c r="Z46" s="222" t="n">
        <v>0</v>
      </c>
      <c r="AA46" s="222" t="n">
        <v>0</v>
      </c>
      <c r="AB46" s="222" t="n">
        <v>0</v>
      </c>
      <c r="AC46" s="227" t="n">
        <v>82977.0375000001</v>
      </c>
      <c r="AD46" s="222" t="n">
        <v>1266.825</v>
      </c>
      <c r="AE46" s="222" t="n">
        <v>0</v>
      </c>
      <c r="AF46" s="222" t="n">
        <v>-1266.825</v>
      </c>
      <c r="AG46" s="222" t="n">
        <v>0</v>
      </c>
      <c r="AH46" s="228" t="n">
        <v>4433.88750000036</v>
      </c>
      <c r="AI46" s="222" t="n">
        <v>0</v>
      </c>
      <c r="AJ46" s="222" t="n">
        <v>-4433.88750000036</v>
      </c>
      <c r="AK46" s="229" t="n">
        <v>0</v>
      </c>
      <c r="AL46" s="230" t="n">
        <v>0</v>
      </c>
      <c r="AM46" s="222" t="n">
        <v>79809.9750000001</v>
      </c>
      <c r="AN46" s="223" t="n">
        <v>0</v>
      </c>
      <c r="AO46" s="230" t="n">
        <v>0</v>
      </c>
      <c r="AP46" s="222" t="n">
        <v>403753.416</v>
      </c>
      <c r="AQ46" s="231" t="n">
        <v>1</v>
      </c>
      <c r="AR46" s="222" t="n">
        <v>84243.8625000001</v>
      </c>
      <c r="AS46" s="222" t="n">
        <v>8.3125</v>
      </c>
      <c r="AT46" s="222" t="n">
        <v>12034.8375000001</v>
      </c>
      <c r="AU46" s="222" t="n">
        <v>0</v>
      </c>
      <c r="AV46" s="222" t="n">
        <v>-12034.8375000001</v>
      </c>
      <c r="AW46" s="222" t="n">
        <v>0</v>
      </c>
      <c r="AX46" s="222" t="n">
        <v>4433.88750000036</v>
      </c>
      <c r="AY46" s="222" t="n">
        <v>0</v>
      </c>
      <c r="AZ46" s="222" t="n">
        <v>-4433.88750000036</v>
      </c>
      <c r="BA46" s="222" t="n">
        <v>0</v>
      </c>
      <c r="BB46" s="222" t="n">
        <v>8.3125</v>
      </c>
      <c r="BC46" s="222" t="n">
        <v>8.1875</v>
      </c>
      <c r="BD46" s="222" t="n">
        <v>10768.0125000001</v>
      </c>
      <c r="BE46" s="222" t="n">
        <v>0</v>
      </c>
      <c r="BF46" s="222" t="n">
        <v>-10768.0125000001</v>
      </c>
      <c r="BG46" s="222" t="n">
        <v>0</v>
      </c>
      <c r="BH46" s="222" t="n">
        <v>3167.06250000037</v>
      </c>
      <c r="BI46" s="222" t="n">
        <v>0</v>
      </c>
      <c r="BJ46" s="222" t="n">
        <v>-3167.06250000037</v>
      </c>
      <c r="BK46" s="222" t="n">
        <v>0</v>
      </c>
      <c r="BL46" s="222" t="n">
        <v>403753.416</v>
      </c>
      <c r="BM46" s="222" t="s">
        <v>395</v>
      </c>
      <c r="BN46" s="222" t="n">
        <v>0</v>
      </c>
      <c r="BO46" s="232" t="b">
        <f aca="false">FALSE()</f>
        <v>0</v>
      </c>
      <c r="BP46" s="232" t="n">
        <v>-3167.06250000037</v>
      </c>
      <c r="BQ46" s="224" t="n">
        <v>1.12</v>
      </c>
      <c r="BR46" s="223" t="n">
        <v>11350.752</v>
      </c>
      <c r="BS46" s="234" t="n">
        <v>72</v>
      </c>
      <c r="BT46" s="223" t="n">
        <v>1266.825</v>
      </c>
      <c r="BU46" s="235" t="n">
        <v>10134.6</v>
      </c>
      <c r="BV46" s="223" t="n">
        <v>7</v>
      </c>
      <c r="BW46" s="236" t="n">
        <v>8.3125</v>
      </c>
      <c r="BX46" s="236" t="n">
        <v>0</v>
      </c>
      <c r="BY46" s="232" t="n">
        <v>0</v>
      </c>
      <c r="BZ46" s="232" t="n">
        <v>0</v>
      </c>
      <c r="CA46" s="232" t="n">
        <v>0</v>
      </c>
      <c r="CB46" s="232" t="n">
        <v>0</v>
      </c>
      <c r="CC46" s="232" t="n">
        <v>0</v>
      </c>
      <c r="CD46" s="232" t="n">
        <v>0</v>
      </c>
      <c r="CE46" s="232" t="n">
        <v>0</v>
      </c>
      <c r="CF46" s="232" t="n">
        <v>0</v>
      </c>
      <c r="CG46" s="232" t="n">
        <v>3167.06250000037</v>
      </c>
      <c r="CH46" s="232" t="n">
        <v>0</v>
      </c>
      <c r="CI46" s="232" t="n">
        <v>-3167.06250000037</v>
      </c>
      <c r="CJ46" s="232" t="n">
        <v>0</v>
      </c>
      <c r="CK46" s="223" t="n">
        <v>0</v>
      </c>
      <c r="CL46" s="223" t="n">
        <v>0</v>
      </c>
    </row>
    <row r="47" customFormat="false" ht="20.1" hidden="false" customHeight="true" outlineLevel="2" collapsed="false">
      <c r="A47" s="238" t="s">
        <v>457</v>
      </c>
      <c r="B47" s="238"/>
      <c r="C47" s="238"/>
      <c r="D47" s="238"/>
      <c r="E47" s="238"/>
      <c r="F47" s="238"/>
      <c r="G47" s="238"/>
      <c r="H47" s="238"/>
      <c r="I47" s="239"/>
      <c r="J47" s="241"/>
      <c r="K47" s="241"/>
      <c r="L47" s="243"/>
      <c r="M47" s="243"/>
      <c r="N47" s="243"/>
      <c r="O47" s="242"/>
      <c r="P47" s="244"/>
      <c r="Q47" s="244"/>
      <c r="R47" s="245" t="n">
        <v>0</v>
      </c>
      <c r="S47" s="246" t="n">
        <v>0.6</v>
      </c>
      <c r="T47" s="245" t="n">
        <v>0</v>
      </c>
      <c r="U47" s="247" t="n">
        <v>84243.8625000001</v>
      </c>
      <c r="V47" s="242"/>
      <c r="W47" s="242" t="n">
        <v>0</v>
      </c>
      <c r="X47" s="242" t="n">
        <v>0</v>
      </c>
      <c r="Y47" s="242" t="n">
        <v>0</v>
      </c>
      <c r="Z47" s="242" t="n">
        <v>0</v>
      </c>
      <c r="AA47" s="242" t="n">
        <v>0</v>
      </c>
      <c r="AB47" s="242" t="n">
        <v>0</v>
      </c>
      <c r="AC47" s="247" t="n">
        <v>82977.0375000001</v>
      </c>
      <c r="AD47" s="242" t="n">
        <v>1266.825</v>
      </c>
      <c r="AE47" s="242" t="n">
        <v>0</v>
      </c>
      <c r="AF47" s="242" t="n">
        <v>-1266.825</v>
      </c>
      <c r="AG47" s="242" t="n">
        <v>0</v>
      </c>
      <c r="AH47" s="248" t="n">
        <v>4433.88750000036</v>
      </c>
      <c r="AI47" s="242" t="n">
        <v>0</v>
      </c>
      <c r="AJ47" s="242" t="n">
        <v>-4433.88750000036</v>
      </c>
      <c r="AK47" s="249" t="n">
        <v>0</v>
      </c>
      <c r="AL47" s="250"/>
      <c r="AM47" s="242" t="n">
        <v>79809.9750000001</v>
      </c>
      <c r="AN47" s="243"/>
      <c r="AO47" s="250"/>
      <c r="AP47" s="242" t="n">
        <v>403753.416</v>
      </c>
      <c r="AQ47" s="251"/>
      <c r="AR47" s="242"/>
      <c r="AS47" s="242"/>
      <c r="AT47" s="242" t="n">
        <v>12034.8375000001</v>
      </c>
      <c r="AU47" s="242" t="n">
        <v>0</v>
      </c>
      <c r="AV47" s="242" t="n">
        <v>-12034.8375000001</v>
      </c>
      <c r="AW47" s="242" t="n">
        <v>0</v>
      </c>
      <c r="AX47" s="242" t="n">
        <v>4433.88750000036</v>
      </c>
      <c r="AY47" s="242" t="n">
        <v>0</v>
      </c>
      <c r="AZ47" s="242" t="n">
        <v>-4433.88750000036</v>
      </c>
      <c r="BA47" s="242" t="n">
        <v>0</v>
      </c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4"/>
      <c r="BR47" s="243"/>
      <c r="BS47" s="253"/>
      <c r="BT47" s="243"/>
      <c r="BU47" s="254"/>
      <c r="BV47" s="243"/>
      <c r="BW47" s="255"/>
      <c r="BX47" s="255"/>
      <c r="BY47" s="242"/>
      <c r="BZ47" s="242"/>
      <c r="CA47" s="242" t="n">
        <v>0</v>
      </c>
      <c r="CB47" s="242"/>
      <c r="CC47" s="242"/>
      <c r="CD47" s="242"/>
      <c r="CE47" s="242"/>
      <c r="CF47" s="242"/>
      <c r="CG47" s="242"/>
      <c r="CH47" s="242"/>
      <c r="CI47" s="242"/>
      <c r="CJ47" s="242"/>
      <c r="CK47" s="243"/>
      <c r="CL47" s="243"/>
    </row>
    <row r="48" customFormat="false" ht="15.75" hidden="false" customHeight="false" outlineLevel="3" collapsed="false">
      <c r="A48" s="58" t="s">
        <v>439</v>
      </c>
      <c r="B48" s="58" t="s">
        <v>485</v>
      </c>
      <c r="C48" s="58" t="s">
        <v>472</v>
      </c>
      <c r="D48" s="58" t="s">
        <v>473</v>
      </c>
      <c r="E48" s="58" t="s">
        <v>498</v>
      </c>
      <c r="F48" s="58" t="s">
        <v>380</v>
      </c>
      <c r="G48" s="58" t="s">
        <v>487</v>
      </c>
      <c r="H48" s="58" t="s">
        <v>101</v>
      </c>
      <c r="I48" s="219" t="s">
        <v>445</v>
      </c>
      <c r="J48" s="221" t="n">
        <v>1</v>
      </c>
      <c r="K48" s="221" t="n">
        <v>1</v>
      </c>
      <c r="L48" s="223" t="n">
        <v>0</v>
      </c>
      <c r="M48" s="223" t="n">
        <v>0</v>
      </c>
      <c r="N48" s="223" t="n">
        <v>0</v>
      </c>
      <c r="O48" s="222" t="n">
        <v>0</v>
      </c>
      <c r="P48" s="223" t="n">
        <v>0</v>
      </c>
      <c r="Q48" s="223" t="n">
        <v>0</v>
      </c>
      <c r="R48" s="225" t="s">
        <v>499</v>
      </c>
      <c r="S48" s="271" t="n">
        <v>1</v>
      </c>
      <c r="T48" s="225" t="n">
        <v>0</v>
      </c>
      <c r="U48" s="227" t="n">
        <v>0</v>
      </c>
      <c r="V48" s="222" t="s">
        <v>384</v>
      </c>
      <c r="W48" s="222" t="n">
        <v>0</v>
      </c>
      <c r="X48" s="222" t="n">
        <v>0</v>
      </c>
      <c r="Y48" s="222" t="n">
        <v>0</v>
      </c>
      <c r="Z48" s="222" t="n">
        <v>0</v>
      </c>
      <c r="AA48" s="222" t="n">
        <v>0</v>
      </c>
      <c r="AB48" s="222" t="n">
        <v>0</v>
      </c>
      <c r="AC48" s="227" t="n">
        <v>0</v>
      </c>
      <c r="AD48" s="222" t="n">
        <v>0</v>
      </c>
      <c r="AE48" s="222" t="n">
        <v>0</v>
      </c>
      <c r="AF48" s="222" t="n">
        <v>0</v>
      </c>
      <c r="AG48" s="222" t="n">
        <v>0</v>
      </c>
      <c r="AH48" s="228" t="n">
        <v>0</v>
      </c>
      <c r="AI48" s="222" t="n">
        <v>0</v>
      </c>
      <c r="AJ48" s="222" t="n">
        <v>0</v>
      </c>
      <c r="AK48" s="229" t="n">
        <v>0</v>
      </c>
      <c r="AL48" s="230" t="n">
        <v>0</v>
      </c>
      <c r="AM48" s="222" t="n">
        <v>0</v>
      </c>
      <c r="AN48" s="223" t="n">
        <v>0</v>
      </c>
      <c r="AO48" s="230" t="n">
        <v>0</v>
      </c>
      <c r="AP48" s="222" t="n">
        <v>0</v>
      </c>
      <c r="AQ48" s="231" t="n">
        <v>1</v>
      </c>
      <c r="AR48" s="222" t="n">
        <v>0</v>
      </c>
      <c r="AS48" s="222" t="n">
        <v>0</v>
      </c>
      <c r="AT48" s="222" t="n">
        <v>0</v>
      </c>
      <c r="AU48" s="222" t="n">
        <v>0</v>
      </c>
      <c r="AV48" s="222" t="n">
        <v>0</v>
      </c>
      <c r="AW48" s="222" t="n">
        <v>0</v>
      </c>
      <c r="AX48" s="222" t="n">
        <v>0</v>
      </c>
      <c r="AY48" s="222" t="n">
        <v>0</v>
      </c>
      <c r="AZ48" s="222" t="n">
        <v>0</v>
      </c>
      <c r="BA48" s="222" t="n">
        <v>0</v>
      </c>
      <c r="BB48" s="222" t="s">
        <v>380</v>
      </c>
      <c r="BC48" s="222" t="s">
        <v>380</v>
      </c>
      <c r="BD48" s="222" t="n">
        <v>0</v>
      </c>
      <c r="BE48" s="222" t="n">
        <v>0</v>
      </c>
      <c r="BF48" s="222" t="n">
        <v>0</v>
      </c>
      <c r="BG48" s="222" t="n">
        <v>0</v>
      </c>
      <c r="BH48" s="222" t="n">
        <v>0</v>
      </c>
      <c r="BI48" s="222" t="n">
        <v>0</v>
      </c>
      <c r="BJ48" s="222" t="n">
        <v>0</v>
      </c>
      <c r="BK48" s="222" t="n">
        <v>0</v>
      </c>
      <c r="BL48" s="222" t="n">
        <v>0</v>
      </c>
      <c r="BM48" s="222" t="s">
        <v>395</v>
      </c>
      <c r="BN48" s="222" t="n">
        <v>0</v>
      </c>
      <c r="BO48" s="232" t="b">
        <f aca="false">FALSE()</f>
        <v>0</v>
      </c>
      <c r="BP48" s="232" t="n">
        <v>0</v>
      </c>
      <c r="BQ48" s="224" t="n">
        <v>0</v>
      </c>
      <c r="BR48" s="223" t="n">
        <v>0</v>
      </c>
      <c r="BS48" s="234" t="n">
        <v>80</v>
      </c>
      <c r="BT48" s="223" t="n">
        <v>0</v>
      </c>
      <c r="BU48" s="235" t="n">
        <v>0</v>
      </c>
      <c r="BV48" s="223" t="n">
        <v>160</v>
      </c>
      <c r="BW48" s="236" t="n">
        <v>0</v>
      </c>
      <c r="BX48" s="236" t="n">
        <v>0</v>
      </c>
      <c r="BY48" s="232" t="n">
        <v>0</v>
      </c>
      <c r="BZ48" s="232" t="n">
        <v>0</v>
      </c>
      <c r="CA48" s="232" t="n">
        <v>0</v>
      </c>
      <c r="CB48" s="232" t="n">
        <v>0</v>
      </c>
      <c r="CC48" s="232" t="n">
        <v>0</v>
      </c>
      <c r="CD48" s="232" t="n">
        <v>0</v>
      </c>
      <c r="CE48" s="232" t="n">
        <v>0</v>
      </c>
      <c r="CF48" s="232" t="n">
        <v>0</v>
      </c>
      <c r="CG48" s="232" t="n">
        <v>0</v>
      </c>
      <c r="CH48" s="232" t="n">
        <v>0</v>
      </c>
      <c r="CI48" s="232" t="n">
        <v>0</v>
      </c>
      <c r="CJ48" s="232" t="n">
        <v>0</v>
      </c>
      <c r="CK48" s="223" t="n">
        <v>0</v>
      </c>
      <c r="CL48" s="223" t="n">
        <v>0</v>
      </c>
    </row>
    <row r="49" customFormat="false" ht="20.1" hidden="false" customHeight="true" outlineLevel="2" collapsed="false">
      <c r="A49" s="238" t="s">
        <v>447</v>
      </c>
      <c r="B49" s="238"/>
      <c r="C49" s="238"/>
      <c r="D49" s="238"/>
      <c r="E49" s="238"/>
      <c r="F49" s="238"/>
      <c r="G49" s="238"/>
      <c r="H49" s="238"/>
      <c r="I49" s="239"/>
      <c r="J49" s="241"/>
      <c r="K49" s="241"/>
      <c r="L49" s="243"/>
      <c r="M49" s="243"/>
      <c r="N49" s="243"/>
      <c r="O49" s="242"/>
      <c r="P49" s="243"/>
      <c r="Q49" s="243"/>
      <c r="R49" s="245" t="n">
        <v>0</v>
      </c>
      <c r="S49" s="272" t="n">
        <v>1</v>
      </c>
      <c r="T49" s="245" t="n">
        <v>0</v>
      </c>
      <c r="U49" s="247" t="n">
        <v>0</v>
      </c>
      <c r="V49" s="242"/>
      <c r="W49" s="242" t="n">
        <v>0</v>
      </c>
      <c r="X49" s="242" t="n">
        <v>0</v>
      </c>
      <c r="Y49" s="242" t="n">
        <v>0</v>
      </c>
      <c r="Z49" s="242" t="n">
        <v>0</v>
      </c>
      <c r="AA49" s="242" t="n">
        <v>0</v>
      </c>
      <c r="AB49" s="242" t="n">
        <v>0</v>
      </c>
      <c r="AC49" s="247" t="n">
        <v>0</v>
      </c>
      <c r="AD49" s="242" t="n">
        <v>0</v>
      </c>
      <c r="AE49" s="242" t="n">
        <v>0</v>
      </c>
      <c r="AF49" s="242" t="n">
        <v>0</v>
      </c>
      <c r="AG49" s="242" t="n">
        <v>0</v>
      </c>
      <c r="AH49" s="248" t="n">
        <v>0</v>
      </c>
      <c r="AI49" s="242" t="n">
        <v>0</v>
      </c>
      <c r="AJ49" s="242" t="n">
        <v>0</v>
      </c>
      <c r="AK49" s="249" t="n">
        <v>0</v>
      </c>
      <c r="AL49" s="250"/>
      <c r="AM49" s="242" t="n">
        <v>0</v>
      </c>
      <c r="AN49" s="243"/>
      <c r="AO49" s="250"/>
      <c r="AP49" s="242" t="n">
        <v>0</v>
      </c>
      <c r="AQ49" s="251"/>
      <c r="AR49" s="242"/>
      <c r="AS49" s="242"/>
      <c r="AT49" s="242" t="n">
        <v>0</v>
      </c>
      <c r="AU49" s="242" t="n">
        <v>0</v>
      </c>
      <c r="AV49" s="242" t="n">
        <v>0</v>
      </c>
      <c r="AW49" s="242" t="n">
        <v>0</v>
      </c>
      <c r="AX49" s="242" t="n">
        <v>0</v>
      </c>
      <c r="AY49" s="242" t="n">
        <v>0</v>
      </c>
      <c r="AZ49" s="242" t="n">
        <v>0</v>
      </c>
      <c r="BA49" s="242" t="n">
        <v>0</v>
      </c>
      <c r="BB49" s="242"/>
      <c r="BC49" s="242"/>
      <c r="BD49" s="242"/>
      <c r="BE49" s="242"/>
      <c r="BF49" s="242"/>
      <c r="BG49" s="242"/>
      <c r="BH49" s="242"/>
      <c r="BI49" s="242"/>
      <c r="BJ49" s="242"/>
      <c r="BK49" s="242"/>
      <c r="BL49" s="242"/>
      <c r="BM49" s="242"/>
      <c r="BN49" s="242"/>
      <c r="BO49" s="242"/>
      <c r="BP49" s="242"/>
      <c r="BQ49" s="244"/>
      <c r="BR49" s="243"/>
      <c r="BS49" s="253"/>
      <c r="BT49" s="243"/>
      <c r="BU49" s="254"/>
      <c r="BV49" s="243"/>
      <c r="BW49" s="255"/>
      <c r="BX49" s="255"/>
      <c r="BY49" s="242"/>
      <c r="BZ49" s="242"/>
      <c r="CA49" s="242" t="n">
        <v>0</v>
      </c>
      <c r="CB49" s="242"/>
      <c r="CC49" s="242"/>
      <c r="CD49" s="242"/>
      <c r="CE49" s="242"/>
      <c r="CF49" s="242"/>
      <c r="CG49" s="242"/>
      <c r="CH49" s="242"/>
      <c r="CI49" s="242"/>
      <c r="CJ49" s="242"/>
      <c r="CK49" s="243"/>
      <c r="CL49" s="243"/>
    </row>
    <row r="50" customFormat="false" ht="15.75" hidden="false" customHeight="false" outlineLevel="3" collapsed="false">
      <c r="A50" s="58" t="s">
        <v>500</v>
      </c>
      <c r="B50" s="58" t="s">
        <v>485</v>
      </c>
      <c r="C50" s="58" t="s">
        <v>472</v>
      </c>
      <c r="D50" s="58" t="s">
        <v>473</v>
      </c>
      <c r="E50" s="58" t="s">
        <v>501</v>
      </c>
      <c r="F50" s="58" t="s">
        <v>380</v>
      </c>
      <c r="G50" s="58" t="s">
        <v>487</v>
      </c>
      <c r="H50" s="58" t="s">
        <v>101</v>
      </c>
      <c r="I50" s="219" t="s">
        <v>445</v>
      </c>
      <c r="J50" s="221" t="n">
        <v>1</v>
      </c>
      <c r="K50" s="221" t="n">
        <v>1</v>
      </c>
      <c r="L50" s="223" t="n">
        <v>0</v>
      </c>
      <c r="M50" s="223" t="n">
        <v>0</v>
      </c>
      <c r="N50" s="223" t="n">
        <v>0</v>
      </c>
      <c r="O50" s="222" t="n">
        <v>0</v>
      </c>
      <c r="P50" s="223" t="n">
        <v>0</v>
      </c>
      <c r="Q50" s="223" t="n">
        <v>0</v>
      </c>
      <c r="R50" s="225" t="s">
        <v>502</v>
      </c>
      <c r="S50" s="271" t="n">
        <v>1</v>
      </c>
      <c r="T50" s="225" t="n">
        <v>0</v>
      </c>
      <c r="U50" s="227" t="n">
        <v>0</v>
      </c>
      <c r="V50" s="222" t="s">
        <v>384</v>
      </c>
      <c r="W50" s="222" t="n">
        <v>0</v>
      </c>
      <c r="X50" s="222" t="n">
        <v>0</v>
      </c>
      <c r="Y50" s="222" t="n">
        <v>0</v>
      </c>
      <c r="Z50" s="222" t="n">
        <v>0</v>
      </c>
      <c r="AA50" s="222" t="n">
        <v>0</v>
      </c>
      <c r="AB50" s="222" t="n">
        <v>0</v>
      </c>
      <c r="AC50" s="227" t="n">
        <v>0</v>
      </c>
      <c r="AD50" s="222" t="n">
        <v>0</v>
      </c>
      <c r="AE50" s="222" t="n">
        <v>0</v>
      </c>
      <c r="AF50" s="222" t="n">
        <v>0</v>
      </c>
      <c r="AG50" s="222" t="n">
        <v>0</v>
      </c>
      <c r="AH50" s="228" t="n">
        <v>-1165662.43</v>
      </c>
      <c r="AI50" s="222" t="n">
        <v>0</v>
      </c>
      <c r="AJ50" s="222" t="n">
        <v>1165662.43</v>
      </c>
      <c r="AK50" s="229" t="n">
        <v>0</v>
      </c>
      <c r="AL50" s="230" t="n">
        <v>0</v>
      </c>
      <c r="AM50" s="222" t="n">
        <v>1165662.43</v>
      </c>
      <c r="AN50" s="223" t="n">
        <v>0</v>
      </c>
      <c r="AO50" s="230" t="n">
        <v>0</v>
      </c>
      <c r="AP50" s="222" t="n">
        <v>0</v>
      </c>
      <c r="AQ50" s="231" t="n">
        <v>1</v>
      </c>
      <c r="AR50" s="222" t="n">
        <v>0</v>
      </c>
      <c r="AS50" s="222" t="n">
        <v>0</v>
      </c>
      <c r="AT50" s="222" t="n">
        <v>0</v>
      </c>
      <c r="AU50" s="222" t="n">
        <v>0</v>
      </c>
      <c r="AV50" s="222" t="n">
        <v>0</v>
      </c>
      <c r="AW50" s="222" t="n">
        <v>0</v>
      </c>
      <c r="AX50" s="222" t="n">
        <v>-1165662.43</v>
      </c>
      <c r="AY50" s="222" t="n">
        <v>0</v>
      </c>
      <c r="AZ50" s="222" t="n">
        <v>1165662.43</v>
      </c>
      <c r="BA50" s="222" t="n">
        <v>0</v>
      </c>
      <c r="BB50" s="222" t="s">
        <v>380</v>
      </c>
      <c r="BC50" s="222" t="s">
        <v>380</v>
      </c>
      <c r="BD50" s="222" t="n">
        <v>0</v>
      </c>
      <c r="BE50" s="222" t="n">
        <v>0</v>
      </c>
      <c r="BF50" s="222" t="n">
        <v>0</v>
      </c>
      <c r="BG50" s="222" t="n">
        <v>0</v>
      </c>
      <c r="BH50" s="222" t="n">
        <v>-1165662.43</v>
      </c>
      <c r="BI50" s="222" t="n">
        <v>0</v>
      </c>
      <c r="BJ50" s="222" t="n">
        <v>1165662.43</v>
      </c>
      <c r="BK50" s="222" t="n">
        <v>0</v>
      </c>
      <c r="BL50" s="222" t="n">
        <v>0</v>
      </c>
      <c r="BM50" s="222" t="s">
        <v>385</v>
      </c>
      <c r="BN50" s="222" t="n">
        <v>0</v>
      </c>
      <c r="BO50" s="232" t="b">
        <f aca="false">FALSE()</f>
        <v>0</v>
      </c>
      <c r="BP50" s="232" t="n">
        <v>1165662.43</v>
      </c>
      <c r="BQ50" s="224" t="n">
        <v>0</v>
      </c>
      <c r="BR50" s="223" t="n">
        <v>0</v>
      </c>
      <c r="BS50" s="234" t="n">
        <v>82</v>
      </c>
      <c r="BT50" s="223" t="n">
        <v>0</v>
      </c>
      <c r="BU50" s="235" t="n">
        <v>0</v>
      </c>
      <c r="BV50" s="223" t="n">
        <v>165</v>
      </c>
      <c r="BW50" s="236" t="n">
        <v>0</v>
      </c>
      <c r="BX50" s="236" t="n">
        <v>0</v>
      </c>
      <c r="BY50" s="232" t="n">
        <v>0</v>
      </c>
      <c r="BZ50" s="232" t="n">
        <v>0</v>
      </c>
      <c r="CA50" s="232" t="n">
        <v>0</v>
      </c>
      <c r="CB50" s="232" t="n">
        <v>0</v>
      </c>
      <c r="CC50" s="232" t="n">
        <v>0</v>
      </c>
      <c r="CD50" s="232" t="n">
        <v>0</v>
      </c>
      <c r="CE50" s="232" t="n">
        <v>0</v>
      </c>
      <c r="CF50" s="232" t="n">
        <v>0</v>
      </c>
      <c r="CG50" s="232" t="n">
        <v>-1165662.43</v>
      </c>
      <c r="CH50" s="232" t="n">
        <v>0</v>
      </c>
      <c r="CI50" s="232" t="n">
        <v>1165662.43</v>
      </c>
      <c r="CJ50" s="232" t="n">
        <v>0</v>
      </c>
      <c r="CK50" s="223" t="n">
        <v>0</v>
      </c>
      <c r="CL50" s="223" t="n">
        <v>0</v>
      </c>
    </row>
    <row r="51" customFormat="false" ht="15.75" hidden="false" customHeight="false" outlineLevel="3" collapsed="false">
      <c r="A51" s="58" t="s">
        <v>500</v>
      </c>
      <c r="B51" s="58" t="s">
        <v>485</v>
      </c>
      <c r="C51" s="58" t="s">
        <v>472</v>
      </c>
      <c r="D51" s="58" t="s">
        <v>473</v>
      </c>
      <c r="E51" s="58" t="s">
        <v>503</v>
      </c>
      <c r="F51" s="58" t="s">
        <v>380</v>
      </c>
      <c r="G51" s="58" t="s">
        <v>487</v>
      </c>
      <c r="H51" s="58" t="s">
        <v>101</v>
      </c>
      <c r="I51" s="219" t="s">
        <v>445</v>
      </c>
      <c r="J51" s="221" t="n">
        <v>1</v>
      </c>
      <c r="K51" s="221" t="n">
        <v>1</v>
      </c>
      <c r="L51" s="223" t="n">
        <v>0</v>
      </c>
      <c r="M51" s="223" t="n">
        <v>0</v>
      </c>
      <c r="N51" s="223" t="n">
        <v>0</v>
      </c>
      <c r="O51" s="222" t="n">
        <v>0</v>
      </c>
      <c r="P51" s="223" t="n">
        <v>0</v>
      </c>
      <c r="Q51" s="223" t="n">
        <v>0</v>
      </c>
      <c r="R51" s="225" t="s">
        <v>504</v>
      </c>
      <c r="S51" s="226" t="n">
        <v>1</v>
      </c>
      <c r="T51" s="225" t="n">
        <v>0</v>
      </c>
      <c r="U51" s="227" t="n">
        <v>0</v>
      </c>
      <c r="V51" s="222" t="s">
        <v>384</v>
      </c>
      <c r="W51" s="222" t="n">
        <v>0</v>
      </c>
      <c r="X51" s="222" t="n">
        <v>0</v>
      </c>
      <c r="Y51" s="222" t="n">
        <v>0</v>
      </c>
      <c r="Z51" s="222" t="n">
        <v>0</v>
      </c>
      <c r="AA51" s="222" t="n">
        <v>0</v>
      </c>
      <c r="AB51" s="222" t="n">
        <v>0</v>
      </c>
      <c r="AC51" s="227" t="n">
        <v>0</v>
      </c>
      <c r="AD51" s="222" t="n">
        <v>0</v>
      </c>
      <c r="AE51" s="222" t="n">
        <v>0</v>
      </c>
      <c r="AF51" s="222" t="n">
        <v>0</v>
      </c>
      <c r="AG51" s="222" t="n">
        <v>0</v>
      </c>
      <c r="AH51" s="228" t="n">
        <v>570790</v>
      </c>
      <c r="AI51" s="222" t="n">
        <v>0</v>
      </c>
      <c r="AJ51" s="222" t="n">
        <v>-570790</v>
      </c>
      <c r="AK51" s="229" t="n">
        <v>0</v>
      </c>
      <c r="AL51" s="230" t="n">
        <v>0</v>
      </c>
      <c r="AM51" s="222" t="n">
        <v>429210</v>
      </c>
      <c r="AN51" s="223" t="n">
        <v>0</v>
      </c>
      <c r="AO51" s="230" t="n">
        <v>0</v>
      </c>
      <c r="AP51" s="222" t="n">
        <v>0</v>
      </c>
      <c r="AQ51" s="231" t="n">
        <v>1</v>
      </c>
      <c r="AR51" s="222" t="n">
        <v>0</v>
      </c>
      <c r="AS51" s="222" t="n">
        <v>0</v>
      </c>
      <c r="AT51" s="222" t="n">
        <v>0</v>
      </c>
      <c r="AU51" s="222" t="n">
        <v>0</v>
      </c>
      <c r="AV51" s="222" t="n">
        <v>0</v>
      </c>
      <c r="AW51" s="222" t="n">
        <v>0</v>
      </c>
      <c r="AX51" s="222" t="n">
        <v>570790</v>
      </c>
      <c r="AY51" s="222" t="n">
        <v>0</v>
      </c>
      <c r="AZ51" s="222" t="n">
        <v>-570790</v>
      </c>
      <c r="BA51" s="222" t="n">
        <v>0</v>
      </c>
      <c r="BB51" s="222" t="s">
        <v>380</v>
      </c>
      <c r="BC51" s="222" t="s">
        <v>380</v>
      </c>
      <c r="BD51" s="222" t="n">
        <v>0</v>
      </c>
      <c r="BE51" s="222" t="n">
        <v>0</v>
      </c>
      <c r="BF51" s="222" t="n">
        <v>0</v>
      </c>
      <c r="BG51" s="222" t="n">
        <v>0</v>
      </c>
      <c r="BH51" s="222" t="n">
        <v>570790</v>
      </c>
      <c r="BI51" s="222" t="n">
        <v>0</v>
      </c>
      <c r="BJ51" s="222" t="n">
        <v>-570790</v>
      </c>
      <c r="BK51" s="222" t="n">
        <v>0</v>
      </c>
      <c r="BL51" s="222" t="n">
        <v>0</v>
      </c>
      <c r="BM51" s="222" t="s">
        <v>385</v>
      </c>
      <c r="BN51" s="222" t="n">
        <v>0</v>
      </c>
      <c r="BO51" s="232" t="b">
        <f aca="false">FALSE()</f>
        <v>0</v>
      </c>
      <c r="BP51" s="232" t="n">
        <v>-570790</v>
      </c>
      <c r="BQ51" s="224" t="n">
        <v>0</v>
      </c>
      <c r="BR51" s="223" t="n">
        <v>0</v>
      </c>
      <c r="BS51" s="234" t="n">
        <v>82</v>
      </c>
      <c r="BT51" s="223" t="n">
        <v>0</v>
      </c>
      <c r="BU51" s="235" t="n">
        <v>0</v>
      </c>
      <c r="BV51" s="223" t="n">
        <v>177</v>
      </c>
      <c r="BW51" s="236" t="n">
        <v>0</v>
      </c>
      <c r="BX51" s="236" t="n">
        <v>0</v>
      </c>
      <c r="BY51" s="232" t="n">
        <v>0</v>
      </c>
      <c r="BZ51" s="232" t="n">
        <v>0</v>
      </c>
      <c r="CA51" s="232" t="n">
        <v>-1000000</v>
      </c>
      <c r="CB51" s="232" t="n">
        <v>-1000000</v>
      </c>
      <c r="CC51" s="232" t="n">
        <v>0</v>
      </c>
      <c r="CD51" s="232" t="n">
        <v>0</v>
      </c>
      <c r="CE51" s="232" t="n">
        <v>0</v>
      </c>
      <c r="CF51" s="232" t="n">
        <v>0</v>
      </c>
      <c r="CG51" s="232" t="n">
        <v>570790</v>
      </c>
      <c r="CH51" s="232" t="n">
        <v>0</v>
      </c>
      <c r="CI51" s="232" t="n">
        <v>-570790</v>
      </c>
      <c r="CJ51" s="232" t="n">
        <v>0</v>
      </c>
      <c r="CK51" s="223" t="n">
        <v>0</v>
      </c>
      <c r="CL51" s="223" t="n">
        <v>0</v>
      </c>
    </row>
    <row r="52" customFormat="false" ht="15.75" hidden="false" customHeight="false" outlineLevel="3" collapsed="false">
      <c r="A52" s="58" t="s">
        <v>500</v>
      </c>
      <c r="B52" s="58" t="s">
        <v>485</v>
      </c>
      <c r="C52" s="58" t="s">
        <v>472</v>
      </c>
      <c r="D52" s="58" t="s">
        <v>473</v>
      </c>
      <c r="E52" s="58" t="s">
        <v>505</v>
      </c>
      <c r="F52" s="58" t="s">
        <v>380</v>
      </c>
      <c r="G52" s="58" t="s">
        <v>487</v>
      </c>
      <c r="H52" s="58" t="s">
        <v>101</v>
      </c>
      <c r="I52" s="219" t="s">
        <v>445</v>
      </c>
      <c r="J52" s="221" t="n">
        <v>1</v>
      </c>
      <c r="K52" s="221" t="n">
        <v>1</v>
      </c>
      <c r="L52" s="223" t="n">
        <v>0</v>
      </c>
      <c r="M52" s="223" t="n">
        <v>0</v>
      </c>
      <c r="N52" s="223" t="n">
        <v>0</v>
      </c>
      <c r="O52" s="222" t="n">
        <v>0</v>
      </c>
      <c r="P52" s="223" t="n">
        <v>0</v>
      </c>
      <c r="Q52" s="223" t="n">
        <v>0</v>
      </c>
      <c r="R52" s="225" t="s">
        <v>506</v>
      </c>
      <c r="S52" s="226" t="n">
        <v>1</v>
      </c>
      <c r="T52" s="225" t="n">
        <v>0</v>
      </c>
      <c r="U52" s="227" t="n">
        <v>0</v>
      </c>
      <c r="V52" s="222" t="s">
        <v>384</v>
      </c>
      <c r="W52" s="222" t="n">
        <v>0</v>
      </c>
      <c r="X52" s="222" t="n">
        <v>0</v>
      </c>
      <c r="Y52" s="222" t="n">
        <v>0</v>
      </c>
      <c r="Z52" s="222" t="n">
        <v>0</v>
      </c>
      <c r="AA52" s="222" t="n">
        <v>0</v>
      </c>
      <c r="AB52" s="222" t="n">
        <v>0</v>
      </c>
      <c r="AC52" s="227" t="n">
        <v>0</v>
      </c>
      <c r="AD52" s="222" t="n">
        <v>0</v>
      </c>
      <c r="AE52" s="222" t="n">
        <v>0</v>
      </c>
      <c r="AF52" s="222" t="n">
        <v>0</v>
      </c>
      <c r="AG52" s="222" t="n">
        <v>0</v>
      </c>
      <c r="AH52" s="228" t="n">
        <v>-470790</v>
      </c>
      <c r="AI52" s="222" t="n">
        <v>0</v>
      </c>
      <c r="AJ52" s="222" t="n">
        <v>470790</v>
      </c>
      <c r="AK52" s="229" t="n">
        <v>0</v>
      </c>
      <c r="AL52" s="230" t="n">
        <v>0</v>
      </c>
      <c r="AM52" s="222" t="n">
        <v>470790</v>
      </c>
      <c r="AN52" s="223" t="n">
        <v>0</v>
      </c>
      <c r="AO52" s="230" t="n">
        <v>0</v>
      </c>
      <c r="AP52" s="222" t="n">
        <v>0</v>
      </c>
      <c r="AQ52" s="231" t="n">
        <v>1</v>
      </c>
      <c r="AR52" s="222" t="n">
        <v>0</v>
      </c>
      <c r="AS52" s="222" t="n">
        <v>0</v>
      </c>
      <c r="AT52" s="222" t="n">
        <v>0</v>
      </c>
      <c r="AU52" s="222" t="n">
        <v>0</v>
      </c>
      <c r="AV52" s="222" t="n">
        <v>0</v>
      </c>
      <c r="AW52" s="222" t="n">
        <v>0</v>
      </c>
      <c r="AX52" s="222" t="n">
        <v>-470790</v>
      </c>
      <c r="AY52" s="222" t="n">
        <v>0</v>
      </c>
      <c r="AZ52" s="222" t="n">
        <v>470790</v>
      </c>
      <c r="BA52" s="222" t="n">
        <v>0</v>
      </c>
      <c r="BB52" s="222" t="s">
        <v>380</v>
      </c>
      <c r="BC52" s="222" t="s">
        <v>380</v>
      </c>
      <c r="BD52" s="222" t="n">
        <v>0</v>
      </c>
      <c r="BE52" s="222" t="n">
        <v>0</v>
      </c>
      <c r="BF52" s="222" t="n">
        <v>0</v>
      </c>
      <c r="BG52" s="222" t="n">
        <v>0</v>
      </c>
      <c r="BH52" s="222" t="n">
        <v>-470790</v>
      </c>
      <c r="BI52" s="222" t="n">
        <v>0</v>
      </c>
      <c r="BJ52" s="222" t="n">
        <v>470790</v>
      </c>
      <c r="BK52" s="222" t="n">
        <v>0</v>
      </c>
      <c r="BL52" s="222" t="n">
        <v>0</v>
      </c>
      <c r="BM52" s="222" t="s">
        <v>385</v>
      </c>
      <c r="BN52" s="222" t="n">
        <v>0</v>
      </c>
      <c r="BO52" s="232" t="b">
        <f aca="false">FALSE()</f>
        <v>0</v>
      </c>
      <c r="BP52" s="232" t="n">
        <v>470790</v>
      </c>
      <c r="BQ52" s="224" t="n">
        <v>0</v>
      </c>
      <c r="BR52" s="223" t="n">
        <v>0</v>
      </c>
      <c r="BS52" s="234" t="n">
        <v>82</v>
      </c>
      <c r="BT52" s="223" t="n">
        <v>0</v>
      </c>
      <c r="BU52" s="235" t="n">
        <v>0</v>
      </c>
      <c r="BV52" s="223" t="n">
        <v>179</v>
      </c>
      <c r="BW52" s="236" t="n">
        <v>0</v>
      </c>
      <c r="BX52" s="236" t="n">
        <v>0</v>
      </c>
      <c r="BY52" s="232" t="n">
        <v>0</v>
      </c>
      <c r="BZ52" s="232" t="n">
        <v>0</v>
      </c>
      <c r="CA52" s="232" t="n">
        <v>0</v>
      </c>
      <c r="CB52" s="232" t="n">
        <v>0</v>
      </c>
      <c r="CC52" s="232" t="n">
        <v>0</v>
      </c>
      <c r="CD52" s="232" t="n">
        <v>0</v>
      </c>
      <c r="CE52" s="232" t="n">
        <v>0</v>
      </c>
      <c r="CF52" s="232" t="n">
        <v>0</v>
      </c>
      <c r="CG52" s="232" t="n">
        <v>-470790</v>
      </c>
      <c r="CH52" s="232" t="n">
        <v>0</v>
      </c>
      <c r="CI52" s="232" t="n">
        <v>470790</v>
      </c>
      <c r="CJ52" s="232" t="n">
        <v>0</v>
      </c>
      <c r="CK52" s="223" t="n">
        <v>0</v>
      </c>
      <c r="CL52" s="223" t="n">
        <v>0</v>
      </c>
    </row>
    <row r="53" customFormat="false" ht="15.75" hidden="false" customHeight="false" outlineLevel="3" collapsed="false">
      <c r="A53" s="58" t="s">
        <v>500</v>
      </c>
      <c r="B53" s="58" t="s">
        <v>485</v>
      </c>
      <c r="C53" s="58" t="s">
        <v>472</v>
      </c>
      <c r="D53" s="58" t="s">
        <v>473</v>
      </c>
      <c r="E53" s="58" t="s">
        <v>507</v>
      </c>
      <c r="F53" s="58" t="s">
        <v>380</v>
      </c>
      <c r="G53" s="58" t="s">
        <v>487</v>
      </c>
      <c r="H53" s="58" t="s">
        <v>101</v>
      </c>
      <c r="I53" s="219" t="s">
        <v>445</v>
      </c>
      <c r="J53" s="221" t="n">
        <v>1</v>
      </c>
      <c r="K53" s="221" t="n">
        <v>1</v>
      </c>
      <c r="L53" s="223" t="n">
        <v>0</v>
      </c>
      <c r="M53" s="223" t="n">
        <v>0</v>
      </c>
      <c r="N53" s="223" t="n">
        <v>0</v>
      </c>
      <c r="O53" s="222" t="n">
        <v>7121810</v>
      </c>
      <c r="P53" s="223" t="n">
        <v>7121810</v>
      </c>
      <c r="Q53" s="223" t="n">
        <v>0</v>
      </c>
      <c r="R53" s="225" t="s">
        <v>508</v>
      </c>
      <c r="S53" s="226" t="n">
        <v>0.5</v>
      </c>
      <c r="T53" s="225" t="n">
        <v>0</v>
      </c>
      <c r="U53" s="227" t="n">
        <v>7121810</v>
      </c>
      <c r="V53" s="222" t="s">
        <v>384</v>
      </c>
      <c r="W53" s="222" t="n">
        <v>0</v>
      </c>
      <c r="X53" s="222" t="n">
        <v>0</v>
      </c>
      <c r="Y53" s="222" t="n">
        <v>0</v>
      </c>
      <c r="Z53" s="222" t="n">
        <v>0</v>
      </c>
      <c r="AA53" s="222" t="n">
        <v>0</v>
      </c>
      <c r="AB53" s="222" t="n">
        <v>0</v>
      </c>
      <c r="AC53" s="227" t="n">
        <v>7121810</v>
      </c>
      <c r="AD53" s="222" t="n">
        <v>0</v>
      </c>
      <c r="AE53" s="222" t="n">
        <v>0</v>
      </c>
      <c r="AF53" s="222" t="n">
        <v>0</v>
      </c>
      <c r="AG53" s="222" t="n">
        <v>0</v>
      </c>
      <c r="AH53" s="228" t="n">
        <v>0</v>
      </c>
      <c r="AI53" s="222" t="n">
        <v>0</v>
      </c>
      <c r="AJ53" s="222" t="n">
        <v>0</v>
      </c>
      <c r="AK53" s="229" t="n">
        <v>0</v>
      </c>
      <c r="AL53" s="230" t="n">
        <v>0</v>
      </c>
      <c r="AM53" s="222" t="n">
        <v>7121810</v>
      </c>
      <c r="AN53" s="223" t="n">
        <v>0</v>
      </c>
      <c r="AO53" s="230" t="n">
        <v>0</v>
      </c>
      <c r="AP53" s="222" t="n">
        <v>7121810</v>
      </c>
      <c r="AQ53" s="231" t="n">
        <v>1</v>
      </c>
      <c r="AR53" s="222" t="n">
        <v>0</v>
      </c>
      <c r="AS53" s="222" t="n">
        <v>7121810</v>
      </c>
      <c r="AT53" s="222" t="n">
        <v>0</v>
      </c>
      <c r="AU53" s="222" t="n">
        <v>0</v>
      </c>
      <c r="AV53" s="222" t="n">
        <v>0</v>
      </c>
      <c r="AW53" s="222" t="n">
        <v>0</v>
      </c>
      <c r="AX53" s="222" t="n">
        <v>0</v>
      </c>
      <c r="AY53" s="222" t="n">
        <v>0</v>
      </c>
      <c r="AZ53" s="222" t="n">
        <v>0</v>
      </c>
      <c r="BA53" s="222" t="n">
        <v>0</v>
      </c>
      <c r="BB53" s="222" t="s">
        <v>380</v>
      </c>
      <c r="BC53" s="222" t="s">
        <v>380</v>
      </c>
      <c r="BD53" s="222" t="n">
        <v>0</v>
      </c>
      <c r="BE53" s="222" t="n">
        <v>0</v>
      </c>
      <c r="BF53" s="222" t="n">
        <v>0</v>
      </c>
      <c r="BG53" s="222" t="n">
        <v>0</v>
      </c>
      <c r="BH53" s="222" t="n">
        <v>0</v>
      </c>
      <c r="BI53" s="222" t="n">
        <v>0</v>
      </c>
      <c r="BJ53" s="222" t="n">
        <v>0</v>
      </c>
      <c r="BK53" s="222" t="n">
        <v>0</v>
      </c>
      <c r="BL53" s="222" t="n">
        <v>7121810</v>
      </c>
      <c r="BM53" s="222" t="s">
        <v>385</v>
      </c>
      <c r="BN53" s="222" t="n">
        <v>0</v>
      </c>
      <c r="BO53" s="232" t="b">
        <f aca="false">FALSE()</f>
        <v>0</v>
      </c>
      <c r="BP53" s="232" t="n">
        <v>0</v>
      </c>
      <c r="BQ53" s="224" t="n">
        <v>0</v>
      </c>
      <c r="BR53" s="223" t="n">
        <v>0</v>
      </c>
      <c r="BS53" s="234" t="n">
        <v>82</v>
      </c>
      <c r="BT53" s="223" t="n">
        <v>0</v>
      </c>
      <c r="BU53" s="235" t="n">
        <v>0</v>
      </c>
      <c r="BV53" s="223" t="n">
        <v>180</v>
      </c>
      <c r="BW53" s="236" t="n">
        <v>0</v>
      </c>
      <c r="BX53" s="236" t="n">
        <v>0</v>
      </c>
      <c r="BY53" s="232" t="n">
        <v>0</v>
      </c>
      <c r="BZ53" s="232" t="n">
        <v>0</v>
      </c>
      <c r="CA53" s="232" t="n">
        <v>0</v>
      </c>
      <c r="CB53" s="232" t="n">
        <v>0</v>
      </c>
      <c r="CC53" s="232" t="n">
        <v>0</v>
      </c>
      <c r="CD53" s="232" t="n">
        <v>0</v>
      </c>
      <c r="CE53" s="232" t="n">
        <v>0</v>
      </c>
      <c r="CF53" s="232" t="n">
        <v>0</v>
      </c>
      <c r="CG53" s="232" t="n">
        <v>0</v>
      </c>
      <c r="CH53" s="232" t="n">
        <v>0</v>
      </c>
      <c r="CI53" s="232" t="n">
        <v>0</v>
      </c>
      <c r="CJ53" s="232" t="n">
        <v>0</v>
      </c>
      <c r="CK53" s="223" t="n">
        <v>0</v>
      </c>
      <c r="CL53" s="223" t="n">
        <v>0</v>
      </c>
    </row>
    <row r="54" customFormat="false" ht="20.1" hidden="false" customHeight="true" outlineLevel="2" collapsed="false">
      <c r="A54" s="238" t="s">
        <v>509</v>
      </c>
      <c r="B54" s="238"/>
      <c r="C54" s="238"/>
      <c r="D54" s="238"/>
      <c r="E54" s="238"/>
      <c r="F54" s="238"/>
      <c r="G54" s="238"/>
      <c r="H54" s="238"/>
      <c r="I54" s="239"/>
      <c r="J54" s="241"/>
      <c r="K54" s="241"/>
      <c r="L54" s="243"/>
      <c r="M54" s="243"/>
      <c r="N54" s="243"/>
      <c r="O54" s="242"/>
      <c r="P54" s="243"/>
      <c r="Q54" s="243"/>
      <c r="R54" s="245" t="n">
        <v>0</v>
      </c>
      <c r="S54" s="246" t="n">
        <v>3.5</v>
      </c>
      <c r="T54" s="245" t="n">
        <v>0</v>
      </c>
      <c r="U54" s="247" t="n">
        <v>7121810</v>
      </c>
      <c r="V54" s="242"/>
      <c r="W54" s="242" t="n">
        <v>0</v>
      </c>
      <c r="X54" s="242" t="n">
        <v>0</v>
      </c>
      <c r="Y54" s="242" t="n">
        <v>0</v>
      </c>
      <c r="Z54" s="242" t="n">
        <v>0</v>
      </c>
      <c r="AA54" s="242" t="n">
        <v>0</v>
      </c>
      <c r="AB54" s="242" t="n">
        <v>0</v>
      </c>
      <c r="AC54" s="247" t="n">
        <v>7121810</v>
      </c>
      <c r="AD54" s="242" t="n">
        <v>0</v>
      </c>
      <c r="AE54" s="242" t="n">
        <v>0</v>
      </c>
      <c r="AF54" s="242" t="n">
        <v>0</v>
      </c>
      <c r="AG54" s="242" t="n">
        <v>0</v>
      </c>
      <c r="AH54" s="248" t="n">
        <v>-1065662.43</v>
      </c>
      <c r="AI54" s="242" t="n">
        <v>0</v>
      </c>
      <c r="AJ54" s="242" t="n">
        <v>1065662.43</v>
      </c>
      <c r="AK54" s="249" t="n">
        <v>0</v>
      </c>
      <c r="AL54" s="250"/>
      <c r="AM54" s="242" t="n">
        <v>9187472.43</v>
      </c>
      <c r="AN54" s="243"/>
      <c r="AO54" s="250"/>
      <c r="AP54" s="242" t="n">
        <v>7121810</v>
      </c>
      <c r="AQ54" s="251"/>
      <c r="AR54" s="242"/>
      <c r="AS54" s="242"/>
      <c r="AT54" s="242" t="n">
        <v>0</v>
      </c>
      <c r="AU54" s="242" t="n">
        <v>0</v>
      </c>
      <c r="AV54" s="242" t="n">
        <v>0</v>
      </c>
      <c r="AW54" s="242" t="n">
        <v>0</v>
      </c>
      <c r="AX54" s="242" t="n">
        <v>-1065662.43</v>
      </c>
      <c r="AY54" s="242" t="n">
        <v>0</v>
      </c>
      <c r="AZ54" s="242" t="n">
        <v>1065662.43</v>
      </c>
      <c r="BA54" s="242" t="n">
        <v>0</v>
      </c>
      <c r="BB54" s="242"/>
      <c r="BC54" s="242"/>
      <c r="BD54" s="242"/>
      <c r="BE54" s="242"/>
      <c r="BF54" s="242"/>
      <c r="BG54" s="242"/>
      <c r="BH54" s="242"/>
      <c r="BI54" s="242"/>
      <c r="BJ54" s="242"/>
      <c r="BK54" s="242"/>
      <c r="BL54" s="242"/>
      <c r="BM54" s="242"/>
      <c r="BN54" s="242"/>
      <c r="BO54" s="242"/>
      <c r="BP54" s="242"/>
      <c r="BQ54" s="244"/>
      <c r="BR54" s="243"/>
      <c r="BS54" s="253"/>
      <c r="BT54" s="243"/>
      <c r="BU54" s="254"/>
      <c r="BV54" s="243"/>
      <c r="BW54" s="255"/>
      <c r="BX54" s="255"/>
      <c r="BY54" s="242"/>
      <c r="BZ54" s="242"/>
      <c r="CA54" s="242" t="n">
        <v>-1000000</v>
      </c>
      <c r="CB54" s="242"/>
      <c r="CC54" s="242"/>
      <c r="CD54" s="242"/>
      <c r="CE54" s="242"/>
      <c r="CF54" s="242"/>
      <c r="CG54" s="242"/>
      <c r="CH54" s="242"/>
      <c r="CI54" s="242"/>
      <c r="CJ54" s="242"/>
      <c r="CK54" s="243"/>
      <c r="CL54" s="243"/>
    </row>
    <row r="55" customFormat="false" ht="15.75" hidden="false" customHeight="false" outlineLevel="3" collapsed="false">
      <c r="A55" s="58" t="s">
        <v>510</v>
      </c>
      <c r="B55" s="58" t="s">
        <v>485</v>
      </c>
      <c r="C55" s="58" t="s">
        <v>472</v>
      </c>
      <c r="D55" s="58" t="s">
        <v>473</v>
      </c>
      <c r="E55" s="58" t="s">
        <v>511</v>
      </c>
      <c r="F55" s="58"/>
      <c r="G55" s="58" t="s">
        <v>487</v>
      </c>
      <c r="H55" s="58" t="s">
        <v>427</v>
      </c>
      <c r="I55" s="219" t="s">
        <v>427</v>
      </c>
      <c r="J55" s="220" t="n">
        <v>1</v>
      </c>
      <c r="K55" s="221" t="n">
        <v>1</v>
      </c>
      <c r="L55" s="223" t="n">
        <v>0</v>
      </c>
      <c r="M55" s="223" t="n">
        <v>0</v>
      </c>
      <c r="N55" s="223" t="n">
        <v>1</v>
      </c>
      <c r="O55" s="222" t="n">
        <v>0</v>
      </c>
      <c r="P55" s="223" t="n">
        <v>0</v>
      </c>
      <c r="Q55" s="223" t="n">
        <v>0</v>
      </c>
      <c r="R55" s="225" t="s">
        <v>512</v>
      </c>
      <c r="S55" s="226" t="n">
        <v>1</v>
      </c>
      <c r="T55" s="225" t="n">
        <v>0</v>
      </c>
      <c r="U55" s="227" t="n">
        <v>0</v>
      </c>
      <c r="V55" s="222" t="s">
        <v>384</v>
      </c>
      <c r="W55" s="222" t="n">
        <v>0</v>
      </c>
      <c r="X55" s="222" t="n">
        <v>0</v>
      </c>
      <c r="Y55" s="222" t="n">
        <v>0</v>
      </c>
      <c r="Z55" s="222" t="n">
        <v>0</v>
      </c>
      <c r="AA55" s="222" t="n">
        <v>0</v>
      </c>
      <c r="AB55" s="222" t="n">
        <v>0</v>
      </c>
      <c r="AC55" s="227" t="n">
        <v>0</v>
      </c>
      <c r="AD55" s="222" t="n">
        <v>0</v>
      </c>
      <c r="AE55" s="222" t="n">
        <v>0</v>
      </c>
      <c r="AF55" s="222" t="n">
        <v>0</v>
      </c>
      <c r="AG55" s="222" t="n">
        <v>0</v>
      </c>
      <c r="AH55" s="228" t="n">
        <v>-3486752</v>
      </c>
      <c r="AI55" s="222" t="n">
        <v>0</v>
      </c>
      <c r="AJ55" s="222" t="n">
        <v>3486752</v>
      </c>
      <c r="AK55" s="229" t="n">
        <v>0</v>
      </c>
      <c r="AL55" s="230" t="n">
        <v>0</v>
      </c>
      <c r="AM55" s="222" t="n">
        <v>3486752</v>
      </c>
      <c r="AN55" s="230" t="n">
        <v>0</v>
      </c>
      <c r="AO55" s="230" t="n">
        <v>0</v>
      </c>
      <c r="AP55" s="222" t="n">
        <v>0</v>
      </c>
      <c r="AQ55" s="231" t="n">
        <v>1</v>
      </c>
      <c r="AR55" s="222" t="n">
        <v>0</v>
      </c>
      <c r="AS55" s="222" t="n">
        <v>0</v>
      </c>
      <c r="AT55" s="222" t="n">
        <v>0</v>
      </c>
      <c r="AU55" s="222" t="n">
        <v>0</v>
      </c>
      <c r="AV55" s="222" t="n">
        <v>0</v>
      </c>
      <c r="AW55" s="222" t="n">
        <v>0</v>
      </c>
      <c r="AX55" s="222" t="n">
        <v>-3486752</v>
      </c>
      <c r="AY55" s="222" t="n">
        <v>0</v>
      </c>
      <c r="AZ55" s="222" t="n">
        <v>3486752</v>
      </c>
      <c r="BA55" s="222" t="n">
        <v>0</v>
      </c>
      <c r="BB55" s="222" t="s">
        <v>380</v>
      </c>
      <c r="BC55" s="222" t="s">
        <v>380</v>
      </c>
      <c r="BD55" s="222" t="n">
        <v>0</v>
      </c>
      <c r="BE55" s="222" t="n">
        <v>0</v>
      </c>
      <c r="BF55" s="222" t="n">
        <v>0</v>
      </c>
      <c r="BG55" s="222" t="n">
        <v>0</v>
      </c>
      <c r="BH55" s="222" t="n">
        <v>-3486752</v>
      </c>
      <c r="BI55" s="222" t="n">
        <v>0</v>
      </c>
      <c r="BJ55" s="222" t="n">
        <v>3486752</v>
      </c>
      <c r="BK55" s="222" t="n">
        <v>0</v>
      </c>
      <c r="BL55" s="222" t="n">
        <v>0</v>
      </c>
      <c r="BM55" s="222" t="s">
        <v>385</v>
      </c>
      <c r="BN55" s="222" t="n">
        <v>0</v>
      </c>
      <c r="BO55" s="232" t="b">
        <f aca="false">FALSE()</f>
        <v>0</v>
      </c>
      <c r="BP55" s="232" t="n">
        <v>3486752</v>
      </c>
      <c r="BQ55" s="223" t="n">
        <v>0</v>
      </c>
      <c r="BR55" s="223" t="n">
        <v>0</v>
      </c>
      <c r="BS55" s="234" t="n">
        <v>75</v>
      </c>
      <c r="BT55" s="223" t="n">
        <v>0</v>
      </c>
      <c r="BU55" s="235" t="n">
        <v>0</v>
      </c>
      <c r="BV55" s="223" t="n">
        <v>85</v>
      </c>
      <c r="BW55" s="236" t="n">
        <v>0</v>
      </c>
      <c r="BX55" s="236" t="n">
        <v>0</v>
      </c>
      <c r="BY55" s="232" t="n">
        <v>0</v>
      </c>
      <c r="BZ55" s="232" t="n">
        <v>0</v>
      </c>
      <c r="CA55" s="232" t="n">
        <v>0</v>
      </c>
      <c r="CB55" s="232" t="n">
        <v>0</v>
      </c>
      <c r="CC55" s="232" t="n">
        <v>0</v>
      </c>
      <c r="CD55" s="232" t="n">
        <v>0</v>
      </c>
      <c r="CE55" s="232" t="n">
        <v>0</v>
      </c>
      <c r="CF55" s="232" t="n">
        <v>0</v>
      </c>
      <c r="CG55" s="232" t="n">
        <v>-3486752</v>
      </c>
      <c r="CH55" s="232" t="n">
        <v>0</v>
      </c>
      <c r="CI55" s="232" t="n">
        <v>3486752</v>
      </c>
      <c r="CJ55" s="232" t="n">
        <v>0</v>
      </c>
      <c r="CK55" s="223" t="n">
        <v>0</v>
      </c>
      <c r="CL55" s="223" t="n">
        <v>0</v>
      </c>
    </row>
    <row r="56" customFormat="false" ht="20.1" hidden="false" customHeight="true" outlineLevel="2" collapsed="false">
      <c r="A56" s="238" t="s">
        <v>513</v>
      </c>
      <c r="B56" s="238"/>
      <c r="C56" s="238"/>
      <c r="D56" s="238"/>
      <c r="E56" s="238"/>
      <c r="F56" s="238"/>
      <c r="G56" s="238"/>
      <c r="H56" s="238"/>
      <c r="I56" s="239"/>
      <c r="J56" s="240"/>
      <c r="K56" s="241"/>
      <c r="L56" s="243"/>
      <c r="M56" s="243"/>
      <c r="N56" s="243"/>
      <c r="O56" s="242"/>
      <c r="P56" s="243"/>
      <c r="Q56" s="243"/>
      <c r="R56" s="245" t="n">
        <v>0</v>
      </c>
      <c r="S56" s="246" t="n">
        <v>1</v>
      </c>
      <c r="T56" s="245" t="n">
        <v>0</v>
      </c>
      <c r="U56" s="247" t="n">
        <v>0</v>
      </c>
      <c r="V56" s="242"/>
      <c r="W56" s="242" t="n">
        <v>0</v>
      </c>
      <c r="X56" s="242" t="n">
        <v>0</v>
      </c>
      <c r="Y56" s="242" t="n">
        <v>0</v>
      </c>
      <c r="Z56" s="242" t="n">
        <v>0</v>
      </c>
      <c r="AA56" s="242" t="n">
        <v>0</v>
      </c>
      <c r="AB56" s="242" t="n">
        <v>0</v>
      </c>
      <c r="AC56" s="247" t="n">
        <v>0</v>
      </c>
      <c r="AD56" s="242" t="n">
        <v>0</v>
      </c>
      <c r="AE56" s="242" t="n">
        <v>0</v>
      </c>
      <c r="AF56" s="242" t="n">
        <v>0</v>
      </c>
      <c r="AG56" s="242" t="n">
        <v>0</v>
      </c>
      <c r="AH56" s="248" t="n">
        <v>-3486752</v>
      </c>
      <c r="AI56" s="242" t="n">
        <v>0</v>
      </c>
      <c r="AJ56" s="242" t="n">
        <v>3486752</v>
      </c>
      <c r="AK56" s="249" t="n">
        <v>0</v>
      </c>
      <c r="AL56" s="250"/>
      <c r="AM56" s="242" t="n">
        <v>3486752</v>
      </c>
      <c r="AN56" s="250"/>
      <c r="AO56" s="250"/>
      <c r="AP56" s="242" t="n">
        <v>0</v>
      </c>
      <c r="AQ56" s="251"/>
      <c r="AR56" s="242"/>
      <c r="AS56" s="242"/>
      <c r="AT56" s="242" t="n">
        <v>0</v>
      </c>
      <c r="AU56" s="242" t="n">
        <v>0</v>
      </c>
      <c r="AV56" s="242" t="n">
        <v>0</v>
      </c>
      <c r="AW56" s="242" t="n">
        <v>0</v>
      </c>
      <c r="AX56" s="242" t="n">
        <v>-3486752</v>
      </c>
      <c r="AY56" s="242" t="n">
        <v>0</v>
      </c>
      <c r="AZ56" s="242" t="n">
        <v>3486752</v>
      </c>
      <c r="BA56" s="242" t="n">
        <v>0</v>
      </c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3"/>
      <c r="BR56" s="243"/>
      <c r="BS56" s="253"/>
      <c r="BT56" s="243"/>
      <c r="BU56" s="254"/>
      <c r="BV56" s="243"/>
      <c r="BW56" s="255"/>
      <c r="BX56" s="255"/>
      <c r="BY56" s="242"/>
      <c r="BZ56" s="242"/>
      <c r="CA56" s="242" t="n">
        <v>0</v>
      </c>
      <c r="CB56" s="242"/>
      <c r="CC56" s="242"/>
      <c r="CD56" s="242"/>
      <c r="CE56" s="242"/>
      <c r="CF56" s="242"/>
      <c r="CG56" s="242"/>
      <c r="CH56" s="242"/>
      <c r="CI56" s="242"/>
      <c r="CJ56" s="242"/>
      <c r="CK56" s="243"/>
      <c r="CL56" s="243"/>
    </row>
    <row r="57" customFormat="false" ht="15.75" hidden="false" customHeight="false" outlineLevel="3" collapsed="false">
      <c r="A57" s="58" t="s">
        <v>514</v>
      </c>
      <c r="B57" s="58" t="s">
        <v>485</v>
      </c>
      <c r="C57" s="58" t="s">
        <v>472</v>
      </c>
      <c r="D57" s="58" t="s">
        <v>473</v>
      </c>
      <c r="E57" s="58" t="s">
        <v>515</v>
      </c>
      <c r="F57" s="58" t="s">
        <v>516</v>
      </c>
      <c r="G57" s="58" t="s">
        <v>487</v>
      </c>
      <c r="H57" s="58" t="s">
        <v>427</v>
      </c>
      <c r="I57" s="219" t="s">
        <v>427</v>
      </c>
      <c r="J57" s="221" t="n">
        <v>156250</v>
      </c>
      <c r="K57" s="221" t="n">
        <v>156250</v>
      </c>
      <c r="L57" s="223" t="n">
        <v>0.0225749895567498</v>
      </c>
      <c r="M57" s="223" t="n">
        <v>0</v>
      </c>
      <c r="N57" s="223" t="n">
        <v>0.928936748497134</v>
      </c>
      <c r="O57" s="222" t="n">
        <v>4.67022178822679</v>
      </c>
      <c r="P57" s="223" t="n">
        <v>5.14289189834461</v>
      </c>
      <c r="Q57" s="223" t="n">
        <v>-0.472670110117814</v>
      </c>
      <c r="R57" s="225" t="s">
        <v>517</v>
      </c>
      <c r="S57" s="226" t="n">
        <v>1</v>
      </c>
      <c r="T57" s="225" t="n">
        <v>0</v>
      </c>
      <c r="U57" s="227" t="n">
        <v>729722.154410436</v>
      </c>
      <c r="V57" s="222" t="s">
        <v>384</v>
      </c>
      <c r="W57" s="222" t="n">
        <v>0</v>
      </c>
      <c r="X57" s="222" t="n">
        <v>0</v>
      </c>
      <c r="Y57" s="222" t="n">
        <v>0</v>
      </c>
      <c r="Z57" s="222" t="n">
        <v>0</v>
      </c>
      <c r="AA57" s="222" t="n">
        <v>0</v>
      </c>
      <c r="AB57" s="222" t="n">
        <v>0</v>
      </c>
      <c r="AC57" s="227" t="n">
        <v>803576.859116345</v>
      </c>
      <c r="AD57" s="222" t="n">
        <v>-73854.7047059086</v>
      </c>
      <c r="AE57" s="222" t="n">
        <v>0</v>
      </c>
      <c r="AF57" s="222" t="n">
        <v>73854.7047059086</v>
      </c>
      <c r="AG57" s="222" t="n">
        <v>0</v>
      </c>
      <c r="AH57" s="228" t="n">
        <v>-214967.252971427</v>
      </c>
      <c r="AI57" s="222" t="n">
        <v>0</v>
      </c>
      <c r="AJ57" s="222" t="n">
        <v>214967.252971427</v>
      </c>
      <c r="AK57" s="229" t="n">
        <v>0</v>
      </c>
      <c r="AL57" s="230" t="n">
        <v>0</v>
      </c>
      <c r="AM57" s="222" t="n">
        <v>944689.407381863</v>
      </c>
      <c r="AN57" s="230" t="n">
        <v>0</v>
      </c>
      <c r="AO57" s="230" t="n">
        <v>27336.9014163767</v>
      </c>
      <c r="AP57" s="222" t="n">
        <v>1711868.38818415</v>
      </c>
      <c r="AQ57" s="231" t="n">
        <v>1</v>
      </c>
      <c r="AR57" s="222" t="n">
        <v>1124884.34388325</v>
      </c>
      <c r="AS57" s="222" t="n">
        <v>7.75</v>
      </c>
      <c r="AT57" s="222" t="n">
        <v>53126.672238262</v>
      </c>
      <c r="AU57" s="222" t="n">
        <v>0</v>
      </c>
      <c r="AV57" s="222" t="n">
        <v>-53126.672238262</v>
      </c>
      <c r="AW57" s="222" t="n">
        <v>0</v>
      </c>
      <c r="AX57" s="222" t="n">
        <v>-214967.252971427</v>
      </c>
      <c r="AY57" s="222" t="n">
        <v>0</v>
      </c>
      <c r="AZ57" s="222" t="n">
        <v>214967.252971427</v>
      </c>
      <c r="BA57" s="222" t="n">
        <v>0</v>
      </c>
      <c r="BB57" s="222" t="n">
        <v>7.75</v>
      </c>
      <c r="BC57" s="222" t="n">
        <v>8.25</v>
      </c>
      <c r="BD57" s="222" t="n">
        <v>126981.376944171</v>
      </c>
      <c r="BE57" s="222" t="n">
        <v>0</v>
      </c>
      <c r="BF57" s="222" t="n">
        <v>-126981.376944171</v>
      </c>
      <c r="BG57" s="222" t="n">
        <v>0</v>
      </c>
      <c r="BH57" s="222" t="n">
        <v>-141112.548265518</v>
      </c>
      <c r="BI57" s="222" t="n">
        <v>0</v>
      </c>
      <c r="BJ57" s="222" t="n">
        <v>141112.548265518</v>
      </c>
      <c r="BK57" s="222" t="n">
        <v>0</v>
      </c>
      <c r="BL57" s="222" t="n">
        <v>1711868.38818415</v>
      </c>
      <c r="BM57" s="222" t="s">
        <v>395</v>
      </c>
      <c r="BN57" s="222" t="n">
        <v>0</v>
      </c>
      <c r="BO57" s="232" t="b">
        <f aca="false">FALSE()</f>
        <v>0</v>
      </c>
      <c r="BP57" s="232" t="n">
        <v>141112.548265518</v>
      </c>
      <c r="BQ57" s="223" t="n">
        <v>0</v>
      </c>
      <c r="BR57" s="223" t="n">
        <v>0</v>
      </c>
      <c r="BS57" s="234" t="n">
        <v>76</v>
      </c>
      <c r="BT57" s="223" t="n">
        <v>0</v>
      </c>
      <c r="BU57" s="235" t="n">
        <v>145146.366952677</v>
      </c>
      <c r="BV57" s="223" t="n">
        <v>88</v>
      </c>
      <c r="BW57" s="236" t="n">
        <v>7.75</v>
      </c>
      <c r="BX57" s="236" t="n">
        <v>7.75</v>
      </c>
      <c r="BY57" s="232" t="n">
        <v>0</v>
      </c>
      <c r="BZ57" s="232" t="n">
        <v>0</v>
      </c>
      <c r="CA57" s="232" t="n">
        <v>0</v>
      </c>
      <c r="CB57" s="232" t="n">
        <v>0</v>
      </c>
      <c r="CC57" s="232" t="n">
        <v>0</v>
      </c>
      <c r="CD57" s="232" t="n">
        <v>0</v>
      </c>
      <c r="CE57" s="232" t="n">
        <v>0</v>
      </c>
      <c r="CF57" s="232" t="n">
        <v>0</v>
      </c>
      <c r="CG57" s="232" t="n">
        <v>-141112.548265518</v>
      </c>
      <c r="CH57" s="232" t="n">
        <v>0</v>
      </c>
      <c r="CI57" s="232" t="n">
        <v>141112.548265518</v>
      </c>
      <c r="CJ57" s="232" t="n">
        <v>0</v>
      </c>
      <c r="CK57" s="223" t="n">
        <v>0</v>
      </c>
      <c r="CL57" s="223" t="n">
        <v>0</v>
      </c>
    </row>
    <row r="58" customFormat="false" ht="15.75" hidden="false" customHeight="false" outlineLevel="3" collapsed="false">
      <c r="A58" s="58" t="s">
        <v>514</v>
      </c>
      <c r="B58" s="58" t="s">
        <v>485</v>
      </c>
      <c r="C58" s="58" t="s">
        <v>472</v>
      </c>
      <c r="D58" s="58" t="s">
        <v>473</v>
      </c>
      <c r="E58" s="58" t="s">
        <v>518</v>
      </c>
      <c r="F58" s="58" t="s">
        <v>425</v>
      </c>
      <c r="G58" s="58" t="s">
        <v>487</v>
      </c>
      <c r="H58" s="58" t="s">
        <v>427</v>
      </c>
      <c r="I58" s="219" t="s">
        <v>427</v>
      </c>
      <c r="J58" s="221" t="n">
        <v>78000</v>
      </c>
      <c r="K58" s="221" t="n">
        <v>78000</v>
      </c>
      <c r="L58" s="223" t="n">
        <v>0.0319215870033454</v>
      </c>
      <c r="M58" s="223" t="n">
        <v>0.5</v>
      </c>
      <c r="N58" s="223" t="n">
        <v>0.410251069441512</v>
      </c>
      <c r="O58" s="222" t="n">
        <v>2.55045605898546</v>
      </c>
      <c r="P58" s="223" t="n">
        <v>2.85861555797261</v>
      </c>
      <c r="Q58" s="223" t="n">
        <v>-0.308159498987152</v>
      </c>
      <c r="R58" s="225" t="s">
        <v>519</v>
      </c>
      <c r="S58" s="226" t="n">
        <v>0</v>
      </c>
      <c r="T58" s="225" t="n">
        <v>0</v>
      </c>
      <c r="U58" s="227" t="n">
        <v>198935.572600866</v>
      </c>
      <c r="V58" s="222" t="s">
        <v>384</v>
      </c>
      <c r="W58" s="222" t="n">
        <v>286996.263766178</v>
      </c>
      <c r="X58" s="222" t="n">
        <v>0</v>
      </c>
      <c r="Y58" s="222" t="n">
        <v>286996.263766178</v>
      </c>
      <c r="Z58" s="222" t="n">
        <v>0</v>
      </c>
      <c r="AA58" s="222" t="n">
        <v>0</v>
      </c>
      <c r="AB58" s="222" t="n">
        <v>0</v>
      </c>
      <c r="AC58" s="227" t="n">
        <v>222972.013521864</v>
      </c>
      <c r="AD58" s="222" t="n">
        <v>-24036.4409209978</v>
      </c>
      <c r="AE58" s="222" t="n">
        <v>0</v>
      </c>
      <c r="AF58" s="222" t="n">
        <v>24036.4409209978</v>
      </c>
      <c r="AG58" s="222" t="n">
        <v>0</v>
      </c>
      <c r="AH58" s="228" t="n">
        <v>-12829.2904767962</v>
      </c>
      <c r="AI58" s="222" t="n">
        <v>0</v>
      </c>
      <c r="AJ58" s="222" t="n">
        <v>12829.2904767962</v>
      </c>
      <c r="AK58" s="229" t="n">
        <v>0</v>
      </c>
      <c r="AL58" s="230" t="n">
        <v>0</v>
      </c>
      <c r="AM58" s="222" t="n">
        <v>211764.863077662</v>
      </c>
      <c r="AN58" s="230" t="n">
        <v>0</v>
      </c>
      <c r="AO58" s="230" t="n">
        <v>44662.2904160557</v>
      </c>
      <c r="AP58" s="222" t="n">
        <v>140980.707686113</v>
      </c>
      <c r="AQ58" s="231" t="n">
        <v>1</v>
      </c>
      <c r="AR58" s="222" t="n">
        <v>573992.527532356</v>
      </c>
      <c r="AS58" s="222" t="n">
        <v>17.9375</v>
      </c>
      <c r="AT58" s="222" t="n">
        <v>28168.1282523633</v>
      </c>
      <c r="AU58" s="222" t="n">
        <v>0</v>
      </c>
      <c r="AV58" s="222" t="n">
        <v>-28168.1282523633</v>
      </c>
      <c r="AW58" s="222" t="n">
        <v>0</v>
      </c>
      <c r="AX58" s="222" t="n">
        <v>-12829.2904767962</v>
      </c>
      <c r="AY58" s="222" t="n">
        <v>0</v>
      </c>
      <c r="AZ58" s="222" t="n">
        <v>12829.2904767962</v>
      </c>
      <c r="BA58" s="222" t="n">
        <v>0</v>
      </c>
      <c r="BB58" s="222" t="n">
        <v>17.9375</v>
      </c>
      <c r="BC58" s="222" t="n">
        <v>18.625</v>
      </c>
      <c r="BD58" s="222" t="n">
        <v>52204.5691733611</v>
      </c>
      <c r="BE58" s="222" t="n">
        <v>0</v>
      </c>
      <c r="BF58" s="222" t="n">
        <v>-52204.5691733611</v>
      </c>
      <c r="BG58" s="222" t="n">
        <v>0</v>
      </c>
      <c r="BH58" s="222" t="n">
        <v>11207.1504442016</v>
      </c>
      <c r="BI58" s="222" t="n">
        <v>0</v>
      </c>
      <c r="BJ58" s="222" t="n">
        <v>-11207.1504442016</v>
      </c>
      <c r="BK58" s="222" t="n">
        <v>0</v>
      </c>
      <c r="BL58" s="222" t="n">
        <v>140980.707686113</v>
      </c>
      <c r="BM58" s="222" t="s">
        <v>395</v>
      </c>
      <c r="BN58" s="222" t="n">
        <v>0</v>
      </c>
      <c r="BO58" s="232" t="b">
        <f aca="false">FALSE()</f>
        <v>0</v>
      </c>
      <c r="BP58" s="232" t="n">
        <v>-11207.1504442016</v>
      </c>
      <c r="BQ58" s="223" t="n">
        <v>0</v>
      </c>
      <c r="BR58" s="223" t="n">
        <v>0</v>
      </c>
      <c r="BS58" s="234" t="n">
        <v>76</v>
      </c>
      <c r="BT58" s="223" t="n">
        <v>0</v>
      </c>
      <c r="BU58" s="235" t="n">
        <v>31999.583416438</v>
      </c>
      <c r="BV58" s="223" t="n">
        <v>91</v>
      </c>
      <c r="BW58" s="236" t="n">
        <v>17.9375</v>
      </c>
      <c r="BX58" s="236" t="n">
        <v>17.9375</v>
      </c>
      <c r="BY58" s="232" t="n">
        <v>0</v>
      </c>
      <c r="BZ58" s="232" t="n">
        <v>0</v>
      </c>
      <c r="CA58" s="232" t="n">
        <v>0</v>
      </c>
      <c r="CB58" s="232" t="n">
        <v>0</v>
      </c>
      <c r="CC58" s="232" t="n">
        <v>0</v>
      </c>
      <c r="CD58" s="232" t="n">
        <v>0</v>
      </c>
      <c r="CE58" s="232" t="n">
        <v>0</v>
      </c>
      <c r="CF58" s="232" t="n">
        <v>0</v>
      </c>
      <c r="CG58" s="232" t="n">
        <v>11207.1504442016</v>
      </c>
      <c r="CH58" s="232" t="n">
        <v>0</v>
      </c>
      <c r="CI58" s="232" t="n">
        <v>-11207.1504442016</v>
      </c>
      <c r="CJ58" s="232" t="n">
        <v>0</v>
      </c>
      <c r="CK58" s="223" t="n">
        <v>0.5</v>
      </c>
      <c r="CL58" s="223" t="n">
        <v>0</v>
      </c>
    </row>
    <row r="59" customFormat="false" ht="20.1" hidden="false" customHeight="true" outlineLevel="2" collapsed="false">
      <c r="A59" s="238" t="s">
        <v>520</v>
      </c>
      <c r="B59" s="238"/>
      <c r="C59" s="238"/>
      <c r="D59" s="238"/>
      <c r="E59" s="238"/>
      <c r="F59" s="238"/>
      <c r="G59" s="238"/>
      <c r="H59" s="238"/>
      <c r="I59" s="239"/>
      <c r="J59" s="241"/>
      <c r="K59" s="241"/>
      <c r="L59" s="243"/>
      <c r="M59" s="243"/>
      <c r="N59" s="243"/>
      <c r="O59" s="242"/>
      <c r="P59" s="243"/>
      <c r="Q59" s="243"/>
      <c r="R59" s="245" t="n">
        <v>0</v>
      </c>
      <c r="S59" s="246" t="n">
        <v>1</v>
      </c>
      <c r="T59" s="245" t="n">
        <v>0</v>
      </c>
      <c r="U59" s="247" t="n">
        <v>928657.727011302</v>
      </c>
      <c r="V59" s="242"/>
      <c r="W59" s="242" t="n">
        <v>286996.263766178</v>
      </c>
      <c r="X59" s="242" t="n">
        <v>0</v>
      </c>
      <c r="Y59" s="242" t="n">
        <v>286996.263766178</v>
      </c>
      <c r="Z59" s="242" t="n">
        <v>0</v>
      </c>
      <c r="AA59" s="242" t="n">
        <v>0</v>
      </c>
      <c r="AB59" s="242" t="n">
        <v>0</v>
      </c>
      <c r="AC59" s="247" t="n">
        <v>1026548.87263821</v>
      </c>
      <c r="AD59" s="242" t="n">
        <v>-97891.1456269064</v>
      </c>
      <c r="AE59" s="242" t="n">
        <v>0</v>
      </c>
      <c r="AF59" s="242" t="n">
        <v>97891.1456269064</v>
      </c>
      <c r="AG59" s="242" t="n">
        <v>0</v>
      </c>
      <c r="AH59" s="248" t="n">
        <v>-227796.543448223</v>
      </c>
      <c r="AI59" s="242" t="n">
        <v>0</v>
      </c>
      <c r="AJ59" s="242" t="n">
        <v>227796.543448223</v>
      </c>
      <c r="AK59" s="249" t="n">
        <v>0</v>
      </c>
      <c r="AL59" s="250"/>
      <c r="AM59" s="242" t="n">
        <v>1156454.27045953</v>
      </c>
      <c r="AN59" s="250"/>
      <c r="AO59" s="250"/>
      <c r="AP59" s="242" t="n">
        <v>1852849.09587026</v>
      </c>
      <c r="AQ59" s="251"/>
      <c r="AR59" s="242"/>
      <c r="AS59" s="242"/>
      <c r="AT59" s="242" t="n">
        <v>81294.8004906253</v>
      </c>
      <c r="AU59" s="242" t="n">
        <v>0</v>
      </c>
      <c r="AV59" s="242" t="n">
        <v>-81294.8004906253</v>
      </c>
      <c r="AW59" s="242" t="n">
        <v>0</v>
      </c>
      <c r="AX59" s="242" t="n">
        <v>-227796.543448223</v>
      </c>
      <c r="AY59" s="242" t="n">
        <v>0</v>
      </c>
      <c r="AZ59" s="242" t="n">
        <v>227796.543448223</v>
      </c>
      <c r="BA59" s="242" t="n">
        <v>0</v>
      </c>
      <c r="BB59" s="242"/>
      <c r="BC59" s="242"/>
      <c r="BD59" s="242"/>
      <c r="BE59" s="242"/>
      <c r="BF59" s="242"/>
      <c r="BG59" s="242"/>
      <c r="BH59" s="242"/>
      <c r="BI59" s="242"/>
      <c r="BJ59" s="242"/>
      <c r="BK59" s="242"/>
      <c r="BL59" s="242"/>
      <c r="BM59" s="242"/>
      <c r="BN59" s="242"/>
      <c r="BO59" s="242"/>
      <c r="BP59" s="242"/>
      <c r="BQ59" s="243"/>
      <c r="BR59" s="243"/>
      <c r="BS59" s="253"/>
      <c r="BT59" s="243"/>
      <c r="BU59" s="254"/>
      <c r="BV59" s="243"/>
      <c r="BW59" s="255"/>
      <c r="BX59" s="255"/>
      <c r="BY59" s="242"/>
      <c r="BZ59" s="242"/>
      <c r="CA59" s="242" t="n">
        <v>0</v>
      </c>
      <c r="CB59" s="242"/>
      <c r="CC59" s="242"/>
      <c r="CD59" s="242"/>
      <c r="CE59" s="242"/>
      <c r="CF59" s="242"/>
      <c r="CG59" s="242"/>
      <c r="CH59" s="242"/>
      <c r="CI59" s="242"/>
      <c r="CJ59" s="242"/>
      <c r="CK59" s="243"/>
      <c r="CL59" s="243"/>
    </row>
    <row r="60" customFormat="false" ht="30" hidden="false" customHeight="true" outlineLevel="1" collapsed="false">
      <c r="A60" s="238"/>
      <c r="B60" s="238" t="s">
        <v>521</v>
      </c>
      <c r="C60" s="238"/>
      <c r="D60" s="238"/>
      <c r="E60" s="238"/>
      <c r="F60" s="238"/>
      <c r="G60" s="238"/>
      <c r="H60" s="238"/>
      <c r="I60" s="239"/>
      <c r="J60" s="256"/>
      <c r="K60" s="256"/>
      <c r="L60" s="258"/>
      <c r="M60" s="258"/>
      <c r="N60" s="258"/>
      <c r="O60" s="257"/>
      <c r="P60" s="258"/>
      <c r="Q60" s="258"/>
      <c r="R60" s="260" t="n">
        <v>0</v>
      </c>
      <c r="S60" s="261" t="n">
        <v>10.1</v>
      </c>
      <c r="T60" s="260" t="n">
        <v>0</v>
      </c>
      <c r="U60" s="262" t="n">
        <v>9382655.0895113</v>
      </c>
      <c r="V60" s="257"/>
      <c r="W60" s="257" t="n">
        <v>286996.263766178</v>
      </c>
      <c r="X60" s="257" t="n">
        <v>0</v>
      </c>
      <c r="Y60" s="257" t="n">
        <v>286996.263766178</v>
      </c>
      <c r="Z60" s="257" t="n">
        <v>0</v>
      </c>
      <c r="AA60" s="257" t="n">
        <v>0</v>
      </c>
      <c r="AB60" s="257" t="n">
        <v>0</v>
      </c>
      <c r="AC60" s="262" t="n">
        <v>9479279.41013821</v>
      </c>
      <c r="AD60" s="257" t="n">
        <v>-96624.3206269064</v>
      </c>
      <c r="AE60" s="257" t="n">
        <v>0</v>
      </c>
      <c r="AF60" s="257" t="n">
        <v>96624.3206269064</v>
      </c>
      <c r="AG60" s="257" t="n">
        <v>0</v>
      </c>
      <c r="AH60" s="263" t="n">
        <v>-38831134.6559482</v>
      </c>
      <c r="AI60" s="257" t="n">
        <v>0</v>
      </c>
      <c r="AJ60" s="257" t="n">
        <v>38831134.6559482</v>
      </c>
      <c r="AK60" s="264" t="n">
        <v>0</v>
      </c>
      <c r="AL60" s="265"/>
      <c r="AM60" s="257" t="n">
        <v>49038559.1754595</v>
      </c>
      <c r="AN60" s="265"/>
      <c r="AO60" s="265"/>
      <c r="AP60" s="257" t="n">
        <v>10626356.0118703</v>
      </c>
      <c r="AQ60" s="266"/>
      <c r="AR60" s="257"/>
      <c r="AS60" s="257"/>
      <c r="AT60" s="257" t="n">
        <v>93329.6379906254</v>
      </c>
      <c r="AU60" s="257" t="n">
        <v>0</v>
      </c>
      <c r="AV60" s="257" t="n">
        <v>-93329.6379906254</v>
      </c>
      <c r="AW60" s="257" t="n">
        <v>0</v>
      </c>
      <c r="AX60" s="257" t="n">
        <v>-38831134.6559482</v>
      </c>
      <c r="AY60" s="257" t="n">
        <v>0</v>
      </c>
      <c r="AZ60" s="257" t="n">
        <v>38831134.6559482</v>
      </c>
      <c r="BA60" s="257" t="n">
        <v>0</v>
      </c>
      <c r="BB60" s="257"/>
      <c r="BC60" s="257"/>
      <c r="BD60" s="257"/>
      <c r="BE60" s="257"/>
      <c r="BF60" s="257"/>
      <c r="BG60" s="257"/>
      <c r="BH60" s="257"/>
      <c r="BI60" s="257"/>
      <c r="BJ60" s="257"/>
      <c r="BK60" s="257"/>
      <c r="BL60" s="257"/>
      <c r="BM60" s="257"/>
      <c r="BN60" s="257"/>
      <c r="BO60" s="257"/>
      <c r="BP60" s="257"/>
      <c r="BQ60" s="258"/>
      <c r="BR60" s="258"/>
      <c r="BS60" s="268"/>
      <c r="BT60" s="258"/>
      <c r="BU60" s="269"/>
      <c r="BV60" s="258"/>
      <c r="BW60" s="270"/>
      <c r="BX60" s="270"/>
      <c r="BY60" s="257"/>
      <c r="BZ60" s="257"/>
      <c r="CA60" s="257" t="n">
        <v>-824769.43</v>
      </c>
      <c r="CB60" s="257"/>
      <c r="CC60" s="257"/>
      <c r="CD60" s="257"/>
      <c r="CE60" s="257"/>
      <c r="CF60" s="257"/>
      <c r="CG60" s="257"/>
      <c r="CH60" s="257"/>
      <c r="CI60" s="257"/>
      <c r="CJ60" s="257"/>
      <c r="CK60" s="258"/>
      <c r="CL60" s="258"/>
    </row>
    <row r="61" customFormat="false" ht="15.75" hidden="false" customHeight="false" outlineLevel="3" collapsed="false">
      <c r="A61" s="58" t="s">
        <v>522</v>
      </c>
      <c r="B61" s="58" t="s">
        <v>523</v>
      </c>
      <c r="C61" s="58" t="s">
        <v>472</v>
      </c>
      <c r="D61" s="58" t="s">
        <v>473</v>
      </c>
      <c r="E61" s="58" t="s">
        <v>524</v>
      </c>
      <c r="F61" s="58"/>
      <c r="G61" s="58" t="s">
        <v>525</v>
      </c>
      <c r="H61" s="58" t="s">
        <v>526</v>
      </c>
      <c r="I61" s="219" t="s">
        <v>527</v>
      </c>
      <c r="J61" s="220" t="n">
        <v>375000</v>
      </c>
      <c r="K61" s="221" t="n">
        <v>375000</v>
      </c>
      <c r="L61" s="223" t="n">
        <v>0</v>
      </c>
      <c r="M61" s="223" t="n">
        <v>0</v>
      </c>
      <c r="N61" s="223" t="n">
        <v>0</v>
      </c>
      <c r="O61" s="222" t="n">
        <v>219.31052368</v>
      </c>
      <c r="P61" s="224" t="n">
        <v>219.31052368</v>
      </c>
      <c r="Q61" s="224" t="n">
        <v>0</v>
      </c>
      <c r="R61" s="225" t="s">
        <v>528</v>
      </c>
      <c r="S61" s="226" t="n">
        <v>0.625</v>
      </c>
      <c r="T61" s="225" t="n">
        <v>0</v>
      </c>
      <c r="U61" s="227" t="n">
        <v>82241446.38</v>
      </c>
      <c r="V61" s="222" t="s">
        <v>384</v>
      </c>
      <c r="W61" s="222" t="n">
        <v>0</v>
      </c>
      <c r="X61" s="222" t="n">
        <v>0</v>
      </c>
      <c r="Y61" s="222" t="n">
        <v>0</v>
      </c>
      <c r="Z61" s="222" t="n">
        <v>0</v>
      </c>
      <c r="AA61" s="222" t="n">
        <v>0</v>
      </c>
      <c r="AB61" s="222" t="n">
        <v>0</v>
      </c>
      <c r="AC61" s="227" t="n">
        <v>82241446.38</v>
      </c>
      <c r="AD61" s="222" t="n">
        <v>0</v>
      </c>
      <c r="AE61" s="222" t="n">
        <v>0</v>
      </c>
      <c r="AF61" s="222" t="n">
        <v>0</v>
      </c>
      <c r="AG61" s="222" t="n">
        <v>0</v>
      </c>
      <c r="AH61" s="228" t="n">
        <v>0</v>
      </c>
      <c r="AI61" s="222" t="n">
        <v>0</v>
      </c>
      <c r="AJ61" s="222" t="n">
        <v>0</v>
      </c>
      <c r="AK61" s="229" t="n">
        <v>0</v>
      </c>
      <c r="AL61" s="230" t="n">
        <v>0</v>
      </c>
      <c r="AM61" s="222" t="n">
        <v>81210625</v>
      </c>
      <c r="AN61" s="230" t="n">
        <v>0</v>
      </c>
      <c r="AO61" s="223" t="n">
        <v>0</v>
      </c>
      <c r="AP61" s="222" t="n">
        <v>81210625</v>
      </c>
      <c r="AQ61" s="231" t="n">
        <v>1</v>
      </c>
      <c r="AR61" s="222" t="n">
        <v>0</v>
      </c>
      <c r="AS61" s="222" t="n">
        <v>219.31052368</v>
      </c>
      <c r="AT61" s="222" t="n">
        <v>0</v>
      </c>
      <c r="AU61" s="222" t="n">
        <v>0</v>
      </c>
      <c r="AV61" s="222" t="n">
        <v>0</v>
      </c>
      <c r="AW61" s="222" t="n">
        <v>0</v>
      </c>
      <c r="AX61" s="222" t="n">
        <v>0</v>
      </c>
      <c r="AY61" s="222" t="n">
        <v>0</v>
      </c>
      <c r="AZ61" s="222" t="n">
        <v>0</v>
      </c>
      <c r="BA61" s="222" t="n">
        <v>0</v>
      </c>
      <c r="BB61" s="222" t="s">
        <v>380</v>
      </c>
      <c r="BC61" s="222" t="s">
        <v>380</v>
      </c>
      <c r="BD61" s="222" t="n">
        <v>0</v>
      </c>
      <c r="BE61" s="222" t="n">
        <v>0</v>
      </c>
      <c r="BF61" s="222" t="n">
        <v>0</v>
      </c>
      <c r="BG61" s="222" t="n">
        <v>0</v>
      </c>
      <c r="BH61" s="222" t="n">
        <v>0</v>
      </c>
      <c r="BI61" s="222" t="n">
        <v>0</v>
      </c>
      <c r="BJ61" s="222" t="n">
        <v>0</v>
      </c>
      <c r="BK61" s="222" t="n">
        <v>0</v>
      </c>
      <c r="BL61" s="222" t="n">
        <v>81210625</v>
      </c>
      <c r="BM61" s="222" t="s">
        <v>385</v>
      </c>
      <c r="BN61" s="222" t="n">
        <v>0</v>
      </c>
      <c r="BO61" s="232" t="b">
        <f aca="false">FALSE()</f>
        <v>0</v>
      </c>
      <c r="BP61" s="232" t="n">
        <v>0</v>
      </c>
      <c r="BQ61" s="223" t="n">
        <v>100</v>
      </c>
      <c r="BR61" s="223" t="n">
        <v>37500000</v>
      </c>
      <c r="BS61" s="234" t="n">
        <v>74</v>
      </c>
      <c r="BT61" s="223" t="n">
        <v>0</v>
      </c>
      <c r="BU61" s="235" t="n">
        <v>0</v>
      </c>
      <c r="BV61" s="223" t="n">
        <v>80</v>
      </c>
      <c r="BW61" s="236" t="n">
        <v>0</v>
      </c>
      <c r="BX61" s="236" t="n">
        <v>0</v>
      </c>
      <c r="BY61" s="232" t="n">
        <v>0</v>
      </c>
      <c r="BZ61" s="232" t="n">
        <v>0</v>
      </c>
      <c r="CA61" s="232" t="n">
        <v>1030821.38</v>
      </c>
      <c r="CB61" s="232" t="n">
        <v>1030821.38</v>
      </c>
      <c r="CC61" s="232" t="n">
        <v>0</v>
      </c>
      <c r="CD61" s="232" t="n">
        <v>0</v>
      </c>
      <c r="CE61" s="232" t="n">
        <v>0</v>
      </c>
      <c r="CF61" s="232" t="n">
        <v>0</v>
      </c>
      <c r="CG61" s="232" t="n">
        <v>0</v>
      </c>
      <c r="CH61" s="232" t="n">
        <v>0</v>
      </c>
      <c r="CI61" s="232" t="n">
        <v>0</v>
      </c>
      <c r="CJ61" s="232" t="n">
        <v>0</v>
      </c>
      <c r="CK61" s="223" t="n">
        <v>0</v>
      </c>
      <c r="CL61" s="223" t="n">
        <v>0</v>
      </c>
    </row>
    <row r="62" customFormat="false" ht="20.1" hidden="false" customHeight="true" outlineLevel="2" collapsed="false">
      <c r="A62" s="238" t="s">
        <v>529</v>
      </c>
      <c r="B62" s="238"/>
      <c r="C62" s="238"/>
      <c r="D62" s="238"/>
      <c r="E62" s="238"/>
      <c r="F62" s="238"/>
      <c r="G62" s="238"/>
      <c r="H62" s="238"/>
      <c r="I62" s="239"/>
      <c r="J62" s="240"/>
      <c r="K62" s="241"/>
      <c r="L62" s="243"/>
      <c r="M62" s="243"/>
      <c r="N62" s="243"/>
      <c r="O62" s="242"/>
      <c r="P62" s="244"/>
      <c r="Q62" s="244"/>
      <c r="R62" s="245" t="n">
        <v>0</v>
      </c>
      <c r="S62" s="246" t="n">
        <v>0.625</v>
      </c>
      <c r="T62" s="245" t="n">
        <v>0</v>
      </c>
      <c r="U62" s="247" t="n">
        <v>82241446.38</v>
      </c>
      <c r="V62" s="242"/>
      <c r="W62" s="242" t="n">
        <v>0</v>
      </c>
      <c r="X62" s="242" t="n">
        <v>0</v>
      </c>
      <c r="Y62" s="242" t="n">
        <v>0</v>
      </c>
      <c r="Z62" s="242" t="n">
        <v>0</v>
      </c>
      <c r="AA62" s="242" t="n">
        <v>0</v>
      </c>
      <c r="AB62" s="242" t="n">
        <v>0</v>
      </c>
      <c r="AC62" s="247" t="n">
        <v>82241446.38</v>
      </c>
      <c r="AD62" s="242" t="n">
        <v>0</v>
      </c>
      <c r="AE62" s="242" t="n">
        <v>0</v>
      </c>
      <c r="AF62" s="242" t="n">
        <v>0</v>
      </c>
      <c r="AG62" s="242" t="n">
        <v>0</v>
      </c>
      <c r="AH62" s="248" t="n">
        <v>0</v>
      </c>
      <c r="AI62" s="242" t="n">
        <v>0</v>
      </c>
      <c r="AJ62" s="242" t="n">
        <v>0</v>
      </c>
      <c r="AK62" s="249" t="n">
        <v>0</v>
      </c>
      <c r="AL62" s="250"/>
      <c r="AM62" s="242" t="n">
        <v>81210625</v>
      </c>
      <c r="AN62" s="250"/>
      <c r="AO62" s="243"/>
      <c r="AP62" s="242" t="n">
        <v>81210625</v>
      </c>
      <c r="AQ62" s="251"/>
      <c r="AR62" s="242"/>
      <c r="AS62" s="242"/>
      <c r="AT62" s="242" t="n">
        <v>0</v>
      </c>
      <c r="AU62" s="242" t="n">
        <v>0</v>
      </c>
      <c r="AV62" s="242" t="n">
        <v>0</v>
      </c>
      <c r="AW62" s="242" t="n">
        <v>0</v>
      </c>
      <c r="AX62" s="242" t="n">
        <v>0</v>
      </c>
      <c r="AY62" s="242" t="n">
        <v>0</v>
      </c>
      <c r="AZ62" s="242" t="n">
        <v>0</v>
      </c>
      <c r="BA62" s="242" t="n">
        <v>0</v>
      </c>
      <c r="BB62" s="242"/>
      <c r="BC62" s="242"/>
      <c r="BD62" s="242"/>
      <c r="BE62" s="242"/>
      <c r="BF62" s="242"/>
      <c r="BG62" s="242"/>
      <c r="BH62" s="242"/>
      <c r="BI62" s="242"/>
      <c r="BJ62" s="242"/>
      <c r="BK62" s="242"/>
      <c r="BL62" s="242"/>
      <c r="BM62" s="242"/>
      <c r="BN62" s="242"/>
      <c r="BO62" s="242"/>
      <c r="BP62" s="242"/>
      <c r="BQ62" s="243"/>
      <c r="BR62" s="243"/>
      <c r="BS62" s="253"/>
      <c r="BT62" s="243"/>
      <c r="BU62" s="254"/>
      <c r="BV62" s="243"/>
      <c r="BW62" s="255"/>
      <c r="BX62" s="255"/>
      <c r="BY62" s="242"/>
      <c r="BZ62" s="242"/>
      <c r="CA62" s="242" t="n">
        <v>1030821.38</v>
      </c>
      <c r="CB62" s="242"/>
      <c r="CC62" s="242"/>
      <c r="CD62" s="242"/>
      <c r="CE62" s="242"/>
      <c r="CF62" s="242"/>
      <c r="CG62" s="242"/>
      <c r="CH62" s="242"/>
      <c r="CI62" s="242"/>
      <c r="CJ62" s="242"/>
      <c r="CK62" s="243"/>
      <c r="CL62" s="243"/>
    </row>
    <row r="63" customFormat="false" ht="15.75" hidden="false" customHeight="false" outlineLevel="3" collapsed="false">
      <c r="A63" s="58" t="s">
        <v>398</v>
      </c>
      <c r="B63" s="58" t="s">
        <v>523</v>
      </c>
      <c r="C63" s="58" t="s">
        <v>472</v>
      </c>
      <c r="D63" s="58" t="s">
        <v>473</v>
      </c>
      <c r="E63" s="58" t="s">
        <v>530</v>
      </c>
      <c r="F63" s="58" t="s">
        <v>380</v>
      </c>
      <c r="G63" s="58" t="s">
        <v>531</v>
      </c>
      <c r="H63" s="58" t="s">
        <v>101</v>
      </c>
      <c r="I63" s="219" t="s">
        <v>404</v>
      </c>
      <c r="J63" s="221" t="n">
        <v>1</v>
      </c>
      <c r="K63" s="221" t="n">
        <v>1</v>
      </c>
      <c r="L63" s="223" t="n">
        <v>0</v>
      </c>
      <c r="M63" s="223" t="n">
        <v>0</v>
      </c>
      <c r="N63" s="223" t="n">
        <v>0</v>
      </c>
      <c r="O63" s="222" t="n">
        <v>1250000</v>
      </c>
      <c r="P63" s="223" t="n">
        <v>1250000</v>
      </c>
      <c r="Q63" s="223" t="n">
        <v>0</v>
      </c>
      <c r="R63" s="225" t="s">
        <v>532</v>
      </c>
      <c r="S63" s="226" t="n">
        <v>1</v>
      </c>
      <c r="T63" s="225" t="n">
        <v>0</v>
      </c>
      <c r="U63" s="227" t="n">
        <v>1250000</v>
      </c>
      <c r="V63" s="222" t="s">
        <v>384</v>
      </c>
      <c r="W63" s="222" t="n">
        <v>0</v>
      </c>
      <c r="X63" s="222" t="n">
        <v>0</v>
      </c>
      <c r="Y63" s="222" t="n">
        <v>0</v>
      </c>
      <c r="Z63" s="222" t="n">
        <v>0</v>
      </c>
      <c r="AA63" s="222" t="n">
        <v>0</v>
      </c>
      <c r="AB63" s="222" t="n">
        <v>0</v>
      </c>
      <c r="AC63" s="227" t="n">
        <v>1250000</v>
      </c>
      <c r="AD63" s="222" t="n">
        <v>0</v>
      </c>
      <c r="AE63" s="222" t="n">
        <v>0</v>
      </c>
      <c r="AF63" s="222" t="n">
        <v>0</v>
      </c>
      <c r="AG63" s="222" t="n">
        <v>0</v>
      </c>
      <c r="AH63" s="228" t="n">
        <v>0</v>
      </c>
      <c r="AI63" s="222" t="n">
        <v>0</v>
      </c>
      <c r="AJ63" s="222" t="n">
        <v>0</v>
      </c>
      <c r="AK63" s="229" t="n">
        <v>0</v>
      </c>
      <c r="AL63" s="230" t="n">
        <v>0</v>
      </c>
      <c r="AM63" s="222" t="n">
        <v>1250000</v>
      </c>
      <c r="AN63" s="223" t="n">
        <v>0</v>
      </c>
      <c r="AO63" s="230" t="n">
        <v>0</v>
      </c>
      <c r="AP63" s="222" t="n">
        <v>1250000</v>
      </c>
      <c r="AQ63" s="231" t="n">
        <v>1</v>
      </c>
      <c r="AR63" s="222" t="n">
        <v>0</v>
      </c>
      <c r="AS63" s="222" t="n">
        <v>1250000</v>
      </c>
      <c r="AT63" s="222" t="n">
        <v>0</v>
      </c>
      <c r="AU63" s="222" t="n">
        <v>0</v>
      </c>
      <c r="AV63" s="222" t="n">
        <v>0</v>
      </c>
      <c r="AW63" s="222" t="n">
        <v>0</v>
      </c>
      <c r="AX63" s="222" t="n">
        <v>0</v>
      </c>
      <c r="AY63" s="222" t="n">
        <v>0</v>
      </c>
      <c r="AZ63" s="222" t="n">
        <v>0</v>
      </c>
      <c r="BA63" s="222" t="n">
        <v>0</v>
      </c>
      <c r="BB63" s="222" t="s">
        <v>380</v>
      </c>
      <c r="BC63" s="222" t="s">
        <v>380</v>
      </c>
      <c r="BD63" s="222" t="n">
        <v>0</v>
      </c>
      <c r="BE63" s="222" t="n">
        <v>0</v>
      </c>
      <c r="BF63" s="222" t="n">
        <v>0</v>
      </c>
      <c r="BG63" s="222" t="n">
        <v>0</v>
      </c>
      <c r="BH63" s="222" t="n">
        <v>0</v>
      </c>
      <c r="BI63" s="222" t="n">
        <v>0</v>
      </c>
      <c r="BJ63" s="222" t="n">
        <v>0</v>
      </c>
      <c r="BK63" s="222" t="n">
        <v>0</v>
      </c>
      <c r="BL63" s="222" t="n">
        <v>1250000</v>
      </c>
      <c r="BM63" s="222" t="s">
        <v>385</v>
      </c>
      <c r="BN63" s="222" t="n">
        <v>0</v>
      </c>
      <c r="BO63" s="232" t="b">
        <f aca="false">FALSE()</f>
        <v>0</v>
      </c>
      <c r="BP63" s="232" t="n">
        <v>0</v>
      </c>
      <c r="BQ63" s="224" t="n">
        <v>0</v>
      </c>
      <c r="BR63" s="223" t="n">
        <v>0</v>
      </c>
      <c r="BS63" s="234" t="n">
        <v>79</v>
      </c>
      <c r="BT63" s="223" t="n">
        <v>0</v>
      </c>
      <c r="BU63" s="235" t="n">
        <v>0</v>
      </c>
      <c r="BV63" s="223" t="n">
        <v>115</v>
      </c>
      <c r="BW63" s="236" t="n">
        <v>0</v>
      </c>
      <c r="BX63" s="236" t="n">
        <v>0</v>
      </c>
      <c r="BY63" s="232" t="n">
        <v>0</v>
      </c>
      <c r="BZ63" s="232" t="n">
        <v>0</v>
      </c>
      <c r="CA63" s="232" t="n">
        <v>0</v>
      </c>
      <c r="CB63" s="232" t="n">
        <v>0</v>
      </c>
      <c r="CC63" s="232" t="n">
        <v>0</v>
      </c>
      <c r="CD63" s="232" t="n">
        <v>0</v>
      </c>
      <c r="CE63" s="232" t="n">
        <v>0</v>
      </c>
      <c r="CF63" s="232" t="n">
        <v>0</v>
      </c>
      <c r="CG63" s="232" t="n">
        <v>0</v>
      </c>
      <c r="CH63" s="232" t="n">
        <v>0</v>
      </c>
      <c r="CI63" s="232" t="n">
        <v>0</v>
      </c>
      <c r="CJ63" s="232" t="n">
        <v>0</v>
      </c>
      <c r="CK63" s="223" t="n">
        <v>0</v>
      </c>
      <c r="CL63" s="223" t="n">
        <v>0</v>
      </c>
    </row>
    <row r="64" customFormat="false" ht="15.75" hidden="false" customHeight="false" outlineLevel="3" collapsed="false">
      <c r="A64" s="58" t="s">
        <v>398</v>
      </c>
      <c r="B64" s="58" t="s">
        <v>523</v>
      </c>
      <c r="C64" s="58" t="s">
        <v>472</v>
      </c>
      <c r="D64" s="58" t="s">
        <v>473</v>
      </c>
      <c r="E64" s="58" t="s">
        <v>533</v>
      </c>
      <c r="F64" s="58" t="s">
        <v>380</v>
      </c>
      <c r="G64" s="58" t="s">
        <v>525</v>
      </c>
      <c r="H64" s="274" t="s">
        <v>488</v>
      </c>
      <c r="I64" s="219" t="s">
        <v>534</v>
      </c>
      <c r="J64" s="221" t="n">
        <v>1</v>
      </c>
      <c r="K64" s="221" t="n">
        <v>1</v>
      </c>
      <c r="L64" s="223" t="n">
        <v>0</v>
      </c>
      <c r="M64" s="223" t="n">
        <v>0</v>
      </c>
      <c r="N64" s="223" t="n">
        <v>0</v>
      </c>
      <c r="O64" s="222" t="n">
        <v>1663000</v>
      </c>
      <c r="P64" s="223" t="n">
        <v>1663000</v>
      </c>
      <c r="Q64" s="223" t="n">
        <v>0</v>
      </c>
      <c r="R64" s="225" t="s">
        <v>535</v>
      </c>
      <c r="S64" s="226" t="n">
        <v>1</v>
      </c>
      <c r="T64" s="225" t="n">
        <v>0</v>
      </c>
      <c r="U64" s="227" t="n">
        <v>1663000</v>
      </c>
      <c r="V64" s="222" t="s">
        <v>384</v>
      </c>
      <c r="W64" s="222" t="n">
        <v>0</v>
      </c>
      <c r="X64" s="222" t="n">
        <v>0</v>
      </c>
      <c r="Y64" s="222" t="n">
        <v>0</v>
      </c>
      <c r="Z64" s="222" t="n">
        <v>0</v>
      </c>
      <c r="AA64" s="222" t="n">
        <v>0</v>
      </c>
      <c r="AB64" s="222" t="n">
        <v>0</v>
      </c>
      <c r="AC64" s="227" t="n">
        <v>1663000</v>
      </c>
      <c r="AD64" s="222" t="n">
        <v>0</v>
      </c>
      <c r="AE64" s="222" t="n">
        <v>0</v>
      </c>
      <c r="AF64" s="222" t="n">
        <v>0</v>
      </c>
      <c r="AG64" s="222" t="n">
        <v>0</v>
      </c>
      <c r="AH64" s="228" t="n">
        <v>0</v>
      </c>
      <c r="AI64" s="222" t="n">
        <v>0</v>
      </c>
      <c r="AJ64" s="222" t="n">
        <v>0</v>
      </c>
      <c r="AK64" s="229" t="n">
        <v>0</v>
      </c>
      <c r="AL64" s="230" t="n">
        <v>0</v>
      </c>
      <c r="AM64" s="222" t="n">
        <v>1663000</v>
      </c>
      <c r="AN64" s="223" t="n">
        <v>0</v>
      </c>
      <c r="AO64" s="230" t="n">
        <v>0</v>
      </c>
      <c r="AP64" s="222" t="n">
        <v>1663000</v>
      </c>
      <c r="AQ64" s="231" t="n">
        <v>1</v>
      </c>
      <c r="AR64" s="222" t="n">
        <v>0</v>
      </c>
      <c r="AS64" s="222" t="n">
        <v>1663000</v>
      </c>
      <c r="AT64" s="222" t="n">
        <v>0</v>
      </c>
      <c r="AU64" s="222" t="n">
        <v>0</v>
      </c>
      <c r="AV64" s="222" t="n">
        <v>0</v>
      </c>
      <c r="AW64" s="222" t="n">
        <v>0</v>
      </c>
      <c r="AX64" s="222" t="n">
        <v>0</v>
      </c>
      <c r="AY64" s="222" t="n">
        <v>0</v>
      </c>
      <c r="AZ64" s="222" t="n">
        <v>0</v>
      </c>
      <c r="BA64" s="222" t="n">
        <v>0</v>
      </c>
      <c r="BB64" s="222" t="s">
        <v>380</v>
      </c>
      <c r="BC64" s="222" t="s">
        <v>380</v>
      </c>
      <c r="BD64" s="222" t="n">
        <v>0</v>
      </c>
      <c r="BE64" s="222" t="n">
        <v>0</v>
      </c>
      <c r="BF64" s="222" t="n">
        <v>0</v>
      </c>
      <c r="BG64" s="222" t="n">
        <v>0</v>
      </c>
      <c r="BH64" s="222" t="n">
        <v>0</v>
      </c>
      <c r="BI64" s="222" t="n">
        <v>0</v>
      </c>
      <c r="BJ64" s="222" t="n">
        <v>0</v>
      </c>
      <c r="BK64" s="222" t="n">
        <v>0</v>
      </c>
      <c r="BL64" s="222" t="n">
        <v>1663000</v>
      </c>
      <c r="BM64" s="222" t="s">
        <v>385</v>
      </c>
      <c r="BN64" s="222" t="n">
        <v>0</v>
      </c>
      <c r="BO64" s="232" t="b">
        <f aca="false">FALSE()</f>
        <v>0</v>
      </c>
      <c r="BP64" s="232" t="n">
        <v>0</v>
      </c>
      <c r="BQ64" s="223" t="n">
        <v>0</v>
      </c>
      <c r="BR64" s="223" t="n">
        <v>0</v>
      </c>
      <c r="BS64" s="234" t="n">
        <v>79</v>
      </c>
      <c r="BT64" s="223" t="n">
        <v>0</v>
      </c>
      <c r="BU64" s="235" t="n">
        <v>0</v>
      </c>
      <c r="BV64" s="223" t="n">
        <v>120</v>
      </c>
      <c r="BW64" s="236" t="n">
        <v>0</v>
      </c>
      <c r="BX64" s="236" t="n">
        <v>0</v>
      </c>
      <c r="BY64" s="232" t="n">
        <v>0</v>
      </c>
      <c r="BZ64" s="232" t="n">
        <v>0</v>
      </c>
      <c r="CA64" s="232" t="n">
        <v>0</v>
      </c>
      <c r="CB64" s="232" t="n">
        <v>0</v>
      </c>
      <c r="CC64" s="232" t="n">
        <v>0</v>
      </c>
      <c r="CD64" s="232" t="n">
        <v>0</v>
      </c>
      <c r="CE64" s="232" t="n">
        <v>0</v>
      </c>
      <c r="CF64" s="232" t="n">
        <v>0</v>
      </c>
      <c r="CG64" s="232" t="n">
        <v>0</v>
      </c>
      <c r="CH64" s="232" t="n">
        <v>0</v>
      </c>
      <c r="CI64" s="232" t="n">
        <v>0</v>
      </c>
      <c r="CJ64" s="232" t="n">
        <v>0</v>
      </c>
      <c r="CK64" s="223" t="n">
        <v>0</v>
      </c>
      <c r="CL64" s="223" t="n">
        <v>0</v>
      </c>
    </row>
    <row r="65" customFormat="false" ht="20.1" hidden="false" customHeight="true" outlineLevel="2" collapsed="false">
      <c r="A65" s="238" t="s">
        <v>418</v>
      </c>
      <c r="B65" s="238"/>
      <c r="C65" s="238"/>
      <c r="D65" s="238"/>
      <c r="E65" s="238"/>
      <c r="F65" s="238"/>
      <c r="G65" s="238"/>
      <c r="H65" s="275"/>
      <c r="I65" s="239"/>
      <c r="J65" s="241"/>
      <c r="K65" s="241"/>
      <c r="L65" s="243"/>
      <c r="M65" s="243"/>
      <c r="N65" s="243"/>
      <c r="O65" s="242"/>
      <c r="P65" s="243"/>
      <c r="Q65" s="243"/>
      <c r="R65" s="245" t="n">
        <v>0</v>
      </c>
      <c r="S65" s="246" t="n">
        <v>2</v>
      </c>
      <c r="T65" s="245" t="n">
        <v>0</v>
      </c>
      <c r="U65" s="247" t="n">
        <v>2913000</v>
      </c>
      <c r="V65" s="242"/>
      <c r="W65" s="242" t="n">
        <v>0</v>
      </c>
      <c r="X65" s="242" t="n">
        <v>0</v>
      </c>
      <c r="Y65" s="242" t="n">
        <v>0</v>
      </c>
      <c r="Z65" s="242" t="n">
        <v>0</v>
      </c>
      <c r="AA65" s="242" t="n">
        <v>0</v>
      </c>
      <c r="AB65" s="242" t="n">
        <v>0</v>
      </c>
      <c r="AC65" s="247" t="n">
        <v>2913000</v>
      </c>
      <c r="AD65" s="242" t="n">
        <v>0</v>
      </c>
      <c r="AE65" s="242" t="n">
        <v>0</v>
      </c>
      <c r="AF65" s="242" t="n">
        <v>0</v>
      </c>
      <c r="AG65" s="242" t="n">
        <v>0</v>
      </c>
      <c r="AH65" s="248" t="n">
        <v>0</v>
      </c>
      <c r="AI65" s="242" t="n">
        <v>0</v>
      </c>
      <c r="AJ65" s="242" t="n">
        <v>0</v>
      </c>
      <c r="AK65" s="249" t="n">
        <v>0</v>
      </c>
      <c r="AL65" s="250"/>
      <c r="AM65" s="242" t="n">
        <v>2913000</v>
      </c>
      <c r="AN65" s="243"/>
      <c r="AO65" s="250"/>
      <c r="AP65" s="242" t="n">
        <v>2913000</v>
      </c>
      <c r="AQ65" s="251"/>
      <c r="AR65" s="242"/>
      <c r="AS65" s="242"/>
      <c r="AT65" s="242" t="n">
        <v>0</v>
      </c>
      <c r="AU65" s="242" t="n">
        <v>0</v>
      </c>
      <c r="AV65" s="242" t="n">
        <v>0</v>
      </c>
      <c r="AW65" s="242" t="n">
        <v>0</v>
      </c>
      <c r="AX65" s="242" t="n">
        <v>0</v>
      </c>
      <c r="AY65" s="242" t="n">
        <v>0</v>
      </c>
      <c r="AZ65" s="242" t="n">
        <v>0</v>
      </c>
      <c r="BA65" s="242" t="n">
        <v>0</v>
      </c>
      <c r="BB65" s="242"/>
      <c r="BC65" s="242"/>
      <c r="BD65" s="242"/>
      <c r="BE65" s="242"/>
      <c r="BF65" s="242"/>
      <c r="BG65" s="242"/>
      <c r="BH65" s="242"/>
      <c r="BI65" s="242"/>
      <c r="BJ65" s="242"/>
      <c r="BK65" s="242"/>
      <c r="BL65" s="242"/>
      <c r="BM65" s="242"/>
      <c r="BN65" s="242"/>
      <c r="BO65" s="242"/>
      <c r="BP65" s="242"/>
      <c r="BQ65" s="243"/>
      <c r="BR65" s="243"/>
      <c r="BS65" s="253"/>
      <c r="BT65" s="243"/>
      <c r="BU65" s="254"/>
      <c r="BV65" s="243"/>
      <c r="BW65" s="255"/>
      <c r="BX65" s="255"/>
      <c r="BY65" s="242"/>
      <c r="BZ65" s="242"/>
      <c r="CA65" s="242" t="n">
        <v>0</v>
      </c>
      <c r="CB65" s="242"/>
      <c r="CC65" s="242"/>
      <c r="CD65" s="242"/>
      <c r="CE65" s="242"/>
      <c r="CF65" s="242"/>
      <c r="CG65" s="242"/>
      <c r="CH65" s="242"/>
      <c r="CI65" s="242"/>
      <c r="CJ65" s="242"/>
      <c r="CK65" s="243"/>
      <c r="CL65" s="243"/>
    </row>
    <row r="66" customFormat="false" ht="15.75" hidden="false" customHeight="false" outlineLevel="3" collapsed="false">
      <c r="A66" s="58" t="s">
        <v>484</v>
      </c>
      <c r="B66" s="58" t="s">
        <v>523</v>
      </c>
      <c r="C66" s="58" t="s">
        <v>472</v>
      </c>
      <c r="D66" s="58" t="s">
        <v>473</v>
      </c>
      <c r="E66" s="58" t="s">
        <v>536</v>
      </c>
      <c r="F66" s="58" t="s">
        <v>380</v>
      </c>
      <c r="G66" s="58" t="s">
        <v>525</v>
      </c>
      <c r="H66" s="274" t="s">
        <v>488</v>
      </c>
      <c r="I66" s="219" t="s">
        <v>382</v>
      </c>
      <c r="J66" s="220" t="n">
        <v>1000</v>
      </c>
      <c r="K66" s="221" t="n">
        <v>1000</v>
      </c>
      <c r="L66" s="223" t="n">
        <v>0</v>
      </c>
      <c r="M66" s="223" t="n">
        <v>0</v>
      </c>
      <c r="N66" s="223" t="n">
        <v>1</v>
      </c>
      <c r="O66" s="222" t="n">
        <v>1360</v>
      </c>
      <c r="P66" s="224" t="n">
        <v>1360</v>
      </c>
      <c r="Q66" s="224" t="n">
        <v>0</v>
      </c>
      <c r="R66" s="225" t="s">
        <v>537</v>
      </c>
      <c r="S66" s="226" t="n">
        <v>1</v>
      </c>
      <c r="T66" s="225" t="n">
        <v>0</v>
      </c>
      <c r="U66" s="227" t="n">
        <v>1360000</v>
      </c>
      <c r="V66" s="222" t="s">
        <v>384</v>
      </c>
      <c r="W66" s="222" t="n">
        <v>0</v>
      </c>
      <c r="X66" s="222" t="n">
        <v>0</v>
      </c>
      <c r="Y66" s="222" t="n">
        <v>0</v>
      </c>
      <c r="Z66" s="222" t="n">
        <v>0</v>
      </c>
      <c r="AA66" s="222" t="n">
        <v>0</v>
      </c>
      <c r="AB66" s="222" t="n">
        <v>0</v>
      </c>
      <c r="AC66" s="227" t="n">
        <v>1360000</v>
      </c>
      <c r="AD66" s="222" t="n">
        <v>0</v>
      </c>
      <c r="AE66" s="222" t="n">
        <v>0</v>
      </c>
      <c r="AF66" s="222" t="n">
        <v>0</v>
      </c>
      <c r="AG66" s="222" t="n">
        <v>0</v>
      </c>
      <c r="AH66" s="228" t="n">
        <v>0</v>
      </c>
      <c r="AI66" s="222" t="n">
        <v>0</v>
      </c>
      <c r="AJ66" s="222" t="n">
        <v>0</v>
      </c>
      <c r="AK66" s="229" t="n">
        <v>0</v>
      </c>
      <c r="AL66" s="230" t="n">
        <v>0</v>
      </c>
      <c r="AM66" s="222" t="n">
        <v>1360000</v>
      </c>
      <c r="AN66" s="230" t="n">
        <v>0</v>
      </c>
      <c r="AO66" s="223" t="n">
        <v>0</v>
      </c>
      <c r="AP66" s="222" t="n">
        <v>1360000</v>
      </c>
      <c r="AQ66" s="231" t="n">
        <v>1</v>
      </c>
      <c r="AR66" s="222" t="n">
        <v>1360000</v>
      </c>
      <c r="AS66" s="222" t="n">
        <v>1360</v>
      </c>
      <c r="AT66" s="222" t="n">
        <v>0</v>
      </c>
      <c r="AU66" s="222" t="n">
        <v>0</v>
      </c>
      <c r="AV66" s="222" t="n">
        <v>0</v>
      </c>
      <c r="AW66" s="222" t="n">
        <v>0</v>
      </c>
      <c r="AX66" s="222" t="n">
        <v>0</v>
      </c>
      <c r="AY66" s="222" t="n">
        <v>0</v>
      </c>
      <c r="AZ66" s="222" t="n">
        <v>0</v>
      </c>
      <c r="BA66" s="222" t="n">
        <v>0</v>
      </c>
      <c r="BB66" s="222" t="s">
        <v>380</v>
      </c>
      <c r="BC66" s="222" t="s">
        <v>380</v>
      </c>
      <c r="BD66" s="222" t="n">
        <v>0</v>
      </c>
      <c r="BE66" s="222" t="n">
        <v>0</v>
      </c>
      <c r="BF66" s="222" t="n">
        <v>0</v>
      </c>
      <c r="BG66" s="222" t="n">
        <v>0</v>
      </c>
      <c r="BH66" s="222" t="n">
        <v>0</v>
      </c>
      <c r="BI66" s="222" t="n">
        <v>0</v>
      </c>
      <c r="BJ66" s="222" t="n">
        <v>0</v>
      </c>
      <c r="BK66" s="222" t="n">
        <v>0</v>
      </c>
      <c r="BL66" s="236" t="n">
        <v>1360000</v>
      </c>
      <c r="BM66" s="222" t="s">
        <v>385</v>
      </c>
      <c r="BN66" s="222" t="n">
        <v>0</v>
      </c>
      <c r="BO66" s="232" t="b">
        <f aca="false">FALSE()</f>
        <v>0</v>
      </c>
      <c r="BP66" s="232" t="n">
        <v>0</v>
      </c>
      <c r="BQ66" s="223" t="n">
        <v>2360</v>
      </c>
      <c r="BR66" s="223" t="n">
        <v>2360000</v>
      </c>
      <c r="BS66" s="234" t="n">
        <v>73</v>
      </c>
      <c r="BT66" s="223" t="n">
        <v>0</v>
      </c>
      <c r="BU66" s="235" t="n">
        <v>0</v>
      </c>
      <c r="BV66" s="223" t="n">
        <v>36</v>
      </c>
      <c r="BW66" s="236" t="n">
        <v>0</v>
      </c>
      <c r="BX66" s="236" t="n">
        <v>0</v>
      </c>
      <c r="BY66" s="232" t="n">
        <v>0</v>
      </c>
      <c r="BZ66" s="232" t="n">
        <v>0</v>
      </c>
      <c r="CA66" s="232" t="n">
        <v>0</v>
      </c>
      <c r="CB66" s="232" t="n">
        <v>0</v>
      </c>
      <c r="CC66" s="232" t="n">
        <v>0</v>
      </c>
      <c r="CD66" s="232" t="n">
        <v>0</v>
      </c>
      <c r="CE66" s="232" t="n">
        <v>0</v>
      </c>
      <c r="CF66" s="232" t="n">
        <v>0</v>
      </c>
      <c r="CG66" s="232" t="n">
        <v>0</v>
      </c>
      <c r="CH66" s="232" t="n">
        <v>0</v>
      </c>
      <c r="CI66" s="232" t="n">
        <v>0</v>
      </c>
      <c r="CJ66" s="232" t="n">
        <v>0</v>
      </c>
      <c r="CK66" s="223" t="n">
        <v>0</v>
      </c>
      <c r="CL66" s="223" t="n">
        <v>0</v>
      </c>
    </row>
    <row r="67" customFormat="false" ht="20.1" hidden="false" customHeight="true" outlineLevel="2" collapsed="false">
      <c r="A67" s="238" t="s">
        <v>495</v>
      </c>
      <c r="B67" s="238"/>
      <c r="C67" s="238"/>
      <c r="D67" s="238"/>
      <c r="E67" s="238"/>
      <c r="F67" s="238"/>
      <c r="G67" s="238"/>
      <c r="H67" s="275"/>
      <c r="I67" s="239"/>
      <c r="J67" s="240"/>
      <c r="K67" s="241"/>
      <c r="L67" s="243"/>
      <c r="M67" s="243"/>
      <c r="N67" s="243"/>
      <c r="O67" s="242"/>
      <c r="P67" s="244"/>
      <c r="Q67" s="244"/>
      <c r="R67" s="245" t="n">
        <v>0</v>
      </c>
      <c r="S67" s="246" t="n">
        <v>1</v>
      </c>
      <c r="T67" s="245" t="n">
        <v>0</v>
      </c>
      <c r="U67" s="247" t="n">
        <v>1360000</v>
      </c>
      <c r="V67" s="242"/>
      <c r="W67" s="242" t="n">
        <v>0</v>
      </c>
      <c r="X67" s="242" t="n">
        <v>0</v>
      </c>
      <c r="Y67" s="242" t="n">
        <v>0</v>
      </c>
      <c r="Z67" s="242" t="n">
        <v>0</v>
      </c>
      <c r="AA67" s="242" t="n">
        <v>0</v>
      </c>
      <c r="AB67" s="242" t="n">
        <v>0</v>
      </c>
      <c r="AC67" s="247" t="n">
        <v>1360000</v>
      </c>
      <c r="AD67" s="242" t="n">
        <v>0</v>
      </c>
      <c r="AE67" s="242" t="n">
        <v>0</v>
      </c>
      <c r="AF67" s="242" t="n">
        <v>0</v>
      </c>
      <c r="AG67" s="242" t="n">
        <v>0</v>
      </c>
      <c r="AH67" s="248" t="n">
        <v>0</v>
      </c>
      <c r="AI67" s="242" t="n">
        <v>0</v>
      </c>
      <c r="AJ67" s="242" t="n">
        <v>0</v>
      </c>
      <c r="AK67" s="249" t="n">
        <v>0</v>
      </c>
      <c r="AL67" s="250"/>
      <c r="AM67" s="242" t="n">
        <v>1360000</v>
      </c>
      <c r="AN67" s="250"/>
      <c r="AO67" s="243"/>
      <c r="AP67" s="242" t="n">
        <v>1360000</v>
      </c>
      <c r="AQ67" s="251"/>
      <c r="AR67" s="242"/>
      <c r="AS67" s="242"/>
      <c r="AT67" s="242" t="n">
        <v>0</v>
      </c>
      <c r="AU67" s="242" t="n">
        <v>0</v>
      </c>
      <c r="AV67" s="242" t="n">
        <v>0</v>
      </c>
      <c r="AW67" s="242" t="n">
        <v>0</v>
      </c>
      <c r="AX67" s="242" t="n">
        <v>0</v>
      </c>
      <c r="AY67" s="242" t="n">
        <v>0</v>
      </c>
      <c r="AZ67" s="242" t="n">
        <v>0</v>
      </c>
      <c r="BA67" s="242" t="n">
        <v>0</v>
      </c>
      <c r="BB67" s="242"/>
      <c r="BC67" s="242"/>
      <c r="BD67" s="242"/>
      <c r="BE67" s="242"/>
      <c r="BF67" s="242"/>
      <c r="BG67" s="242"/>
      <c r="BH67" s="242"/>
      <c r="BI67" s="242"/>
      <c r="BJ67" s="242"/>
      <c r="BK67" s="242"/>
      <c r="BL67" s="255"/>
      <c r="BM67" s="242"/>
      <c r="BN67" s="242"/>
      <c r="BO67" s="242"/>
      <c r="BP67" s="242"/>
      <c r="BQ67" s="243"/>
      <c r="BR67" s="243"/>
      <c r="BS67" s="253"/>
      <c r="BT67" s="243"/>
      <c r="BU67" s="254"/>
      <c r="BV67" s="243"/>
      <c r="BW67" s="255"/>
      <c r="BX67" s="255"/>
      <c r="BY67" s="242"/>
      <c r="BZ67" s="242"/>
      <c r="CA67" s="242" t="n">
        <v>0</v>
      </c>
      <c r="CB67" s="242"/>
      <c r="CC67" s="242"/>
      <c r="CD67" s="242"/>
      <c r="CE67" s="242"/>
      <c r="CF67" s="242"/>
      <c r="CG67" s="242"/>
      <c r="CH67" s="242"/>
      <c r="CI67" s="242"/>
      <c r="CJ67" s="242"/>
      <c r="CK67" s="243"/>
      <c r="CL67" s="243"/>
    </row>
    <row r="68" customFormat="false" ht="15.75" hidden="false" customHeight="false" outlineLevel="3" collapsed="false">
      <c r="A68" s="58" t="s">
        <v>449</v>
      </c>
      <c r="B68" s="58" t="s">
        <v>523</v>
      </c>
      <c r="C68" s="58" t="s">
        <v>472</v>
      </c>
      <c r="D68" s="58" t="s">
        <v>473</v>
      </c>
      <c r="E68" s="58" t="s">
        <v>538</v>
      </c>
      <c r="F68" s="58" t="s">
        <v>539</v>
      </c>
      <c r="G68" s="58" t="s">
        <v>531</v>
      </c>
      <c r="H68" s="58" t="s">
        <v>99</v>
      </c>
      <c r="I68" s="219" t="s">
        <v>382</v>
      </c>
      <c r="J68" s="221" t="n">
        <v>59891</v>
      </c>
      <c r="K68" s="221" t="n">
        <v>59891</v>
      </c>
      <c r="L68" s="223" t="n">
        <v>0</v>
      </c>
      <c r="M68" s="223" t="n">
        <v>0</v>
      </c>
      <c r="N68" s="223" t="n">
        <v>1</v>
      </c>
      <c r="O68" s="222" t="n">
        <v>5.84375</v>
      </c>
      <c r="P68" s="224" t="n">
        <v>6</v>
      </c>
      <c r="Q68" s="224" t="n">
        <v>-0.15625</v>
      </c>
      <c r="R68" s="225" t="s">
        <v>540</v>
      </c>
      <c r="S68" s="226" t="n">
        <v>0.5</v>
      </c>
      <c r="T68" s="225" t="n">
        <v>0</v>
      </c>
      <c r="U68" s="227" t="n">
        <v>349988.03125</v>
      </c>
      <c r="V68" s="222" t="s">
        <v>384</v>
      </c>
      <c r="W68" s="222" t="n">
        <v>0</v>
      </c>
      <c r="X68" s="222" t="n">
        <v>0</v>
      </c>
      <c r="Y68" s="222" t="n">
        <v>0</v>
      </c>
      <c r="Z68" s="222" t="n">
        <v>0</v>
      </c>
      <c r="AA68" s="222" t="n">
        <v>0</v>
      </c>
      <c r="AB68" s="222" t="n">
        <v>0</v>
      </c>
      <c r="AC68" s="227" t="n">
        <v>359346</v>
      </c>
      <c r="AD68" s="222" t="n">
        <v>-9357.96875</v>
      </c>
      <c r="AE68" s="222" t="n">
        <v>0</v>
      </c>
      <c r="AF68" s="222" t="n">
        <v>9357.96875</v>
      </c>
      <c r="AG68" s="222" t="n">
        <v>0</v>
      </c>
      <c r="AH68" s="228" t="n">
        <v>80478.53125</v>
      </c>
      <c r="AI68" s="222" t="n">
        <v>0</v>
      </c>
      <c r="AJ68" s="222" t="n">
        <v>-80478.53125</v>
      </c>
      <c r="AK68" s="229" t="n">
        <v>0</v>
      </c>
      <c r="AL68" s="230" t="n">
        <v>0</v>
      </c>
      <c r="AM68" s="222" t="n">
        <v>269509.5</v>
      </c>
      <c r="AN68" s="223" t="n">
        <v>0</v>
      </c>
      <c r="AO68" s="230" t="n">
        <v>0</v>
      </c>
      <c r="AP68" s="222" t="n">
        <v>385548.3125</v>
      </c>
      <c r="AQ68" s="231" t="n">
        <v>1</v>
      </c>
      <c r="AR68" s="222" t="n">
        <v>349988.03125</v>
      </c>
      <c r="AS68" s="222" t="n">
        <v>5.84375</v>
      </c>
      <c r="AT68" s="222" t="n">
        <v>20587.53125</v>
      </c>
      <c r="AU68" s="222" t="n">
        <v>0</v>
      </c>
      <c r="AV68" s="222" t="n">
        <v>-20587.53125</v>
      </c>
      <c r="AW68" s="222" t="n">
        <v>0</v>
      </c>
      <c r="AX68" s="222" t="n">
        <v>80478.53125</v>
      </c>
      <c r="AY68" s="222" t="n">
        <v>0</v>
      </c>
      <c r="AZ68" s="222" t="n">
        <v>-80478.53125</v>
      </c>
      <c r="BA68" s="222" t="n">
        <v>0</v>
      </c>
      <c r="BB68" s="222" t="n">
        <v>5.84375</v>
      </c>
      <c r="BC68" s="222" t="n">
        <v>6</v>
      </c>
      <c r="BD68" s="222" t="n">
        <v>29945.5</v>
      </c>
      <c r="BE68" s="222" t="n">
        <v>0</v>
      </c>
      <c r="BF68" s="222" t="n">
        <v>-29945.5</v>
      </c>
      <c r="BG68" s="222" t="n">
        <v>0</v>
      </c>
      <c r="BH68" s="222" t="n">
        <v>89836.5</v>
      </c>
      <c r="BI68" s="222" t="n">
        <v>0</v>
      </c>
      <c r="BJ68" s="222" t="n">
        <v>-89836.5</v>
      </c>
      <c r="BK68" s="222" t="n">
        <v>0</v>
      </c>
      <c r="BL68" s="222" t="n">
        <v>385548.3125</v>
      </c>
      <c r="BM68" s="222" t="s">
        <v>395</v>
      </c>
      <c r="BN68" s="222" t="n">
        <v>0</v>
      </c>
      <c r="BO68" s="232" t="b">
        <f aca="false">FALSE()</f>
        <v>0</v>
      </c>
      <c r="BP68" s="232" t="n">
        <v>-89836.5</v>
      </c>
      <c r="BQ68" s="224" t="n">
        <v>1.12</v>
      </c>
      <c r="BR68" s="223" t="n">
        <v>67077.92</v>
      </c>
      <c r="BS68" s="234" t="n">
        <v>72</v>
      </c>
      <c r="BT68" s="223" t="n">
        <v>-9357.96875</v>
      </c>
      <c r="BU68" s="235" t="n">
        <v>59891</v>
      </c>
      <c r="BV68" s="223" t="n">
        <v>6</v>
      </c>
      <c r="BW68" s="236" t="n">
        <v>5.84375</v>
      </c>
      <c r="BX68" s="236" t="n">
        <v>0</v>
      </c>
      <c r="BY68" s="232" t="n">
        <v>0</v>
      </c>
      <c r="BZ68" s="232" t="n">
        <v>0</v>
      </c>
      <c r="CA68" s="232" t="n">
        <v>0</v>
      </c>
      <c r="CB68" s="232" t="n">
        <v>0</v>
      </c>
      <c r="CC68" s="232" t="n">
        <v>0</v>
      </c>
      <c r="CD68" s="232" t="n">
        <v>0</v>
      </c>
      <c r="CE68" s="232" t="n">
        <v>0</v>
      </c>
      <c r="CF68" s="232" t="n">
        <v>0</v>
      </c>
      <c r="CG68" s="232" t="n">
        <v>89836.5</v>
      </c>
      <c r="CH68" s="232" t="n">
        <v>0</v>
      </c>
      <c r="CI68" s="232" t="n">
        <v>-89836.5</v>
      </c>
      <c r="CJ68" s="232" t="n">
        <v>0</v>
      </c>
      <c r="CK68" s="223" t="n">
        <v>0</v>
      </c>
      <c r="CL68" s="223" t="n">
        <v>0</v>
      </c>
    </row>
    <row r="69" customFormat="false" ht="15.75" hidden="false" customHeight="false" outlineLevel="3" collapsed="false">
      <c r="A69" s="58" t="s">
        <v>449</v>
      </c>
      <c r="B69" s="58" t="s">
        <v>523</v>
      </c>
      <c r="C69" s="58" t="s">
        <v>472</v>
      </c>
      <c r="D69" s="58" t="s">
        <v>473</v>
      </c>
      <c r="E69" s="58" t="s">
        <v>541</v>
      </c>
      <c r="F69" s="58" t="s">
        <v>542</v>
      </c>
      <c r="G69" s="58" t="s">
        <v>531</v>
      </c>
      <c r="H69" s="58" t="s">
        <v>99</v>
      </c>
      <c r="I69" s="219" t="s">
        <v>382</v>
      </c>
      <c r="J69" s="221" t="n">
        <v>1339286</v>
      </c>
      <c r="K69" s="221" t="n">
        <v>1339286</v>
      </c>
      <c r="L69" s="223" t="n">
        <v>0</v>
      </c>
      <c r="M69" s="223" t="n">
        <v>0.03</v>
      </c>
      <c r="N69" s="223" t="n">
        <v>1</v>
      </c>
      <c r="O69" s="222" t="n">
        <v>17.6875</v>
      </c>
      <c r="P69" s="224" t="n">
        <v>17.875</v>
      </c>
      <c r="Q69" s="224" t="n">
        <v>-0.1875</v>
      </c>
      <c r="R69" s="225" t="n">
        <v>0</v>
      </c>
      <c r="S69" s="226" t="n">
        <v>1</v>
      </c>
      <c r="T69" s="225" t="n">
        <v>0</v>
      </c>
      <c r="U69" s="227" t="n">
        <v>23688621.125</v>
      </c>
      <c r="V69" s="222" t="s">
        <v>384</v>
      </c>
      <c r="W69" s="222" t="n">
        <v>710658.63375</v>
      </c>
      <c r="X69" s="222" t="n">
        <v>0</v>
      </c>
      <c r="Y69" s="222" t="n">
        <v>710658.63375</v>
      </c>
      <c r="Z69" s="222" t="n">
        <v>0</v>
      </c>
      <c r="AA69" s="222" t="n">
        <v>0</v>
      </c>
      <c r="AB69" s="222" t="n">
        <v>0</v>
      </c>
      <c r="AC69" s="227" t="n">
        <v>23939737.25</v>
      </c>
      <c r="AD69" s="222" t="n">
        <v>-251116.125</v>
      </c>
      <c r="AE69" s="222" t="n">
        <v>0</v>
      </c>
      <c r="AF69" s="222" t="n">
        <v>251116.125</v>
      </c>
      <c r="AG69" s="222" t="n">
        <v>0</v>
      </c>
      <c r="AH69" s="228" t="n">
        <v>585937.625</v>
      </c>
      <c r="AI69" s="222" t="n">
        <v>0</v>
      </c>
      <c r="AJ69" s="222" t="n">
        <v>-585937.625</v>
      </c>
      <c r="AK69" s="229" t="n">
        <v>0</v>
      </c>
      <c r="AL69" s="230" t="n">
        <v>0</v>
      </c>
      <c r="AM69" s="222" t="n">
        <v>23102683.5</v>
      </c>
      <c r="AN69" s="223" t="n">
        <v>0</v>
      </c>
      <c r="AO69" s="230" t="n">
        <v>0</v>
      </c>
      <c r="AP69" s="222" t="n">
        <v>0</v>
      </c>
      <c r="AQ69" s="231" t="n">
        <v>1</v>
      </c>
      <c r="AR69" s="222" t="n">
        <v>23688621.125</v>
      </c>
      <c r="AS69" s="222" t="n">
        <v>17.6875</v>
      </c>
      <c r="AT69" s="222" t="n">
        <v>1925223.625</v>
      </c>
      <c r="AU69" s="222" t="n">
        <v>0</v>
      </c>
      <c r="AV69" s="222" t="n">
        <v>-1925223.625</v>
      </c>
      <c r="AW69" s="222" t="n">
        <v>0</v>
      </c>
      <c r="AX69" s="222" t="n">
        <v>585937.625</v>
      </c>
      <c r="AY69" s="222" t="n">
        <v>0</v>
      </c>
      <c r="AZ69" s="222" t="n">
        <v>-585937.625</v>
      </c>
      <c r="BA69" s="222" t="n">
        <v>0</v>
      </c>
      <c r="BB69" s="222" t="n">
        <v>17.6875</v>
      </c>
      <c r="BC69" s="222" t="n">
        <v>17.875</v>
      </c>
      <c r="BD69" s="222" t="n">
        <v>2176339.75</v>
      </c>
      <c r="BE69" s="222" t="n">
        <v>0</v>
      </c>
      <c r="BF69" s="222" t="n">
        <v>-2176339.75</v>
      </c>
      <c r="BG69" s="222" t="n">
        <v>0</v>
      </c>
      <c r="BH69" s="222" t="n">
        <v>837053.75</v>
      </c>
      <c r="BI69" s="222" t="n">
        <v>0</v>
      </c>
      <c r="BJ69" s="222" t="n">
        <v>-837053.75</v>
      </c>
      <c r="BK69" s="222" t="n">
        <v>0</v>
      </c>
      <c r="BL69" s="222" t="n">
        <v>0</v>
      </c>
      <c r="BM69" s="222" t="s">
        <v>395</v>
      </c>
      <c r="BN69" s="222" t="n">
        <v>0</v>
      </c>
      <c r="BO69" s="232" t="b">
        <f aca="false">FALSE()</f>
        <v>0</v>
      </c>
      <c r="BP69" s="232" t="n">
        <v>-837053.75</v>
      </c>
      <c r="BQ69" s="224" t="n">
        <v>0</v>
      </c>
      <c r="BR69" s="223" t="n">
        <v>0</v>
      </c>
      <c r="BS69" s="234" t="n">
        <v>72</v>
      </c>
      <c r="BT69" s="223" t="n">
        <v>-251116.125</v>
      </c>
      <c r="BU69" s="235" t="n">
        <v>1339286</v>
      </c>
      <c r="BV69" s="223" t="n">
        <v>23</v>
      </c>
      <c r="BW69" s="236" t="n">
        <v>17.6875</v>
      </c>
      <c r="BX69" s="236" t="n">
        <v>0</v>
      </c>
      <c r="BY69" s="232" t="n">
        <v>0</v>
      </c>
      <c r="BZ69" s="232" t="n">
        <v>0</v>
      </c>
      <c r="CA69" s="232" t="n">
        <v>0</v>
      </c>
      <c r="CB69" s="232" t="n">
        <v>0</v>
      </c>
      <c r="CC69" s="232" t="n">
        <v>0</v>
      </c>
      <c r="CD69" s="232" t="n">
        <v>0</v>
      </c>
      <c r="CE69" s="232" t="n">
        <v>0</v>
      </c>
      <c r="CF69" s="232" t="n">
        <v>0</v>
      </c>
      <c r="CG69" s="232" t="n">
        <v>837053.75</v>
      </c>
      <c r="CH69" s="232" t="n">
        <v>0</v>
      </c>
      <c r="CI69" s="232" t="n">
        <v>-837053.75</v>
      </c>
      <c r="CJ69" s="232" t="n">
        <v>0</v>
      </c>
      <c r="CK69" s="223" t="n">
        <v>0.03</v>
      </c>
      <c r="CL69" s="223" t="n">
        <v>0</v>
      </c>
    </row>
    <row r="70" customFormat="false" ht="20.1" hidden="false" customHeight="true" outlineLevel="2" collapsed="false">
      <c r="A70" s="238" t="s">
        <v>457</v>
      </c>
      <c r="B70" s="238"/>
      <c r="C70" s="238"/>
      <c r="D70" s="238"/>
      <c r="E70" s="238"/>
      <c r="F70" s="238"/>
      <c r="G70" s="238"/>
      <c r="H70" s="238"/>
      <c r="I70" s="239"/>
      <c r="J70" s="241"/>
      <c r="K70" s="241"/>
      <c r="L70" s="243"/>
      <c r="M70" s="243"/>
      <c r="N70" s="243"/>
      <c r="O70" s="242"/>
      <c r="P70" s="244"/>
      <c r="Q70" s="244"/>
      <c r="R70" s="245" t="n">
        <v>0</v>
      </c>
      <c r="S70" s="246" t="n">
        <v>1.5</v>
      </c>
      <c r="T70" s="245" t="n">
        <v>0</v>
      </c>
      <c r="U70" s="247" t="n">
        <v>24038609.15625</v>
      </c>
      <c r="V70" s="242"/>
      <c r="W70" s="242" t="n">
        <v>710658.63375</v>
      </c>
      <c r="X70" s="242" t="n">
        <v>0</v>
      </c>
      <c r="Y70" s="242" t="n">
        <v>710658.63375</v>
      </c>
      <c r="Z70" s="242" t="n">
        <v>0</v>
      </c>
      <c r="AA70" s="242" t="n">
        <v>0</v>
      </c>
      <c r="AB70" s="242" t="n">
        <v>0</v>
      </c>
      <c r="AC70" s="247" t="n">
        <v>24299083.25</v>
      </c>
      <c r="AD70" s="242" t="n">
        <v>-260474.09375</v>
      </c>
      <c r="AE70" s="242" t="n">
        <v>0</v>
      </c>
      <c r="AF70" s="242" t="n">
        <v>260474.09375</v>
      </c>
      <c r="AG70" s="242" t="n">
        <v>0</v>
      </c>
      <c r="AH70" s="248" t="n">
        <v>666416.15625</v>
      </c>
      <c r="AI70" s="242" t="n">
        <v>0</v>
      </c>
      <c r="AJ70" s="242" t="n">
        <v>-666416.15625</v>
      </c>
      <c r="AK70" s="249" t="n">
        <v>0</v>
      </c>
      <c r="AL70" s="250"/>
      <c r="AM70" s="242" t="n">
        <v>23372193</v>
      </c>
      <c r="AN70" s="243"/>
      <c r="AO70" s="250"/>
      <c r="AP70" s="242" t="n">
        <v>385548.3125</v>
      </c>
      <c r="AQ70" s="251"/>
      <c r="AR70" s="242"/>
      <c r="AS70" s="242"/>
      <c r="AT70" s="242" t="n">
        <v>1945811.15625</v>
      </c>
      <c r="AU70" s="242" t="n">
        <v>0</v>
      </c>
      <c r="AV70" s="242" t="n">
        <v>-1945811.15625</v>
      </c>
      <c r="AW70" s="242" t="n">
        <v>0</v>
      </c>
      <c r="AX70" s="242" t="n">
        <v>666416.15625</v>
      </c>
      <c r="AY70" s="242" t="n">
        <v>0</v>
      </c>
      <c r="AZ70" s="242" t="n">
        <v>-666416.15625</v>
      </c>
      <c r="BA70" s="242" t="n">
        <v>0</v>
      </c>
      <c r="BB70" s="242"/>
      <c r="BC70" s="242"/>
      <c r="BD70" s="242"/>
      <c r="BE70" s="242"/>
      <c r="BF70" s="242"/>
      <c r="BG70" s="242"/>
      <c r="BH70" s="242"/>
      <c r="BI70" s="242"/>
      <c r="BJ70" s="242"/>
      <c r="BK70" s="242"/>
      <c r="BL70" s="242"/>
      <c r="BM70" s="242"/>
      <c r="BN70" s="242"/>
      <c r="BO70" s="242"/>
      <c r="BP70" s="242"/>
      <c r="BQ70" s="244"/>
      <c r="BR70" s="243"/>
      <c r="BS70" s="253"/>
      <c r="BT70" s="243"/>
      <c r="BU70" s="254"/>
      <c r="BV70" s="243"/>
      <c r="BW70" s="255"/>
      <c r="BX70" s="255"/>
      <c r="BY70" s="242"/>
      <c r="BZ70" s="242"/>
      <c r="CA70" s="242" t="n">
        <v>0</v>
      </c>
      <c r="CB70" s="242"/>
      <c r="CC70" s="242"/>
      <c r="CD70" s="242"/>
      <c r="CE70" s="242"/>
      <c r="CF70" s="242"/>
      <c r="CG70" s="242"/>
      <c r="CH70" s="242"/>
      <c r="CI70" s="242"/>
      <c r="CJ70" s="242"/>
      <c r="CK70" s="243"/>
      <c r="CL70" s="243"/>
    </row>
    <row r="71" customFormat="false" ht="15.75" hidden="false" customHeight="false" outlineLevel="3" collapsed="false">
      <c r="A71" s="58" t="s">
        <v>439</v>
      </c>
      <c r="B71" s="58" t="s">
        <v>523</v>
      </c>
      <c r="C71" s="58" t="s">
        <v>472</v>
      </c>
      <c r="D71" s="58" t="s">
        <v>473</v>
      </c>
      <c r="E71" s="58" t="s">
        <v>543</v>
      </c>
      <c r="F71" s="58" t="s">
        <v>380</v>
      </c>
      <c r="G71" s="58" t="s">
        <v>531</v>
      </c>
      <c r="H71" s="58" t="s">
        <v>101</v>
      </c>
      <c r="I71" s="219" t="s">
        <v>445</v>
      </c>
      <c r="J71" s="221" t="n">
        <v>1</v>
      </c>
      <c r="K71" s="221" t="n">
        <v>1</v>
      </c>
      <c r="L71" s="223" t="n">
        <v>0</v>
      </c>
      <c r="M71" s="223" t="n">
        <v>0</v>
      </c>
      <c r="N71" s="223" t="n">
        <v>0</v>
      </c>
      <c r="O71" s="222" t="n">
        <v>0</v>
      </c>
      <c r="P71" s="223" t="n">
        <v>0</v>
      </c>
      <c r="Q71" s="223" t="n">
        <v>0</v>
      </c>
      <c r="R71" s="225" t="s">
        <v>544</v>
      </c>
      <c r="S71" s="271" t="n">
        <v>0.75</v>
      </c>
      <c r="T71" s="225" t="n">
        <v>0</v>
      </c>
      <c r="U71" s="227" t="n">
        <v>0</v>
      </c>
      <c r="V71" s="222" t="s">
        <v>384</v>
      </c>
      <c r="W71" s="222" t="n">
        <v>0</v>
      </c>
      <c r="X71" s="222" t="n">
        <v>0</v>
      </c>
      <c r="Y71" s="222" t="n">
        <v>0</v>
      </c>
      <c r="Z71" s="222" t="n">
        <v>0</v>
      </c>
      <c r="AA71" s="222" t="n">
        <v>0</v>
      </c>
      <c r="AB71" s="222" t="n">
        <v>0</v>
      </c>
      <c r="AC71" s="227" t="n">
        <v>0</v>
      </c>
      <c r="AD71" s="222" t="n">
        <v>0</v>
      </c>
      <c r="AE71" s="222" t="n">
        <v>0</v>
      </c>
      <c r="AF71" s="222" t="n">
        <v>0</v>
      </c>
      <c r="AG71" s="222" t="n">
        <v>0</v>
      </c>
      <c r="AH71" s="228" t="n">
        <v>-2013591.65998389</v>
      </c>
      <c r="AI71" s="222" t="n">
        <v>0</v>
      </c>
      <c r="AJ71" s="222" t="n">
        <v>2013591.65998389</v>
      </c>
      <c r="AK71" s="229" t="n">
        <v>0</v>
      </c>
      <c r="AL71" s="230" t="n">
        <v>0</v>
      </c>
      <c r="AM71" s="222" t="n">
        <v>2013591.65998389</v>
      </c>
      <c r="AN71" s="223" t="n">
        <v>0</v>
      </c>
      <c r="AO71" s="230" t="n">
        <v>0</v>
      </c>
      <c r="AP71" s="222" t="n">
        <v>0</v>
      </c>
      <c r="AQ71" s="231" t="n">
        <v>1</v>
      </c>
      <c r="AR71" s="222" t="n">
        <v>0</v>
      </c>
      <c r="AS71" s="222" t="n">
        <v>0</v>
      </c>
      <c r="AT71" s="222" t="n">
        <v>-2013591.65998389</v>
      </c>
      <c r="AU71" s="222" t="n">
        <v>0</v>
      </c>
      <c r="AV71" s="222" t="n">
        <v>2013591.65998389</v>
      </c>
      <c r="AW71" s="222" t="n">
        <v>0</v>
      </c>
      <c r="AX71" s="222" t="n">
        <v>-2013591.65998389</v>
      </c>
      <c r="AY71" s="222" t="n">
        <v>0</v>
      </c>
      <c r="AZ71" s="222" t="n">
        <v>2013591.65998389</v>
      </c>
      <c r="BA71" s="222" t="n">
        <v>0</v>
      </c>
      <c r="BB71" s="222" t="s">
        <v>380</v>
      </c>
      <c r="BC71" s="222" t="s">
        <v>380</v>
      </c>
      <c r="BD71" s="222" t="n">
        <v>-2013591.65998389</v>
      </c>
      <c r="BE71" s="222" t="n">
        <v>0</v>
      </c>
      <c r="BF71" s="222" t="n">
        <v>2013591.65998389</v>
      </c>
      <c r="BG71" s="222" t="n">
        <v>0</v>
      </c>
      <c r="BH71" s="222" t="n">
        <v>-2013591.65998389</v>
      </c>
      <c r="BI71" s="222" t="n">
        <v>0</v>
      </c>
      <c r="BJ71" s="222" t="n">
        <v>2013591.65998389</v>
      </c>
      <c r="BK71" s="222" t="n">
        <v>0</v>
      </c>
      <c r="BL71" s="222" t="n">
        <v>0</v>
      </c>
      <c r="BM71" s="222" t="s">
        <v>385</v>
      </c>
      <c r="BN71" s="222" t="n">
        <v>0</v>
      </c>
      <c r="BO71" s="232" t="b">
        <f aca="false">FALSE()</f>
        <v>0</v>
      </c>
      <c r="BP71" s="232" t="n">
        <v>2013591.65998389</v>
      </c>
      <c r="BQ71" s="224" t="n">
        <v>0</v>
      </c>
      <c r="BR71" s="223" t="n">
        <v>0</v>
      </c>
      <c r="BS71" s="234" t="n">
        <v>80</v>
      </c>
      <c r="BT71" s="223" t="n">
        <v>0</v>
      </c>
      <c r="BU71" s="235" t="n">
        <v>0</v>
      </c>
      <c r="BV71" s="223" t="n">
        <v>161</v>
      </c>
      <c r="BW71" s="236" t="n">
        <v>0</v>
      </c>
      <c r="BX71" s="236" t="n">
        <v>0</v>
      </c>
      <c r="BY71" s="232" t="n">
        <v>0</v>
      </c>
      <c r="BZ71" s="232" t="n">
        <v>0</v>
      </c>
      <c r="CA71" s="232" t="n">
        <v>0</v>
      </c>
      <c r="CB71" s="232" t="n">
        <v>0</v>
      </c>
      <c r="CC71" s="232" t="n">
        <v>0</v>
      </c>
      <c r="CD71" s="232" t="n">
        <v>0</v>
      </c>
      <c r="CE71" s="232" t="n">
        <v>0</v>
      </c>
      <c r="CF71" s="232" t="n">
        <v>0</v>
      </c>
      <c r="CG71" s="232" t="n">
        <v>-2013591.65998389</v>
      </c>
      <c r="CH71" s="232" t="n">
        <v>0</v>
      </c>
      <c r="CI71" s="232" t="n">
        <v>2013591.65998389</v>
      </c>
      <c r="CJ71" s="232" t="n">
        <v>0</v>
      </c>
      <c r="CK71" s="223" t="n">
        <v>0</v>
      </c>
      <c r="CL71" s="223" t="n">
        <v>0</v>
      </c>
    </row>
    <row r="72" customFormat="false" ht="20.1" hidden="false" customHeight="true" outlineLevel="2" collapsed="false">
      <c r="A72" s="238" t="s">
        <v>447</v>
      </c>
      <c r="B72" s="238"/>
      <c r="C72" s="238"/>
      <c r="D72" s="238"/>
      <c r="E72" s="238"/>
      <c r="F72" s="238"/>
      <c r="G72" s="238"/>
      <c r="H72" s="238"/>
      <c r="I72" s="239"/>
      <c r="J72" s="241"/>
      <c r="K72" s="241"/>
      <c r="L72" s="243"/>
      <c r="M72" s="243"/>
      <c r="N72" s="243"/>
      <c r="O72" s="242"/>
      <c r="P72" s="243"/>
      <c r="Q72" s="243"/>
      <c r="R72" s="245" t="n">
        <v>0</v>
      </c>
      <c r="S72" s="272" t="n">
        <v>0.75</v>
      </c>
      <c r="T72" s="245" t="n">
        <v>0</v>
      </c>
      <c r="U72" s="247" t="n">
        <v>0</v>
      </c>
      <c r="V72" s="242"/>
      <c r="W72" s="242" t="n">
        <v>0</v>
      </c>
      <c r="X72" s="242" t="n">
        <v>0</v>
      </c>
      <c r="Y72" s="242" t="n">
        <v>0</v>
      </c>
      <c r="Z72" s="242" t="n">
        <v>0</v>
      </c>
      <c r="AA72" s="242" t="n">
        <v>0</v>
      </c>
      <c r="AB72" s="242" t="n">
        <v>0</v>
      </c>
      <c r="AC72" s="247" t="n">
        <v>0</v>
      </c>
      <c r="AD72" s="242" t="n">
        <v>0</v>
      </c>
      <c r="AE72" s="242" t="n">
        <v>0</v>
      </c>
      <c r="AF72" s="242" t="n">
        <v>0</v>
      </c>
      <c r="AG72" s="242" t="n">
        <v>0</v>
      </c>
      <c r="AH72" s="248" t="n">
        <v>-2013591.65998389</v>
      </c>
      <c r="AI72" s="242" t="n">
        <v>0</v>
      </c>
      <c r="AJ72" s="242" t="n">
        <v>2013591.65998389</v>
      </c>
      <c r="AK72" s="249" t="n">
        <v>0</v>
      </c>
      <c r="AL72" s="250"/>
      <c r="AM72" s="242" t="n">
        <v>2013591.65998389</v>
      </c>
      <c r="AN72" s="243"/>
      <c r="AO72" s="250"/>
      <c r="AP72" s="242" t="n">
        <v>0</v>
      </c>
      <c r="AQ72" s="251"/>
      <c r="AR72" s="242"/>
      <c r="AS72" s="242"/>
      <c r="AT72" s="242" t="n">
        <v>-2013591.65998389</v>
      </c>
      <c r="AU72" s="242" t="n">
        <v>0</v>
      </c>
      <c r="AV72" s="242" t="n">
        <v>2013591.65998389</v>
      </c>
      <c r="AW72" s="242" t="n">
        <v>0</v>
      </c>
      <c r="AX72" s="242" t="n">
        <v>-2013591.65998389</v>
      </c>
      <c r="AY72" s="242" t="n">
        <v>0</v>
      </c>
      <c r="AZ72" s="242" t="n">
        <v>2013591.65998389</v>
      </c>
      <c r="BA72" s="242" t="n">
        <v>0</v>
      </c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4"/>
      <c r="BR72" s="243"/>
      <c r="BS72" s="253"/>
      <c r="BT72" s="243"/>
      <c r="BU72" s="254"/>
      <c r="BV72" s="243"/>
      <c r="BW72" s="255"/>
      <c r="BX72" s="255"/>
      <c r="BY72" s="242"/>
      <c r="BZ72" s="242"/>
      <c r="CA72" s="242" t="n">
        <v>0</v>
      </c>
      <c r="CB72" s="242"/>
      <c r="CC72" s="242"/>
      <c r="CD72" s="242"/>
      <c r="CE72" s="242"/>
      <c r="CF72" s="242"/>
      <c r="CG72" s="242"/>
      <c r="CH72" s="242"/>
      <c r="CI72" s="242"/>
      <c r="CJ72" s="242"/>
      <c r="CK72" s="243"/>
      <c r="CL72" s="243"/>
    </row>
    <row r="73" customFormat="false" ht="15.75" hidden="false" customHeight="false" outlineLevel="3" collapsed="false">
      <c r="A73" s="58" t="s">
        <v>510</v>
      </c>
      <c r="B73" s="58" t="s">
        <v>523</v>
      </c>
      <c r="C73" s="58" t="s">
        <v>472</v>
      </c>
      <c r="D73" s="58" t="s">
        <v>473</v>
      </c>
      <c r="E73" s="58" t="s">
        <v>545</v>
      </c>
      <c r="F73" s="58"/>
      <c r="G73" s="58" t="s">
        <v>525</v>
      </c>
      <c r="H73" s="58" t="s">
        <v>427</v>
      </c>
      <c r="I73" s="219" t="s">
        <v>427</v>
      </c>
      <c r="J73" s="220" t="n">
        <v>1</v>
      </c>
      <c r="K73" s="221" t="n">
        <v>1</v>
      </c>
      <c r="L73" s="223" t="n">
        <v>0</v>
      </c>
      <c r="M73" s="223" t="n">
        <v>0</v>
      </c>
      <c r="N73" s="223" t="n">
        <v>1</v>
      </c>
      <c r="O73" s="222" t="n">
        <v>23513434.5</v>
      </c>
      <c r="P73" s="223" t="n">
        <v>23513434.5</v>
      </c>
      <c r="Q73" s="223" t="n">
        <v>0</v>
      </c>
      <c r="R73" s="225" t="s">
        <v>546</v>
      </c>
      <c r="S73" s="226" t="n">
        <v>0.75</v>
      </c>
      <c r="T73" s="225" t="n">
        <v>0</v>
      </c>
      <c r="U73" s="227" t="n">
        <v>23513434.5</v>
      </c>
      <c r="V73" s="222" t="s">
        <v>384</v>
      </c>
      <c r="W73" s="222" t="n">
        <v>0</v>
      </c>
      <c r="X73" s="222" t="n">
        <v>0</v>
      </c>
      <c r="Y73" s="222" t="n">
        <v>0</v>
      </c>
      <c r="Z73" s="222" t="n">
        <v>0</v>
      </c>
      <c r="AA73" s="222" t="n">
        <v>0</v>
      </c>
      <c r="AB73" s="222" t="n">
        <v>0</v>
      </c>
      <c r="AC73" s="227" t="n">
        <v>23513434.5</v>
      </c>
      <c r="AD73" s="222" t="n">
        <v>0</v>
      </c>
      <c r="AE73" s="222" t="n">
        <v>0</v>
      </c>
      <c r="AF73" s="222" t="n">
        <v>0</v>
      </c>
      <c r="AG73" s="222" t="n">
        <v>0</v>
      </c>
      <c r="AH73" s="228" t="n">
        <v>0</v>
      </c>
      <c r="AI73" s="222" t="n">
        <v>0</v>
      </c>
      <c r="AJ73" s="222" t="n">
        <v>0</v>
      </c>
      <c r="AK73" s="229" t="n">
        <v>0</v>
      </c>
      <c r="AL73" s="230" t="n">
        <v>0</v>
      </c>
      <c r="AM73" s="222" t="n">
        <v>23513434.5</v>
      </c>
      <c r="AN73" s="230" t="n">
        <v>0</v>
      </c>
      <c r="AO73" s="230" t="n">
        <v>0</v>
      </c>
      <c r="AP73" s="222" t="n">
        <v>23513434.5</v>
      </c>
      <c r="AQ73" s="231" t="n">
        <v>1</v>
      </c>
      <c r="AR73" s="222" t="n">
        <v>23513434.5</v>
      </c>
      <c r="AS73" s="222" t="n">
        <v>23513434.5</v>
      </c>
      <c r="AT73" s="222" t="n">
        <v>0</v>
      </c>
      <c r="AU73" s="222" t="n">
        <v>0</v>
      </c>
      <c r="AV73" s="222" t="n">
        <v>0</v>
      </c>
      <c r="AW73" s="222" t="n">
        <v>0</v>
      </c>
      <c r="AX73" s="222" t="n">
        <v>0</v>
      </c>
      <c r="AY73" s="222" t="n">
        <v>0</v>
      </c>
      <c r="AZ73" s="222" t="n">
        <v>0</v>
      </c>
      <c r="BA73" s="222" t="n">
        <v>0</v>
      </c>
      <c r="BB73" s="222" t="s">
        <v>380</v>
      </c>
      <c r="BC73" s="222" t="s">
        <v>380</v>
      </c>
      <c r="BD73" s="222" t="n">
        <v>0</v>
      </c>
      <c r="BE73" s="222" t="n">
        <v>0</v>
      </c>
      <c r="BF73" s="222" t="n">
        <v>0</v>
      </c>
      <c r="BG73" s="222" t="n">
        <v>0</v>
      </c>
      <c r="BH73" s="222" t="n">
        <v>0</v>
      </c>
      <c r="BI73" s="222" t="n">
        <v>0</v>
      </c>
      <c r="BJ73" s="222" t="n">
        <v>0</v>
      </c>
      <c r="BK73" s="222" t="n">
        <v>0</v>
      </c>
      <c r="BL73" s="222" t="n">
        <v>23513434.5</v>
      </c>
      <c r="BM73" s="222" t="s">
        <v>385</v>
      </c>
      <c r="BN73" s="222" t="n">
        <v>0</v>
      </c>
      <c r="BO73" s="232" t="b">
        <f aca="false">FALSE()</f>
        <v>0</v>
      </c>
      <c r="BP73" s="232" t="n">
        <v>0</v>
      </c>
      <c r="BQ73" s="223" t="n">
        <v>0</v>
      </c>
      <c r="BR73" s="223" t="n">
        <v>0</v>
      </c>
      <c r="BS73" s="234" t="n">
        <v>75</v>
      </c>
      <c r="BT73" s="223" t="n">
        <v>0</v>
      </c>
      <c r="BU73" s="235" t="n">
        <v>0</v>
      </c>
      <c r="BV73" s="223" t="n">
        <v>84</v>
      </c>
      <c r="BW73" s="236" t="n">
        <v>0</v>
      </c>
      <c r="BX73" s="236" t="n">
        <v>0</v>
      </c>
      <c r="BY73" s="232" t="n">
        <v>0</v>
      </c>
      <c r="BZ73" s="232" t="n">
        <v>0</v>
      </c>
      <c r="CA73" s="232" t="n">
        <v>0</v>
      </c>
      <c r="CB73" s="232" t="n">
        <v>0</v>
      </c>
      <c r="CC73" s="232" t="n">
        <v>0</v>
      </c>
      <c r="CD73" s="232" t="n">
        <v>0</v>
      </c>
      <c r="CE73" s="232" t="n">
        <v>0</v>
      </c>
      <c r="CF73" s="232" t="n">
        <v>0</v>
      </c>
      <c r="CG73" s="232" t="n">
        <v>0</v>
      </c>
      <c r="CH73" s="232" t="n">
        <v>0</v>
      </c>
      <c r="CI73" s="232" t="n">
        <v>0</v>
      </c>
      <c r="CJ73" s="232" t="n">
        <v>0</v>
      </c>
      <c r="CK73" s="223" t="n">
        <v>0</v>
      </c>
      <c r="CL73" s="223" t="n">
        <v>0</v>
      </c>
    </row>
    <row r="74" customFormat="false" ht="15.75" hidden="false" customHeight="false" outlineLevel="3" collapsed="false">
      <c r="A74" s="58" t="s">
        <v>510</v>
      </c>
      <c r="B74" s="58" t="s">
        <v>523</v>
      </c>
      <c r="C74" s="58" t="s">
        <v>472</v>
      </c>
      <c r="D74" s="58" t="s">
        <v>473</v>
      </c>
      <c r="E74" s="58" t="s">
        <v>547</v>
      </c>
      <c r="F74" s="58"/>
      <c r="G74" s="58" t="s">
        <v>531</v>
      </c>
      <c r="H74" s="58" t="s">
        <v>427</v>
      </c>
      <c r="I74" s="219" t="s">
        <v>427</v>
      </c>
      <c r="J74" s="220" t="n">
        <v>1</v>
      </c>
      <c r="K74" s="221" t="n">
        <v>1</v>
      </c>
      <c r="L74" s="223" t="n">
        <v>0</v>
      </c>
      <c r="M74" s="223" t="n">
        <v>0</v>
      </c>
      <c r="N74" s="223" t="n">
        <v>1</v>
      </c>
      <c r="O74" s="222" t="n">
        <v>0</v>
      </c>
      <c r="P74" s="223" t="n">
        <v>0</v>
      </c>
      <c r="Q74" s="223" t="n">
        <v>0</v>
      </c>
      <c r="R74" s="225" t="s">
        <v>548</v>
      </c>
      <c r="S74" s="226" t="n">
        <v>0.75</v>
      </c>
      <c r="T74" s="225" t="n">
        <v>0</v>
      </c>
      <c r="U74" s="227" t="n">
        <v>0</v>
      </c>
      <c r="V74" s="222" t="s">
        <v>384</v>
      </c>
      <c r="W74" s="222" t="n">
        <v>0</v>
      </c>
      <c r="X74" s="222" t="n">
        <v>0</v>
      </c>
      <c r="Y74" s="222" t="n">
        <v>0</v>
      </c>
      <c r="Z74" s="222" t="n">
        <v>0</v>
      </c>
      <c r="AA74" s="222" t="n">
        <v>0</v>
      </c>
      <c r="AB74" s="222" t="n">
        <v>0</v>
      </c>
      <c r="AC74" s="227" t="n">
        <v>0</v>
      </c>
      <c r="AD74" s="222" t="n">
        <v>0</v>
      </c>
      <c r="AE74" s="222" t="n">
        <v>0</v>
      </c>
      <c r="AF74" s="222" t="n">
        <v>0</v>
      </c>
      <c r="AG74" s="222" t="n">
        <v>0</v>
      </c>
      <c r="AH74" s="228" t="n">
        <v>-1374750</v>
      </c>
      <c r="AI74" s="222" t="n">
        <v>0</v>
      </c>
      <c r="AJ74" s="222" t="n">
        <v>1374750</v>
      </c>
      <c r="AK74" s="229" t="n">
        <v>0</v>
      </c>
      <c r="AL74" s="230" t="n">
        <v>0</v>
      </c>
      <c r="AM74" s="222" t="n">
        <v>1374750</v>
      </c>
      <c r="AN74" s="230" t="n">
        <v>0</v>
      </c>
      <c r="AO74" s="230" t="n">
        <v>0</v>
      </c>
      <c r="AP74" s="222" t="n">
        <v>0</v>
      </c>
      <c r="AQ74" s="231" t="n">
        <v>1</v>
      </c>
      <c r="AR74" s="222" t="n">
        <v>0</v>
      </c>
      <c r="AS74" s="222" t="n">
        <v>0</v>
      </c>
      <c r="AT74" s="222" t="n">
        <v>-1374750</v>
      </c>
      <c r="AU74" s="222" t="n">
        <v>0</v>
      </c>
      <c r="AV74" s="222" t="n">
        <v>1374750</v>
      </c>
      <c r="AW74" s="222" t="n">
        <v>0</v>
      </c>
      <c r="AX74" s="222" t="n">
        <v>-1374750</v>
      </c>
      <c r="AY74" s="222" t="n">
        <v>0</v>
      </c>
      <c r="AZ74" s="222" t="n">
        <v>1374750</v>
      </c>
      <c r="BA74" s="222" t="n">
        <v>0</v>
      </c>
      <c r="BB74" s="222" t="s">
        <v>380</v>
      </c>
      <c r="BC74" s="222" t="s">
        <v>380</v>
      </c>
      <c r="BD74" s="222" t="n">
        <v>-1374750</v>
      </c>
      <c r="BE74" s="222" t="n">
        <v>0</v>
      </c>
      <c r="BF74" s="222" t="n">
        <v>1374750</v>
      </c>
      <c r="BG74" s="222" t="n">
        <v>0</v>
      </c>
      <c r="BH74" s="222" t="n">
        <v>-1374750</v>
      </c>
      <c r="BI74" s="222" t="n">
        <v>0</v>
      </c>
      <c r="BJ74" s="222" t="n">
        <v>1374750</v>
      </c>
      <c r="BK74" s="222" t="n">
        <v>0</v>
      </c>
      <c r="BL74" s="222" t="n">
        <v>0</v>
      </c>
      <c r="BM74" s="222" t="s">
        <v>395</v>
      </c>
      <c r="BN74" s="222" t="n">
        <v>0</v>
      </c>
      <c r="BO74" s="232" t="b">
        <f aca="false">FALSE()</f>
        <v>0</v>
      </c>
      <c r="BP74" s="232" t="n">
        <v>1374750</v>
      </c>
      <c r="BQ74" s="223" t="n">
        <v>0</v>
      </c>
      <c r="BR74" s="223" t="n">
        <v>0</v>
      </c>
      <c r="BS74" s="234" t="n">
        <v>75</v>
      </c>
      <c r="BT74" s="223" t="n">
        <v>0</v>
      </c>
      <c r="BU74" s="235" t="n">
        <v>0</v>
      </c>
      <c r="BV74" s="223" t="n">
        <v>86</v>
      </c>
      <c r="BW74" s="236" t="n">
        <v>0</v>
      </c>
      <c r="BX74" s="236" t="n">
        <v>0</v>
      </c>
      <c r="BY74" s="232" t="n">
        <v>0</v>
      </c>
      <c r="BZ74" s="232" t="n">
        <v>0</v>
      </c>
      <c r="CA74" s="232" t="n">
        <v>0</v>
      </c>
      <c r="CB74" s="232" t="n">
        <v>0</v>
      </c>
      <c r="CC74" s="232" t="n">
        <v>0</v>
      </c>
      <c r="CD74" s="232" t="n">
        <v>0</v>
      </c>
      <c r="CE74" s="232" t="n">
        <v>0</v>
      </c>
      <c r="CF74" s="232" t="n">
        <v>0</v>
      </c>
      <c r="CG74" s="232" t="n">
        <v>-1374750</v>
      </c>
      <c r="CH74" s="232" t="n">
        <v>0</v>
      </c>
      <c r="CI74" s="232" t="n">
        <v>1374750</v>
      </c>
      <c r="CJ74" s="232" t="n">
        <v>0</v>
      </c>
      <c r="CK74" s="223" t="n">
        <v>0</v>
      </c>
      <c r="CL74" s="223" t="n">
        <v>0</v>
      </c>
    </row>
    <row r="75" customFormat="false" ht="20.1" hidden="false" customHeight="true" outlineLevel="2" collapsed="false">
      <c r="A75" s="238" t="s">
        <v>513</v>
      </c>
      <c r="B75" s="238"/>
      <c r="C75" s="238"/>
      <c r="D75" s="238"/>
      <c r="E75" s="238"/>
      <c r="F75" s="238"/>
      <c r="G75" s="238"/>
      <c r="H75" s="238"/>
      <c r="I75" s="239"/>
      <c r="J75" s="240"/>
      <c r="K75" s="241"/>
      <c r="L75" s="243"/>
      <c r="M75" s="243"/>
      <c r="N75" s="243"/>
      <c r="O75" s="242"/>
      <c r="P75" s="243"/>
      <c r="Q75" s="243"/>
      <c r="R75" s="245" t="n">
        <v>0</v>
      </c>
      <c r="S75" s="246" t="n">
        <v>1.5</v>
      </c>
      <c r="T75" s="245" t="n">
        <v>0</v>
      </c>
      <c r="U75" s="247" t="n">
        <v>23513434.5</v>
      </c>
      <c r="V75" s="242"/>
      <c r="W75" s="242" t="n">
        <v>0</v>
      </c>
      <c r="X75" s="242" t="n">
        <v>0</v>
      </c>
      <c r="Y75" s="242" t="n">
        <v>0</v>
      </c>
      <c r="Z75" s="242" t="n">
        <v>0</v>
      </c>
      <c r="AA75" s="242" t="n">
        <v>0</v>
      </c>
      <c r="AB75" s="242" t="n">
        <v>0</v>
      </c>
      <c r="AC75" s="247" t="n">
        <v>23513434.5</v>
      </c>
      <c r="AD75" s="242" t="n">
        <v>0</v>
      </c>
      <c r="AE75" s="242" t="n">
        <v>0</v>
      </c>
      <c r="AF75" s="242" t="n">
        <v>0</v>
      </c>
      <c r="AG75" s="242" t="n">
        <v>0</v>
      </c>
      <c r="AH75" s="248" t="n">
        <v>-1374750</v>
      </c>
      <c r="AI75" s="242" t="n">
        <v>0</v>
      </c>
      <c r="AJ75" s="242" t="n">
        <v>1374750</v>
      </c>
      <c r="AK75" s="249" t="n">
        <v>0</v>
      </c>
      <c r="AL75" s="250"/>
      <c r="AM75" s="242" t="n">
        <v>24888184.5</v>
      </c>
      <c r="AN75" s="250"/>
      <c r="AO75" s="250"/>
      <c r="AP75" s="242" t="n">
        <v>23513434.5</v>
      </c>
      <c r="AQ75" s="251"/>
      <c r="AR75" s="242"/>
      <c r="AS75" s="242"/>
      <c r="AT75" s="242" t="n">
        <v>-1374750</v>
      </c>
      <c r="AU75" s="242" t="n">
        <v>0</v>
      </c>
      <c r="AV75" s="242" t="n">
        <v>1374750</v>
      </c>
      <c r="AW75" s="242" t="n">
        <v>0</v>
      </c>
      <c r="AX75" s="242" t="n">
        <v>-1374750</v>
      </c>
      <c r="AY75" s="242" t="n">
        <v>0</v>
      </c>
      <c r="AZ75" s="242" t="n">
        <v>1374750</v>
      </c>
      <c r="BA75" s="242" t="n">
        <v>0</v>
      </c>
      <c r="BB75" s="242"/>
      <c r="BC75" s="242"/>
      <c r="BD75" s="242"/>
      <c r="BE75" s="242"/>
      <c r="BF75" s="242"/>
      <c r="BG75" s="242"/>
      <c r="BH75" s="242"/>
      <c r="BI75" s="242"/>
      <c r="BJ75" s="242"/>
      <c r="BK75" s="242"/>
      <c r="BL75" s="242"/>
      <c r="BM75" s="242"/>
      <c r="BN75" s="242"/>
      <c r="BO75" s="242"/>
      <c r="BP75" s="242"/>
      <c r="BQ75" s="243"/>
      <c r="BR75" s="243"/>
      <c r="BS75" s="253"/>
      <c r="BT75" s="243"/>
      <c r="BU75" s="254"/>
      <c r="BV75" s="243"/>
      <c r="BW75" s="255"/>
      <c r="BX75" s="255"/>
      <c r="BY75" s="242"/>
      <c r="BZ75" s="242"/>
      <c r="CA75" s="242" t="n">
        <v>0</v>
      </c>
      <c r="CB75" s="242"/>
      <c r="CC75" s="242"/>
      <c r="CD75" s="242"/>
      <c r="CE75" s="242"/>
      <c r="CF75" s="242"/>
      <c r="CG75" s="242"/>
      <c r="CH75" s="242"/>
      <c r="CI75" s="242"/>
      <c r="CJ75" s="242"/>
      <c r="CK75" s="243"/>
      <c r="CL75" s="243"/>
    </row>
    <row r="76" customFormat="false" ht="15.75" hidden="false" customHeight="false" outlineLevel="3" collapsed="false">
      <c r="A76" s="58" t="s">
        <v>549</v>
      </c>
      <c r="B76" s="58" t="s">
        <v>523</v>
      </c>
      <c r="C76" s="58" t="s">
        <v>472</v>
      </c>
      <c r="D76" s="58" t="s">
        <v>473</v>
      </c>
      <c r="E76" s="58" t="s">
        <v>550</v>
      </c>
      <c r="F76" s="58" t="s">
        <v>480</v>
      </c>
      <c r="G76" s="58" t="s">
        <v>426</v>
      </c>
      <c r="H76" s="58" t="s">
        <v>99</v>
      </c>
      <c r="I76" s="219" t="s">
        <v>382</v>
      </c>
      <c r="J76" s="221" t="n">
        <v>3314340</v>
      </c>
      <c r="K76" s="221" t="n">
        <v>3314340</v>
      </c>
      <c r="L76" s="223" t="n">
        <v>0</v>
      </c>
      <c r="M76" s="223" t="n">
        <v>0.62</v>
      </c>
      <c r="N76" s="223" t="n">
        <v>1</v>
      </c>
      <c r="O76" s="222" t="n">
        <v>38.97</v>
      </c>
      <c r="P76" s="224" t="n">
        <v>40</v>
      </c>
      <c r="Q76" s="224" t="n">
        <v>-1.03</v>
      </c>
      <c r="R76" s="225" t="s">
        <v>551</v>
      </c>
      <c r="S76" s="226" t="n">
        <v>1</v>
      </c>
      <c r="T76" s="225" t="n">
        <v>0</v>
      </c>
      <c r="U76" s="227" t="n">
        <v>129159829.8</v>
      </c>
      <c r="V76" s="222" t="s">
        <v>481</v>
      </c>
      <c r="W76" s="222" t="n">
        <v>80079094.476</v>
      </c>
      <c r="X76" s="222" t="n">
        <v>0</v>
      </c>
      <c r="Y76" s="222" t="n">
        <v>80079094.476</v>
      </c>
      <c r="Z76" s="222" t="n">
        <v>0</v>
      </c>
      <c r="AA76" s="222" t="n">
        <v>0</v>
      </c>
      <c r="AB76" s="222" t="n">
        <v>0</v>
      </c>
      <c r="AC76" s="227" t="n">
        <v>132573600</v>
      </c>
      <c r="AD76" s="222" t="n">
        <v>-3413770.2</v>
      </c>
      <c r="AE76" s="222" t="n">
        <v>0</v>
      </c>
      <c r="AF76" s="222" t="n">
        <v>3413770.2</v>
      </c>
      <c r="AG76" s="222" t="n">
        <v>0</v>
      </c>
      <c r="AH76" s="228" t="n">
        <v>-19571177.7</v>
      </c>
      <c r="AI76" s="222" t="n">
        <v>0</v>
      </c>
      <c r="AJ76" s="222" t="n">
        <v>19571177.7</v>
      </c>
      <c r="AK76" s="229" t="n">
        <v>0</v>
      </c>
      <c r="AL76" s="230" t="n">
        <v>0</v>
      </c>
      <c r="AM76" s="222" t="n">
        <v>0</v>
      </c>
      <c r="AN76" s="223" t="n">
        <v>0</v>
      </c>
      <c r="AO76" s="230" t="n">
        <v>0</v>
      </c>
      <c r="AP76" s="222" t="n">
        <v>0</v>
      </c>
      <c r="AQ76" s="231" t="n">
        <v>1</v>
      </c>
      <c r="AR76" s="222" t="n">
        <v>129159829.8</v>
      </c>
      <c r="AS76" s="222" t="n">
        <v>38.97</v>
      </c>
      <c r="AT76" s="222" t="n">
        <v>4872079.8</v>
      </c>
      <c r="AU76" s="222" t="n">
        <v>0</v>
      </c>
      <c r="AV76" s="222" t="n">
        <v>-4872079.8</v>
      </c>
      <c r="AW76" s="222" t="n">
        <v>0</v>
      </c>
      <c r="AX76" s="222" t="n">
        <v>-19571177.7</v>
      </c>
      <c r="AY76" s="222" t="n">
        <v>0</v>
      </c>
      <c r="AZ76" s="222" t="n">
        <v>19571177.7</v>
      </c>
      <c r="BA76" s="222" t="n">
        <v>0</v>
      </c>
      <c r="BB76" s="222" t="n">
        <v>38.97</v>
      </c>
      <c r="BC76" s="222" t="n">
        <v>40</v>
      </c>
      <c r="BD76" s="222" t="n">
        <v>8285850</v>
      </c>
      <c r="BE76" s="222" t="n">
        <v>0</v>
      </c>
      <c r="BF76" s="222" t="n">
        <v>-8285850</v>
      </c>
      <c r="BG76" s="222" t="n">
        <v>0</v>
      </c>
      <c r="BH76" s="222" t="n">
        <v>-16157407.5</v>
      </c>
      <c r="BI76" s="222" t="n">
        <v>0</v>
      </c>
      <c r="BJ76" s="222" t="n">
        <v>16157407.5</v>
      </c>
      <c r="BK76" s="222" t="n">
        <v>0</v>
      </c>
      <c r="BL76" s="222" t="n">
        <v>0</v>
      </c>
      <c r="BM76" s="222" t="s">
        <v>395</v>
      </c>
      <c r="BN76" s="222" t="n">
        <v>0</v>
      </c>
      <c r="BO76" s="232" t="b">
        <f aca="false">FALSE()</f>
        <v>0</v>
      </c>
      <c r="BP76" s="232" t="n">
        <v>16157407.5</v>
      </c>
      <c r="BQ76" s="224" t="n">
        <v>11.95</v>
      </c>
      <c r="BR76" s="223" t="n">
        <v>39606363</v>
      </c>
      <c r="BS76" s="234" t="n">
        <v>83</v>
      </c>
      <c r="BT76" s="223" t="n">
        <v>-3413770.2</v>
      </c>
      <c r="BU76" s="235" t="n">
        <v>3314340</v>
      </c>
      <c r="BV76" s="223" t="n">
        <v>8</v>
      </c>
      <c r="BW76" s="236" t="n">
        <v>38.97</v>
      </c>
      <c r="BX76" s="236" t="n">
        <v>0</v>
      </c>
      <c r="BY76" s="232" t="n">
        <v>0</v>
      </c>
      <c r="BZ76" s="232" t="n">
        <v>0</v>
      </c>
      <c r="CA76" s="232" t="n">
        <v>148731007.5</v>
      </c>
      <c r="CB76" s="232" t="n">
        <v>148731007.5</v>
      </c>
      <c r="CC76" s="232" t="n">
        <v>0</v>
      </c>
      <c r="CD76" s="232" t="n">
        <v>0</v>
      </c>
      <c r="CE76" s="232" t="n">
        <v>0</v>
      </c>
      <c r="CF76" s="232" t="n">
        <v>0</v>
      </c>
      <c r="CG76" s="232" t="n">
        <v>-16157407.5</v>
      </c>
      <c r="CH76" s="232" t="n">
        <v>0</v>
      </c>
      <c r="CI76" s="232" t="n">
        <v>16157407.5</v>
      </c>
      <c r="CJ76" s="232" t="n">
        <v>0</v>
      </c>
      <c r="CK76" s="223" t="n">
        <v>0.62</v>
      </c>
      <c r="CL76" s="223" t="n">
        <v>0</v>
      </c>
    </row>
    <row r="77" customFormat="false" ht="20.1" hidden="false" customHeight="true" outlineLevel="2" collapsed="false">
      <c r="A77" s="238" t="s">
        <v>552</v>
      </c>
      <c r="B77" s="238"/>
      <c r="C77" s="238"/>
      <c r="D77" s="238"/>
      <c r="E77" s="238"/>
      <c r="F77" s="238"/>
      <c r="G77" s="238"/>
      <c r="H77" s="238"/>
      <c r="I77" s="239"/>
      <c r="J77" s="241"/>
      <c r="K77" s="241"/>
      <c r="L77" s="243"/>
      <c r="M77" s="243"/>
      <c r="N77" s="243"/>
      <c r="O77" s="242"/>
      <c r="P77" s="244"/>
      <c r="Q77" s="244"/>
      <c r="R77" s="245" t="n">
        <v>0</v>
      </c>
      <c r="S77" s="246" t="n">
        <v>1</v>
      </c>
      <c r="T77" s="245" t="n">
        <v>0</v>
      </c>
      <c r="U77" s="247" t="n">
        <v>129159829.8</v>
      </c>
      <c r="V77" s="242"/>
      <c r="W77" s="242" t="n">
        <v>80079094.476</v>
      </c>
      <c r="X77" s="242" t="n">
        <v>0</v>
      </c>
      <c r="Y77" s="242" t="n">
        <v>80079094.476</v>
      </c>
      <c r="Z77" s="242" t="n">
        <v>0</v>
      </c>
      <c r="AA77" s="242" t="n">
        <v>0</v>
      </c>
      <c r="AB77" s="242" t="n">
        <v>0</v>
      </c>
      <c r="AC77" s="247" t="n">
        <v>132573600</v>
      </c>
      <c r="AD77" s="242" t="n">
        <v>-3413770.2</v>
      </c>
      <c r="AE77" s="242" t="n">
        <v>0</v>
      </c>
      <c r="AF77" s="242" t="n">
        <v>3413770.2</v>
      </c>
      <c r="AG77" s="242" t="n">
        <v>0</v>
      </c>
      <c r="AH77" s="248" t="n">
        <v>-19571177.7</v>
      </c>
      <c r="AI77" s="242" t="n">
        <v>0</v>
      </c>
      <c r="AJ77" s="242" t="n">
        <v>19571177.7</v>
      </c>
      <c r="AK77" s="249" t="n">
        <v>0</v>
      </c>
      <c r="AL77" s="250"/>
      <c r="AM77" s="242" t="n">
        <v>0</v>
      </c>
      <c r="AN77" s="243"/>
      <c r="AO77" s="250"/>
      <c r="AP77" s="242" t="n">
        <v>0</v>
      </c>
      <c r="AQ77" s="251"/>
      <c r="AR77" s="242"/>
      <c r="AS77" s="242"/>
      <c r="AT77" s="242" t="n">
        <v>4872079.8</v>
      </c>
      <c r="AU77" s="242" t="n">
        <v>0</v>
      </c>
      <c r="AV77" s="242" t="n">
        <v>-4872079.8</v>
      </c>
      <c r="AW77" s="242" t="n">
        <v>0</v>
      </c>
      <c r="AX77" s="242" t="n">
        <v>-19571177.7</v>
      </c>
      <c r="AY77" s="242" t="n">
        <v>0</v>
      </c>
      <c r="AZ77" s="242" t="n">
        <v>19571177.7</v>
      </c>
      <c r="BA77" s="242" t="n">
        <v>0</v>
      </c>
      <c r="BB77" s="242"/>
      <c r="BC77" s="242"/>
      <c r="BD77" s="242"/>
      <c r="BE77" s="242"/>
      <c r="BF77" s="242"/>
      <c r="BG77" s="242"/>
      <c r="BH77" s="242"/>
      <c r="BI77" s="242"/>
      <c r="BJ77" s="242"/>
      <c r="BK77" s="242"/>
      <c r="BL77" s="242"/>
      <c r="BM77" s="242"/>
      <c r="BN77" s="242"/>
      <c r="BO77" s="242"/>
      <c r="BP77" s="242"/>
      <c r="BQ77" s="244"/>
      <c r="BR77" s="243"/>
      <c r="BS77" s="253"/>
      <c r="BT77" s="243"/>
      <c r="BU77" s="254"/>
      <c r="BV77" s="243"/>
      <c r="BW77" s="255"/>
      <c r="BX77" s="255"/>
      <c r="BY77" s="242"/>
      <c r="BZ77" s="242"/>
      <c r="CA77" s="242" t="n">
        <v>148731007.5</v>
      </c>
      <c r="CB77" s="242"/>
      <c r="CC77" s="242"/>
      <c r="CD77" s="242"/>
      <c r="CE77" s="242"/>
      <c r="CF77" s="242"/>
      <c r="CG77" s="242"/>
      <c r="CH77" s="242"/>
      <c r="CI77" s="242"/>
      <c r="CJ77" s="242"/>
      <c r="CK77" s="243"/>
      <c r="CL77" s="243"/>
    </row>
    <row r="78" customFormat="false" ht="30" hidden="false" customHeight="true" outlineLevel="1" collapsed="false">
      <c r="A78" s="238"/>
      <c r="B78" s="238" t="s">
        <v>553</v>
      </c>
      <c r="C78" s="238"/>
      <c r="D78" s="238"/>
      <c r="E78" s="238"/>
      <c r="F78" s="238"/>
      <c r="G78" s="238"/>
      <c r="H78" s="238"/>
      <c r="I78" s="239"/>
      <c r="J78" s="256"/>
      <c r="K78" s="256"/>
      <c r="L78" s="258"/>
      <c r="M78" s="258"/>
      <c r="N78" s="258"/>
      <c r="O78" s="257"/>
      <c r="P78" s="259"/>
      <c r="Q78" s="259"/>
      <c r="R78" s="260" t="n">
        <v>0</v>
      </c>
      <c r="S78" s="261" t="n">
        <v>8.375</v>
      </c>
      <c r="T78" s="260" t="n">
        <v>0</v>
      </c>
      <c r="U78" s="262" t="n">
        <v>263226319.83625</v>
      </c>
      <c r="V78" s="257"/>
      <c r="W78" s="257" t="n">
        <v>80789753.10975</v>
      </c>
      <c r="X78" s="257" t="n">
        <v>0</v>
      </c>
      <c r="Y78" s="257" t="n">
        <v>80789753.10975</v>
      </c>
      <c r="Z78" s="257" t="n">
        <v>0</v>
      </c>
      <c r="AA78" s="257" t="n">
        <v>0</v>
      </c>
      <c r="AB78" s="257" t="n">
        <v>0</v>
      </c>
      <c r="AC78" s="262" t="n">
        <v>266900564.13</v>
      </c>
      <c r="AD78" s="257" t="n">
        <v>-3674244.29375</v>
      </c>
      <c r="AE78" s="257" t="n">
        <v>0</v>
      </c>
      <c r="AF78" s="257" t="n">
        <v>3674244.29375</v>
      </c>
      <c r="AG78" s="257" t="n">
        <v>0</v>
      </c>
      <c r="AH78" s="263" t="n">
        <v>-22293103.2037339</v>
      </c>
      <c r="AI78" s="257" t="n">
        <v>0</v>
      </c>
      <c r="AJ78" s="257" t="n">
        <v>22293103.2037339</v>
      </c>
      <c r="AK78" s="264" t="n">
        <v>0</v>
      </c>
      <c r="AL78" s="265"/>
      <c r="AM78" s="257" t="n">
        <v>135757594.159984</v>
      </c>
      <c r="AN78" s="258"/>
      <c r="AO78" s="265"/>
      <c r="AP78" s="257" t="n">
        <v>109382607.8125</v>
      </c>
      <c r="AQ78" s="266"/>
      <c r="AR78" s="257"/>
      <c r="AS78" s="257"/>
      <c r="AT78" s="257" t="n">
        <v>3429549.29626611</v>
      </c>
      <c r="AU78" s="257" t="n">
        <v>0</v>
      </c>
      <c r="AV78" s="257" t="n">
        <v>-3429549.29626611</v>
      </c>
      <c r="AW78" s="257" t="n">
        <v>0</v>
      </c>
      <c r="AX78" s="257" t="n">
        <v>-22293103.2037339</v>
      </c>
      <c r="AY78" s="257" t="n">
        <v>0</v>
      </c>
      <c r="AZ78" s="257" t="n">
        <v>22293103.2037339</v>
      </c>
      <c r="BA78" s="257" t="n">
        <v>0</v>
      </c>
      <c r="BB78" s="257"/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9"/>
      <c r="BR78" s="258"/>
      <c r="BS78" s="268"/>
      <c r="BT78" s="258"/>
      <c r="BU78" s="269"/>
      <c r="BV78" s="258"/>
      <c r="BW78" s="270"/>
      <c r="BX78" s="270"/>
      <c r="BY78" s="257"/>
      <c r="BZ78" s="257"/>
      <c r="CA78" s="257" t="n">
        <v>149761828.88</v>
      </c>
      <c r="CB78" s="257"/>
      <c r="CC78" s="257"/>
      <c r="CD78" s="257"/>
      <c r="CE78" s="257"/>
      <c r="CF78" s="257"/>
      <c r="CG78" s="257"/>
      <c r="CH78" s="257"/>
      <c r="CI78" s="257"/>
      <c r="CJ78" s="257"/>
      <c r="CK78" s="258"/>
      <c r="CL78" s="258"/>
    </row>
    <row r="79" customFormat="false" ht="20.1" hidden="true" customHeight="true" outlineLevel="0" collapsed="false">
      <c r="A79" s="238" t="s">
        <v>554</v>
      </c>
      <c r="B79" s="238"/>
      <c r="C79" s="238"/>
      <c r="D79" s="238"/>
      <c r="E79" s="238"/>
      <c r="F79" s="238"/>
      <c r="G79" s="238"/>
      <c r="H79" s="238"/>
      <c r="I79" s="239"/>
      <c r="J79" s="241"/>
      <c r="K79" s="241"/>
      <c r="L79" s="243"/>
      <c r="M79" s="243"/>
      <c r="N79" s="243"/>
      <c r="O79" s="242"/>
      <c r="P79" s="244"/>
      <c r="Q79" s="244"/>
      <c r="R79" s="245" t="n">
        <v>0</v>
      </c>
      <c r="S79" s="246" t="n">
        <v>31.975</v>
      </c>
      <c r="T79" s="245" t="n">
        <v>0</v>
      </c>
      <c r="U79" s="247" t="n">
        <v>462414284.68175</v>
      </c>
      <c r="V79" s="242"/>
      <c r="W79" s="242" t="n">
        <v>81076749.3735162</v>
      </c>
      <c r="X79" s="242" t="n">
        <v>0</v>
      </c>
      <c r="Y79" s="242" t="n">
        <v>81076749.3735162</v>
      </c>
      <c r="Z79" s="242" t="n">
        <v>0</v>
      </c>
      <c r="AA79" s="242" t="n">
        <v>0</v>
      </c>
      <c r="AB79" s="242" t="n">
        <v>0</v>
      </c>
      <c r="AC79" s="247" t="n">
        <v>473426558.377411</v>
      </c>
      <c r="AD79" s="242" t="n">
        <v>-11012273.6956614</v>
      </c>
      <c r="AE79" s="242" t="n">
        <v>0</v>
      </c>
      <c r="AF79" s="242" t="n">
        <v>11012273.6956614</v>
      </c>
      <c r="AG79" s="242" t="n">
        <v>0</v>
      </c>
      <c r="AH79" s="248" t="n">
        <v>-155550802.898941</v>
      </c>
      <c r="AI79" s="242" t="n">
        <v>0</v>
      </c>
      <c r="AJ79" s="242" t="n">
        <v>155550802.898941</v>
      </c>
      <c r="AK79" s="249" t="n">
        <v>0</v>
      </c>
      <c r="AL79" s="250"/>
      <c r="AM79" s="242" t="n">
        <v>385997193.016944</v>
      </c>
      <c r="AN79" s="243"/>
      <c r="AO79" s="250"/>
      <c r="AP79" s="242" t="n">
        <v>386191592.693307</v>
      </c>
      <c r="AQ79" s="251"/>
      <c r="AR79" s="242"/>
      <c r="AS79" s="242"/>
      <c r="AT79" s="242" t="n">
        <v>-1070261.27786035</v>
      </c>
      <c r="AU79" s="242" t="n">
        <v>0</v>
      </c>
      <c r="AV79" s="242" t="n">
        <v>1070261.27786035</v>
      </c>
      <c r="AW79" s="242" t="n">
        <v>0</v>
      </c>
      <c r="AX79" s="242" t="n">
        <v>-155550802.898941</v>
      </c>
      <c r="AY79" s="242" t="n">
        <v>0</v>
      </c>
      <c r="AZ79" s="242" t="n">
        <v>155550802.898941</v>
      </c>
      <c r="BA79" s="242" t="n">
        <v>0</v>
      </c>
      <c r="BB79" s="242"/>
      <c r="BC79" s="242"/>
      <c r="BD79" s="242"/>
      <c r="BE79" s="242"/>
      <c r="BF79" s="242"/>
      <c r="BG79" s="242"/>
      <c r="BH79" s="242"/>
      <c r="BI79" s="242"/>
      <c r="BJ79" s="242"/>
      <c r="BK79" s="242"/>
      <c r="BL79" s="242"/>
      <c r="BM79" s="242"/>
      <c r="BN79" s="242"/>
      <c r="BO79" s="242"/>
      <c r="BP79" s="242"/>
      <c r="BQ79" s="244"/>
      <c r="BR79" s="243"/>
      <c r="BS79" s="253"/>
      <c r="BT79" s="243"/>
      <c r="BU79" s="254"/>
      <c r="BV79" s="243"/>
      <c r="BW79" s="255"/>
      <c r="BX79" s="255"/>
      <c r="BY79" s="242"/>
      <c r="BZ79" s="242"/>
      <c r="CA79" s="242" t="n">
        <v>231967894.563747</v>
      </c>
      <c r="CB79" s="242"/>
      <c r="CC79" s="242"/>
      <c r="CD79" s="242"/>
      <c r="CE79" s="242"/>
      <c r="CF79" s="242"/>
      <c r="CG79" s="242"/>
      <c r="CH79" s="242"/>
      <c r="CI79" s="242"/>
      <c r="CJ79" s="242"/>
      <c r="CK79" s="243"/>
      <c r="CL79" s="243"/>
    </row>
    <row r="80" customFormat="false" ht="30" hidden="false" customHeight="true" outlineLevel="0" collapsed="false">
      <c r="A80" s="276"/>
      <c r="B80" s="276" t="s">
        <v>554</v>
      </c>
      <c r="C80" s="276"/>
      <c r="D80" s="276"/>
      <c r="E80" s="276"/>
      <c r="F80" s="276"/>
      <c r="G80" s="276"/>
      <c r="H80" s="276"/>
      <c r="I80" s="277"/>
      <c r="J80" s="278"/>
      <c r="K80" s="278"/>
      <c r="L80" s="279"/>
      <c r="M80" s="279"/>
      <c r="N80" s="279"/>
      <c r="O80" s="280"/>
      <c r="P80" s="281"/>
      <c r="Q80" s="281"/>
      <c r="R80" s="282" t="n">
        <v>0</v>
      </c>
      <c r="S80" s="283" t="n">
        <v>31.975</v>
      </c>
      <c r="T80" s="282" t="n">
        <v>0</v>
      </c>
      <c r="U80" s="284" t="n">
        <v>462414284.68175</v>
      </c>
      <c r="V80" s="280"/>
      <c r="W80" s="280" t="n">
        <v>81076749.3735162</v>
      </c>
      <c r="X80" s="280" t="n">
        <v>0</v>
      </c>
      <c r="Y80" s="280" t="n">
        <v>81076749.3735162</v>
      </c>
      <c r="Z80" s="280" t="n">
        <v>0</v>
      </c>
      <c r="AA80" s="280" t="n">
        <v>0</v>
      </c>
      <c r="AB80" s="280" t="n">
        <v>0</v>
      </c>
      <c r="AC80" s="284" t="n">
        <v>473426558.377411</v>
      </c>
      <c r="AD80" s="280" t="n">
        <v>-11012273.6956614</v>
      </c>
      <c r="AE80" s="280" t="n">
        <v>0</v>
      </c>
      <c r="AF80" s="280" t="n">
        <v>11012273.6956614</v>
      </c>
      <c r="AG80" s="280" t="n">
        <v>0</v>
      </c>
      <c r="AH80" s="285" t="n">
        <v>-155550802.898941</v>
      </c>
      <c r="AI80" s="280" t="n">
        <v>0</v>
      </c>
      <c r="AJ80" s="280" t="n">
        <v>155550802.898941</v>
      </c>
      <c r="AK80" s="286" t="n">
        <v>0</v>
      </c>
      <c r="AL80" s="287"/>
      <c r="AM80" s="280" t="n">
        <v>385997193.016944</v>
      </c>
      <c r="AN80" s="279"/>
      <c r="AO80" s="287"/>
      <c r="AP80" s="280" t="n">
        <v>386191592.693307</v>
      </c>
      <c r="AQ80" s="288"/>
      <c r="AR80" s="280"/>
      <c r="AS80" s="280"/>
      <c r="AT80" s="280" t="n">
        <v>-1070261.27786035</v>
      </c>
      <c r="AU80" s="280" t="n">
        <v>0</v>
      </c>
      <c r="AV80" s="280" t="n">
        <v>1070261.27786035</v>
      </c>
      <c r="AW80" s="280" t="n">
        <v>0</v>
      </c>
      <c r="AX80" s="280" t="n">
        <v>-155550802.898941</v>
      </c>
      <c r="AY80" s="280" t="n">
        <v>0</v>
      </c>
      <c r="AZ80" s="280" t="n">
        <v>155550802.898941</v>
      </c>
      <c r="BA80" s="280" t="n">
        <v>0</v>
      </c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1"/>
      <c r="BR80" s="279"/>
      <c r="BS80" s="289"/>
      <c r="BT80" s="279"/>
      <c r="BU80" s="290"/>
      <c r="BV80" s="279"/>
      <c r="BW80" s="291"/>
      <c r="BX80" s="291"/>
      <c r="BY80" s="280"/>
      <c r="BZ80" s="280"/>
      <c r="CA80" s="280" t="n">
        <v>231967894.563747</v>
      </c>
      <c r="CB80" s="280"/>
      <c r="CC80" s="280"/>
      <c r="CD80" s="280"/>
      <c r="CE80" s="280"/>
      <c r="CF80" s="280"/>
      <c r="CG80" s="280"/>
      <c r="CH80" s="280"/>
      <c r="CI80" s="280"/>
      <c r="CJ80" s="280"/>
      <c r="CK80" s="279"/>
      <c r="CL80" s="279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1:BL25 AC38:AC40 AM4:AM40 BL34:BL40 AP4:AP40 BL44:BL47 AC44:AC47 AP44:AP47 AM44:AM47 AC73:AC75 BL73:BL80 AM73:AM80 AP73:AP80">
    <cfRule type="cellIs" priority="2" operator="notEqual" aboveAverage="0" equalAverage="0" bottom="0" percent="0" rank="0" text="" dxfId="0">
      <formula>"$BM$54"</formula>
    </cfRule>
  </conditionalFormatting>
  <conditionalFormatting sqref="BO4:BO80">
    <cfRule type="cellIs" priority="3" operator="notEqual" aboveAverage="0" equalAverage="0" bottom="0" percent="0" rank="0" text="" dxfId="1">
      <formula>FALSE()</formula>
    </cfRule>
  </conditionalFormatting>
  <conditionalFormatting sqref="BN4:BN80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2001-02-27T13:07:17Z</cp:lastPrinted>
  <dcterms:modified xsi:type="dcterms:W3CDTF">2001-03-13T17:57:22Z</dcterms:modified>
  <cp:revision>0</cp:revision>
  <dc:subject/>
  <dc:title>FXHistory</dc:title>
</cp:coreProperties>
</file>