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comments5.xml" ContentType="application/vnd.openxmlformats-officedocument.spreadsheetml.comments+xml"/>
  <Override PartName="/xl/comments4.xml" ContentType="application/vnd.openxmlformats-officedocument.spreadsheetml.comments+xml"/>
  <Override PartName="/xl/comments2.xml" ContentType="application/vnd.openxmlformats-officedocument.spreadsheetml.comments+xml"/>
  <Override PartName="/xl/comments7.xml" ContentType="application/vnd.openxmlformats-officedocument.spreadsheetml.comments+xml"/>
  <Override PartName="/xl/workbook.xml" ContentType="application/vnd.openxmlformats-officedocument.spreadsheetml.sheet.main+xml"/>
  <Override PartName="/xl/comments8.xml" ContentType="application/vnd.openxmlformats-officedocument.spreadsheetml.comments+xml"/>
  <Override PartName="/xl/theme/theme1.xml" ContentType="application/vnd.openxmlformats-officedocument.theme+xml"/>
  <Override PartName="/xl/comments3.xml" ContentType="application/vnd.openxmlformats-officedocument.spreadsheetml.comments+xml"/>
  <Override PartName="/xl/comments9.xml" ContentType="application/vnd.openxmlformats-officedocument.spreadsheetml.comment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9.xml.rels" ContentType="application/vnd.openxmlformats-package.relationships+xml"/>
  <Override PartName="/xl/worksheets/_rels/sheet8.xml.rels" ContentType="application/vnd.openxmlformats-package.relationships+xml"/>
  <Override PartName="/xl/worksheets/_rels/sheet7.xml.rels" ContentType="application/vnd.openxmlformats-package.relationships+xml"/>
  <Override PartName="/xl/worksheets/_rels/sheet6.xml.rels" ContentType="application/vnd.openxmlformats-package.relationships+xml"/>
  <Override PartName="/xl/worksheets/_rels/sheet5.xml.rels" ContentType="application/vnd.openxmlformats-package.relationship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comments6.xml" ContentType="application/vnd.openxmlformats-officedocument.spreadsheetml.comment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xl/drawings/vmlDrawing2.vml" ContentType="application/vnd.openxmlformats-officedocument.vmlDrawing"/>
  <Override PartName="/xl/drawings/vmlDrawing3.vml" ContentType="application/vnd.openxmlformats-officedocument.vmlDrawing"/>
  <Override PartName="/xl/drawings/vmlDrawing4.vml" ContentType="application/vnd.openxmlformats-officedocument.vmlDrawing"/>
  <Override PartName="/xl/drawings/vmlDrawing5.vml" ContentType="application/vnd.openxmlformats-officedocument.vmlDrawing"/>
  <Override PartName="/xl/drawings/vmlDrawing6.vml" ContentType="application/vnd.openxmlformats-officedocument.vmlDrawing"/>
  <Override PartName="/xl/drawings/vmlDrawing7.vml" ContentType="application/vnd.openxmlformats-officedocument.vmlDrawing"/>
  <Override PartName="/xl/drawings/vmlDrawing8.vml" ContentType="application/vnd.openxmlformats-officedocument.vmlDrawing"/>
  <Override PartName="/xl/drawings/vmlDrawing9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Jan" sheetId="1" state="visible" r:id="rId3"/>
    <sheet name="Feb Prelim" sheetId="2" state="visible" r:id="rId4"/>
    <sheet name="Feb" sheetId="3" state="visible" r:id="rId5"/>
    <sheet name="Mar" sheetId="4" state="visible" r:id="rId6"/>
    <sheet name="Mar (2)" sheetId="5" state="visible" r:id="rId7"/>
    <sheet name="Mar prebid" sheetId="6" state="visible" r:id="rId8"/>
    <sheet name="Apr" sheetId="7" state="visible" r:id="rId9"/>
    <sheet name="May" sheetId="8" state="visible" r:id="rId10"/>
    <sheet name="Jun" sheetId="9" state="visible" r:id="rId11"/>
  </sheets>
  <externalReferences>
    <externalReference r:id="rId12"/>
  </externalReferences>
  <definedNames>
    <definedName function="false" hidden="false" localSheetId="6" name="_xlnm.Print_Area" vbProcedure="false">Apr!$A$1:$L$93</definedName>
    <definedName function="false" hidden="false" localSheetId="2" name="_xlnm.Print_Area" vbProcedure="false">Feb!$A$1:$L$126</definedName>
    <definedName function="false" hidden="false" localSheetId="1" name="_xlnm.Print_Area" vbProcedure="false">'Feb Prelim'!$A$1:$L$84</definedName>
    <definedName function="false" hidden="false" localSheetId="0" name="_xlnm.Print_Area" vbProcedure="false">Jan!$A$1:$L$81</definedName>
    <definedName function="false" hidden="false" localSheetId="8" name="_xlnm.Print_Area" vbProcedure="false">Jun!$A$139:$G$229</definedName>
    <definedName function="false" hidden="false" localSheetId="3" name="_xlnm.Print_Area" vbProcedure="false">Mar!$A$1:$L$99</definedName>
    <definedName function="false" hidden="false" localSheetId="4" name="_xlnm.Print_Area" vbProcedure="false">'Mar (2)'!$A$1:$L$99</definedName>
    <definedName function="false" hidden="false" localSheetId="5" name="_xlnm.Print_Area" vbProcedure="false">'Mar prebid'!$A$1:$L$98</definedName>
    <definedName function="false" hidden="false" localSheetId="7" name="_xlnm.Print_Area" vbProcedure="false">May!$A$1:$L$94</definedName>
    <definedName function="false" hidden="false" localSheetId="0" name="Base" vbProcedure="false">Jan!$G$220:$S$259</definedName>
    <definedName function="false" hidden="false" localSheetId="0" name="industrial" vbProcedure="false">Jan!$A$113:$G$216</definedName>
    <definedName function="false" hidden="false" localSheetId="0" name="Industrials" vbProcedure="false">Jan!$A$114:$C$202</definedName>
    <definedName function="false" hidden="false" localSheetId="1" name="Base" vbProcedure="false">'Feb Prelim'!$G$223:$S$262</definedName>
    <definedName function="false" hidden="false" localSheetId="1" name="industrial" vbProcedure="false">'Feb Prelim'!$A$116:$G$219</definedName>
    <definedName function="false" hidden="false" localSheetId="1" name="Industrials" vbProcedure="false">'Feb Prelim'!$A$117:$C$205</definedName>
    <definedName function="false" hidden="false" localSheetId="2" name="Base" vbProcedure="false">Feb!$G$237:$S$276</definedName>
    <definedName function="false" hidden="false" localSheetId="2" name="industrial" vbProcedure="false">Feb!$A$130:$G$233</definedName>
    <definedName function="false" hidden="false" localSheetId="2" name="Industrials" vbProcedure="false">Feb!$A$131:$C$219</definedName>
    <definedName function="false" hidden="false" localSheetId="3" name="Base" vbProcedure="false">Mar!$G$210:$S$249</definedName>
    <definedName function="false" hidden="false" localSheetId="3" name="industrial" vbProcedure="false">Mar!$A$103:$G$206</definedName>
    <definedName function="false" hidden="false" localSheetId="3" name="Industrials" vbProcedure="false">Mar!$A$104:$C$192</definedName>
    <definedName function="false" hidden="false" localSheetId="4" name="Base" vbProcedure="false">'Mar (2)'!$G$210:$S$249</definedName>
    <definedName function="false" hidden="false" localSheetId="4" name="industrial" vbProcedure="false">'Mar (2)'!$A$103:$G$206</definedName>
    <definedName function="false" hidden="false" localSheetId="4" name="Industrials" vbProcedure="false">'Mar (2)'!$A$104:$C$192</definedName>
    <definedName function="false" hidden="false" localSheetId="5" name="Base" vbProcedure="false">'Mar prebid'!$G$239:$S$278</definedName>
    <definedName function="false" hidden="false" localSheetId="5" name="industrial" vbProcedure="false">'Mar prebid'!$A$131:$G$235</definedName>
    <definedName function="false" hidden="false" localSheetId="5" name="Industrials" vbProcedure="false">'Mar prebid'!$A$132:$C$221</definedName>
    <definedName function="false" hidden="false" localSheetId="6" name="Base" vbProcedure="false">Apr!$G$236:$S$275</definedName>
    <definedName function="false" hidden="false" localSheetId="6" name="industrial" vbProcedure="false">Apr!$A$128:$G$232</definedName>
    <definedName function="false" hidden="false" localSheetId="6" name="Industrials" vbProcedure="false">Apr!$A$129:$C$218</definedName>
    <definedName function="false" hidden="false" localSheetId="7" name="Base" vbProcedure="false">May!$G$239:$S$278</definedName>
    <definedName function="false" hidden="false" localSheetId="7" name="industrial" vbProcedure="false">May!$A$129:$G$233</definedName>
    <definedName function="false" hidden="false" localSheetId="7" name="Industrials" vbProcedure="false">May!$A$130:$C$221</definedName>
    <definedName function="false" hidden="false" localSheetId="8" name="Base" vbProcedure="false">Jun!$G$251:$S$290</definedName>
    <definedName function="false" hidden="false" localSheetId="8" name="industrial" vbProcedure="false">Jun!$A$139:$G$229</definedName>
    <definedName function="false" hidden="false" localSheetId="8" name="Industrials" vbProcedure="false">Jun!$A$140:$C$233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B30" authorId="0">
      <text>
        <r>
          <rPr>
            <b val="true"/>
            <sz val="8"/>
            <color rgb="FF000000"/>
            <rFont val="Tahoma"/>
            <family val="0"/>
          </rPr>
          <t xml:space="preserve">Daren Farmer:
</t>
        </r>
        <r>
          <rPr>
            <sz val="8"/>
            <color rgb="FF000000"/>
            <rFont val="Tahoma"/>
            <family val="0"/>
          </rPr>
          <t xml:space="preserve">19,500,000 wd month
3,122,152 moved to Feb  11/12
942,798 moved to Feb   11/12
3,000,000 moved to Feb 11/15
As of 12/27 10:00am, total w/d will be 2,000,000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14</xdr:colOff>
                <xdr:row>29</xdr:row>
                <xdr:rowOff>13</xdr:rowOff>
              </xdr:from>
              <xdr:to>
                <xdr:col>5</xdr:col>
                <xdr:colOff>30</xdr:colOff>
                <xdr:row>34</xdr:row>
                <xdr:rowOff>15</xdr:rowOff>
              </xdr:to>
            </anchor>
          </commentPr>
        </mc:Choice>
        <mc:Fallback/>
      </mc:AlternateContent>
    </comment>
    <comment ref="C47" authorId="0">
      <text>
        <r>
          <rPr>
            <b val="true"/>
            <sz val="8"/>
            <color rgb="FF000000"/>
            <rFont val="Tahoma"/>
            <family val="0"/>
          </rPr>
          <t xml:space="preserve">Daren Farmer:
</t>
        </r>
        <r>
          <rPr>
            <sz val="8"/>
            <color rgb="FF000000"/>
            <rFont val="Tahoma"/>
            <family val="0"/>
          </rPr>
          <t xml:space="preserve">11/1/99-3/31/00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14</xdr:colOff>
                <xdr:row>46</xdr:row>
                <xdr:rowOff>9</xdr:rowOff>
              </xdr:from>
              <xdr:to>
                <xdr:col>4</xdr:col>
                <xdr:colOff>61</xdr:colOff>
                <xdr:row>51</xdr:row>
                <xdr:rowOff>8</xdr:rowOff>
              </xdr:to>
            </anchor>
          </commentPr>
        </mc:Choice>
        <mc:Fallback/>
      </mc:AlternateContent>
    </comment>
    <comment ref="C48" authorId="0">
      <text>
        <r>
          <rPr>
            <b val="true"/>
            <sz val="8"/>
            <color rgb="FF000000"/>
            <rFont val="Tahoma"/>
            <family val="0"/>
          </rPr>
          <t xml:space="preserve">Daren Farmer:
</t>
        </r>
        <r>
          <rPr>
            <sz val="8"/>
            <color rgb="FF000000"/>
            <rFont val="Tahoma"/>
            <family val="0"/>
          </rPr>
          <t xml:space="preserve">1/31/00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14</xdr:colOff>
                <xdr:row>47</xdr:row>
                <xdr:rowOff>8</xdr:rowOff>
              </xdr:from>
              <xdr:to>
                <xdr:col>4</xdr:col>
                <xdr:colOff>61</xdr:colOff>
                <xdr:row>52</xdr:row>
                <xdr:rowOff>3</xdr:rowOff>
              </xdr:to>
            </anchor>
          </commentPr>
        </mc:Choice>
        <mc:Fallback/>
      </mc:AlternateContent>
    </comment>
    <comment ref="C52" authorId="0">
      <text>
        <r>
          <rPr>
            <b val="true"/>
            <sz val="8"/>
            <color rgb="FF000000"/>
            <rFont val="Tahoma"/>
            <family val="0"/>
          </rPr>
          <t xml:space="preserve">Daren Farmer:
</t>
        </r>
        <r>
          <rPr>
            <sz val="8"/>
            <color rgb="FF000000"/>
            <rFont val="Tahoma"/>
            <family val="0"/>
          </rPr>
          <t xml:space="preserve">3/31/00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14</xdr:colOff>
                <xdr:row>51</xdr:row>
                <xdr:rowOff>8</xdr:rowOff>
              </xdr:from>
              <xdr:to>
                <xdr:col>4</xdr:col>
                <xdr:colOff>61</xdr:colOff>
                <xdr:row>55</xdr:row>
                <xdr:rowOff>16</xdr:rowOff>
              </xdr:to>
            </anchor>
          </commentPr>
        </mc:Choice>
        <mc:Fallback/>
      </mc:AlternateContent>
    </comment>
    <comment ref="C66" authorId="0">
      <text>
        <r>
          <rPr>
            <b val="true"/>
            <sz val="8"/>
            <color rgb="FF000000"/>
            <rFont val="Tahoma"/>
            <family val="0"/>
          </rPr>
          <t xml:space="preserve">Daren Farmer:
</t>
        </r>
        <r>
          <rPr>
            <sz val="8"/>
            <color rgb="FF000000"/>
            <rFont val="Tahoma"/>
            <family val="0"/>
          </rPr>
          <t xml:space="preserve">3/31/00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14</xdr:colOff>
                <xdr:row>66</xdr:row>
                <xdr:rowOff>1</xdr:rowOff>
              </xdr:from>
              <xdr:to>
                <xdr:col>4</xdr:col>
                <xdr:colOff>61</xdr:colOff>
                <xdr:row>67</xdr:row>
                <xdr:rowOff>-6</xdr:rowOff>
              </xdr:to>
            </anchor>
          </commentPr>
        </mc:Choice>
        <mc:Fallback/>
      </mc:AlternateContent>
    </comment>
    <comment ref="D39" authorId="0">
      <text>
        <r>
          <rPr>
            <b val="true"/>
            <sz val="8"/>
            <color rgb="FF000000"/>
            <rFont val="Tahoma"/>
            <family val="0"/>
          </rPr>
          <t xml:space="preserve">Daren Farmer:
</t>
        </r>
        <r>
          <rPr>
            <sz val="8"/>
            <color rgb="FF000000"/>
            <rFont val="Tahoma"/>
            <family val="0"/>
          </rPr>
          <t xml:space="preserve">Contract terminations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16</xdr:colOff>
                <xdr:row>37</xdr:row>
                <xdr:rowOff>8</xdr:rowOff>
              </xdr:from>
              <xdr:to>
                <xdr:col>5</xdr:col>
                <xdr:colOff>65</xdr:colOff>
                <xdr:row>41</xdr:row>
                <xdr:rowOff>11</xdr:rowOff>
              </xdr:to>
            </anchor>
          </commentPr>
        </mc:Choice>
        <mc:Fallback/>
      </mc:AlternateContent>
    </comment>
    <comment ref="D56" authorId="0">
      <text>
        <r>
          <rPr>
            <b val="true"/>
            <sz val="8"/>
            <color rgb="FF000000"/>
            <rFont val="Tahoma"/>
            <family val="0"/>
          </rPr>
          <t xml:space="preserve">Daren Farmer:
</t>
        </r>
        <r>
          <rPr>
            <sz val="8"/>
            <color rgb="FF000000"/>
            <rFont val="Tahoma"/>
            <family val="0"/>
          </rPr>
          <t xml:space="preserve">10,000 can be recalled @ $3.00 if index prints above $3.00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14</xdr:colOff>
                <xdr:row>54</xdr:row>
                <xdr:rowOff>5</xdr:rowOff>
              </xdr:from>
              <xdr:to>
                <xdr:col>5</xdr:col>
                <xdr:colOff>61</xdr:colOff>
                <xdr:row>58</xdr:row>
                <xdr:rowOff>15</xdr:rowOff>
              </xdr:to>
            </anchor>
          </commentPr>
        </mc:Choice>
        <mc:Fallback/>
      </mc:AlternateContent>
    </comment>
    <comment ref="F15" authorId="0">
      <text>
        <r>
          <rPr>
            <b val="true"/>
            <sz val="8"/>
            <color rgb="FF000000"/>
            <rFont val="Tahoma"/>
            <family val="0"/>
          </rPr>
          <t xml:space="preserve">Daren Farmer:
</t>
        </r>
        <r>
          <rPr>
            <sz val="8"/>
            <color rgb="FF000000"/>
            <rFont val="Tahoma"/>
            <family val="0"/>
          </rPr>
          <t xml:space="preserve">6 / day into Midcon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32</xdr:colOff>
                <xdr:row>13</xdr:row>
                <xdr:rowOff>8</xdr:rowOff>
              </xdr:from>
              <xdr:to>
                <xdr:col>7</xdr:col>
                <xdr:colOff>79</xdr:colOff>
                <xdr:row>17</xdr:row>
                <xdr:rowOff>11</xdr:rowOff>
              </xdr:to>
            </anchor>
          </commentPr>
        </mc:Choice>
        <mc:Fallback/>
      </mc:AlternateContent>
    </comment>
    <comment ref="I30" authorId="0">
      <text>
        <r>
          <rPr>
            <b val="true"/>
            <sz val="8"/>
            <color rgb="FF000000"/>
            <rFont val="Tahoma"/>
            <family val="0"/>
          </rPr>
          <t xml:space="preserve">Daren Farmer:
</t>
        </r>
        <r>
          <rPr>
            <sz val="8"/>
            <color rgb="FF000000"/>
            <rFont val="Tahoma"/>
            <family val="0"/>
          </rPr>
          <t xml:space="preserve">7.5 Forest
10 Mitchell Exchange
20 Aquila
25 Aquila
5 TET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14</xdr:colOff>
                <xdr:row>29</xdr:row>
                <xdr:rowOff>13</xdr:rowOff>
              </xdr:from>
              <xdr:to>
                <xdr:col>11</xdr:col>
                <xdr:colOff>11</xdr:colOff>
                <xdr:row>39</xdr:row>
                <xdr:rowOff>1</xdr:rowOff>
              </xdr:to>
            </anchor>
          </commentPr>
        </mc:Choice>
        <mc:Fallback/>
      </mc:AlternateContent>
    </comment>
    <comment ref="I37" authorId="0">
      <text>
        <r>
          <rPr>
            <b val="true"/>
            <sz val="8"/>
            <color rgb="FF000000"/>
            <rFont val="Tahoma"/>
            <family val="0"/>
          </rPr>
          <t xml:space="preserve">Daren Farmer:
</t>
        </r>
        <r>
          <rPr>
            <sz val="8"/>
            <color rgb="FF000000"/>
            <rFont val="Tahoma"/>
            <family val="0"/>
          </rPr>
          <t xml:space="preserve">20 Western
10 Aquila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14</xdr:colOff>
                <xdr:row>36</xdr:row>
                <xdr:rowOff>13</xdr:rowOff>
              </xdr:from>
              <xdr:to>
                <xdr:col>10</xdr:col>
                <xdr:colOff>82</xdr:colOff>
                <xdr:row>40</xdr:row>
                <xdr:rowOff>15</xdr:rowOff>
              </xdr:to>
            </anchor>
          </commentPr>
        </mc:Choice>
        <mc:Fallback/>
      </mc:AlternateContent>
    </comment>
    <comment ref="I46" authorId="0">
      <text>
        <r>
          <rPr>
            <b val="true"/>
            <sz val="8"/>
            <color rgb="FF000000"/>
            <rFont val="Tahoma"/>
            <family val="0"/>
          </rPr>
          <t xml:space="preserve">Daren Farmer:
</t>
        </r>
        <r>
          <rPr>
            <sz val="8"/>
            <color rgb="FF000000"/>
            <rFont val="Tahoma"/>
            <family val="0"/>
          </rPr>
          <t xml:space="preserve">7/1/99-1/31/00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14</xdr:colOff>
                <xdr:row>45</xdr:row>
                <xdr:rowOff>8</xdr:rowOff>
              </xdr:from>
              <xdr:to>
                <xdr:col>10</xdr:col>
                <xdr:colOff>82</xdr:colOff>
                <xdr:row>49</xdr:row>
                <xdr:rowOff>16</xdr:rowOff>
              </xdr:to>
            </anchor>
          </commentPr>
        </mc:Choice>
        <mc:Fallback/>
      </mc:AlternateContent>
    </comment>
    <comment ref="I47" authorId="0">
      <text>
        <r>
          <rPr>
            <b val="true"/>
            <sz val="8"/>
            <color rgb="FF000000"/>
            <rFont val="Tahoma"/>
            <family val="0"/>
          </rPr>
          <t xml:space="preserve">Daren Farmer:
</t>
        </r>
        <r>
          <rPr>
            <sz val="8"/>
            <color rgb="FF000000"/>
            <rFont val="Tahoma"/>
            <family val="0"/>
          </rPr>
          <t xml:space="preserve">1/1/00-12/31/00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16</xdr:colOff>
                <xdr:row>46</xdr:row>
                <xdr:rowOff>8</xdr:rowOff>
              </xdr:from>
              <xdr:to>
                <xdr:col>10</xdr:col>
                <xdr:colOff>86</xdr:colOff>
                <xdr:row>50</xdr:row>
                <xdr:rowOff>16</xdr:rowOff>
              </xdr:to>
            </anchor>
          </commentPr>
        </mc:Choice>
        <mc:Fallback/>
      </mc:AlternateContent>
    </comment>
    <comment ref="I48" authorId="0">
      <text>
        <r>
          <rPr>
            <b val="true"/>
            <sz val="8"/>
            <color rgb="FF000000"/>
            <rFont val="Tahoma"/>
            <family val="0"/>
          </rPr>
          <t xml:space="preserve">Daren Farmer:
</t>
        </r>
        <r>
          <rPr>
            <sz val="8"/>
            <color rgb="FF000000"/>
            <rFont val="Tahoma"/>
            <family val="0"/>
          </rPr>
          <t xml:space="preserve">4/30/00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14</xdr:colOff>
                <xdr:row>47</xdr:row>
                <xdr:rowOff>9</xdr:rowOff>
              </xdr:from>
              <xdr:to>
                <xdr:col>10</xdr:col>
                <xdr:colOff>82</xdr:colOff>
                <xdr:row>52</xdr:row>
                <xdr:rowOff>1</xdr:rowOff>
              </xdr:to>
            </anchor>
          </commentPr>
        </mc:Choice>
        <mc:Fallback/>
      </mc:AlternateContent>
    </comment>
    <comment ref="I50" authorId="0">
      <text>
        <r>
          <rPr>
            <b val="true"/>
            <sz val="8"/>
            <color rgb="FF000000"/>
            <rFont val="Tahoma"/>
            <family val="0"/>
          </rPr>
          <t xml:space="preserve">Daren Farmer:
</t>
        </r>
        <r>
          <rPr>
            <sz val="8"/>
            <color rgb="FF000000"/>
            <rFont val="Tahoma"/>
            <family val="0"/>
          </rPr>
          <t xml:space="preserve">3/31/00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14</xdr:colOff>
                <xdr:row>49</xdr:row>
                <xdr:rowOff>8</xdr:rowOff>
              </xdr:from>
              <xdr:to>
                <xdr:col>10</xdr:col>
                <xdr:colOff>82</xdr:colOff>
                <xdr:row>54</xdr:row>
                <xdr:rowOff>5</xdr:rowOff>
              </xdr:to>
            </anchor>
          </commentPr>
        </mc:Choice>
        <mc:Fallback/>
      </mc:AlternateContent>
    </comment>
    <comment ref="J30" authorId="0">
      <text>
        <r>
          <rPr>
            <b val="true"/>
            <sz val="8"/>
            <color rgb="FF000000"/>
            <rFont val="Tahoma"/>
            <family val="0"/>
          </rPr>
          <t xml:space="preserve">Daren Farmer:
</t>
        </r>
        <r>
          <rPr>
            <sz val="8"/>
            <color rgb="FF000000"/>
            <rFont val="Tahoma"/>
            <family val="0"/>
          </rPr>
          <t xml:space="preserve">10 EGM
25 EGM
10 Reliant entex
10 Cokinos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14</xdr:colOff>
                <xdr:row>29</xdr:row>
                <xdr:rowOff>13</xdr:rowOff>
              </xdr:from>
              <xdr:to>
                <xdr:col>11</xdr:col>
                <xdr:colOff>61</xdr:colOff>
                <xdr:row>33</xdr:row>
                <xdr:rowOff>15</xdr:rowOff>
              </xdr:to>
            </anchor>
          </commentPr>
        </mc:Choice>
        <mc:Fallback/>
      </mc:AlternateContent>
    </comment>
    <comment ref="J35" authorId="0">
      <text>
        <r>
          <rPr>
            <b val="true"/>
            <sz val="8"/>
            <color rgb="FF000000"/>
            <rFont val="Tahoma"/>
            <family val="0"/>
          </rPr>
          <t xml:space="preserve">Daren Farmer:
</t>
        </r>
        <r>
          <rPr>
            <sz val="8"/>
            <color rgb="FF000000"/>
            <rFont val="Tahoma"/>
            <family val="0"/>
          </rPr>
          <t xml:space="preserve">-30 Tufco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14</xdr:colOff>
                <xdr:row>34</xdr:row>
                <xdr:rowOff>13</xdr:rowOff>
              </xdr:from>
              <xdr:to>
                <xdr:col>11</xdr:col>
                <xdr:colOff>61</xdr:colOff>
                <xdr:row>38</xdr:row>
                <xdr:rowOff>15</xdr:rowOff>
              </xdr:to>
            </anchor>
          </commentPr>
        </mc:Choice>
        <mc:Fallback/>
      </mc:AlternateContent>
    </comment>
    <comment ref="J41" authorId="0">
      <text>
        <r>
          <rPr>
            <b val="true"/>
            <sz val="8"/>
            <color rgb="FF000000"/>
            <rFont val="Tahoma"/>
            <family val="0"/>
          </rPr>
          <t xml:space="preserve">Daren Farmer:
</t>
        </r>
        <r>
          <rPr>
            <sz val="8"/>
            <color rgb="FF000000"/>
            <rFont val="Tahoma"/>
            <family val="0"/>
          </rPr>
          <t xml:space="preserve">15 North Central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14</xdr:colOff>
                <xdr:row>40</xdr:row>
                <xdr:rowOff>13</xdr:rowOff>
              </xdr:from>
              <xdr:to>
                <xdr:col>11</xdr:col>
                <xdr:colOff>61</xdr:colOff>
                <xdr:row>44</xdr:row>
                <xdr:rowOff>13</xdr:rowOff>
              </xdr:to>
            </anchor>
          </commentPr>
        </mc:Choice>
        <mc:Fallback/>
      </mc:AlternateContent>
    </comment>
  </commentList>
</comments>
</file>

<file path=xl/comments2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C50" authorId="0">
      <text>
        <r>
          <rPr>
            <b val="true"/>
            <sz val="8"/>
            <color rgb="FF000000"/>
            <rFont val="Tahoma"/>
            <family val="0"/>
          </rPr>
          <t xml:space="preserve">Daren Farmer:
</t>
        </r>
        <r>
          <rPr>
            <sz val="8"/>
            <color rgb="FF000000"/>
            <rFont val="Tahoma"/>
            <family val="0"/>
          </rPr>
          <t xml:space="preserve">11/1/99-3/31/00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14</xdr:colOff>
                <xdr:row>49</xdr:row>
                <xdr:rowOff>6</xdr:rowOff>
              </xdr:from>
              <xdr:to>
                <xdr:col>4</xdr:col>
                <xdr:colOff>61</xdr:colOff>
                <xdr:row>54</xdr:row>
                <xdr:rowOff>7</xdr:rowOff>
              </xdr:to>
            </anchor>
          </commentPr>
        </mc:Choice>
        <mc:Fallback/>
      </mc:AlternateContent>
    </comment>
    <comment ref="C55" authorId="0">
      <text>
        <r>
          <rPr>
            <b val="true"/>
            <sz val="8"/>
            <color rgb="FF000000"/>
            <rFont val="Tahoma"/>
            <family val="0"/>
          </rPr>
          <t xml:space="preserve">Daren Farmer:
</t>
        </r>
        <r>
          <rPr>
            <sz val="8"/>
            <color rgb="FF000000"/>
            <rFont val="Tahoma"/>
            <family val="0"/>
          </rPr>
          <t xml:space="preserve">3/31/00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14</xdr:colOff>
                <xdr:row>54</xdr:row>
                <xdr:rowOff>5</xdr:rowOff>
              </xdr:from>
              <xdr:to>
                <xdr:col>4</xdr:col>
                <xdr:colOff>61</xdr:colOff>
                <xdr:row>58</xdr:row>
                <xdr:rowOff>13</xdr:rowOff>
              </xdr:to>
            </anchor>
          </commentPr>
        </mc:Choice>
        <mc:Fallback/>
      </mc:AlternateContent>
    </comment>
    <comment ref="C69" authorId="0">
      <text>
        <r>
          <rPr>
            <b val="true"/>
            <sz val="8"/>
            <color rgb="FF000000"/>
            <rFont val="Tahoma"/>
            <family val="0"/>
          </rPr>
          <t xml:space="preserve">Daren Farmer:
</t>
        </r>
        <r>
          <rPr>
            <sz val="8"/>
            <color rgb="FF000000"/>
            <rFont val="Tahoma"/>
            <family val="0"/>
          </rPr>
          <t xml:space="preserve">3/31/00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14</xdr:colOff>
                <xdr:row>70</xdr:row>
                <xdr:rowOff>14</xdr:rowOff>
              </xdr:from>
              <xdr:to>
                <xdr:col>4</xdr:col>
                <xdr:colOff>61</xdr:colOff>
                <xdr:row>71</xdr:row>
                <xdr:rowOff>-1</xdr:rowOff>
              </xdr:to>
            </anchor>
          </commentPr>
        </mc:Choice>
        <mc:Fallback/>
      </mc:AlternateContent>
    </comment>
    <comment ref="D42" authorId="0">
      <text>
        <r>
          <rPr>
            <b val="true"/>
            <sz val="8"/>
            <color rgb="FF000000"/>
            <rFont val="Tahoma"/>
            <family val="0"/>
          </rPr>
          <t xml:space="preserve">Daren Farmer:
</t>
        </r>
        <r>
          <rPr>
            <sz val="8"/>
            <color rgb="FF000000"/>
            <rFont val="Tahoma"/>
            <family val="0"/>
          </rPr>
          <t xml:space="preserve">Contract terminations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16</xdr:colOff>
                <xdr:row>40</xdr:row>
                <xdr:rowOff>11</xdr:rowOff>
              </xdr:from>
              <xdr:to>
                <xdr:col>5</xdr:col>
                <xdr:colOff>65</xdr:colOff>
                <xdr:row>44</xdr:row>
                <xdr:rowOff>11</xdr:rowOff>
              </xdr:to>
            </anchor>
          </commentPr>
        </mc:Choice>
        <mc:Fallback/>
      </mc:AlternateContent>
    </comment>
    <comment ref="D59" authorId="0">
      <text>
        <r>
          <rPr>
            <b val="true"/>
            <sz val="8"/>
            <color rgb="FF000000"/>
            <rFont val="Tahoma"/>
            <family val="0"/>
          </rPr>
          <t xml:space="preserve">Daren Farmer:
</t>
        </r>
        <r>
          <rPr>
            <sz val="8"/>
            <color rgb="FF000000"/>
            <rFont val="Tahoma"/>
            <family val="0"/>
          </rPr>
          <t xml:space="preserve">10,000 can be recalled @ $3.00 if index prints above $3.00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14</xdr:colOff>
                <xdr:row>57</xdr:row>
                <xdr:rowOff>2</xdr:rowOff>
              </xdr:from>
              <xdr:to>
                <xdr:col>5</xdr:col>
                <xdr:colOff>61</xdr:colOff>
                <xdr:row>61</xdr:row>
                <xdr:rowOff>12</xdr:rowOff>
              </xdr:to>
            </anchor>
          </commentPr>
        </mc:Choice>
        <mc:Fallback/>
      </mc:AlternateContent>
    </comment>
    <comment ref="F15" authorId="0">
      <text>
        <r>
          <rPr>
            <b val="true"/>
            <sz val="8"/>
            <color rgb="FF000000"/>
            <rFont val="Tahoma"/>
            <family val="0"/>
          </rPr>
          <t xml:space="preserve">Daren Farmer:
</t>
        </r>
        <r>
          <rPr>
            <sz val="8"/>
            <color rgb="FF000000"/>
            <rFont val="Tahoma"/>
            <family val="0"/>
          </rPr>
          <t xml:space="preserve">6 / day into Midcon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13</xdr:row>
                <xdr:rowOff>8</xdr:rowOff>
              </xdr:from>
              <xdr:to>
                <xdr:col>7</xdr:col>
                <xdr:colOff>63</xdr:colOff>
                <xdr:row>17</xdr:row>
                <xdr:rowOff>11</xdr:rowOff>
              </xdr:to>
            </anchor>
          </commentPr>
        </mc:Choice>
        <mc:Fallback/>
      </mc:AlternateContent>
    </comment>
    <comment ref="I33" authorId="0">
      <text>
        <r>
          <rPr>
            <b val="true"/>
            <sz val="8"/>
            <color rgb="FF000000"/>
            <rFont val="Tahoma"/>
            <family val="0"/>
          </rPr>
          <t xml:space="preserve">Daren Farmer:
</t>
        </r>
        <r>
          <rPr>
            <sz val="8"/>
            <color rgb="FF000000"/>
            <rFont val="Tahoma"/>
            <family val="0"/>
          </rPr>
          <t xml:space="preserve">7.5 Forest
10 Mitchell Exchange
20 Aquila
25 Aquila
5 TET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14</xdr:colOff>
                <xdr:row>32</xdr:row>
                <xdr:rowOff>16</xdr:rowOff>
              </xdr:from>
              <xdr:to>
                <xdr:col>11</xdr:col>
                <xdr:colOff>11</xdr:colOff>
                <xdr:row>42</xdr:row>
                <xdr:rowOff>5</xdr:rowOff>
              </xdr:to>
            </anchor>
          </commentPr>
        </mc:Choice>
        <mc:Fallback/>
      </mc:AlternateContent>
    </comment>
    <comment ref="I40" authorId="0">
      <text>
        <r>
          <rPr>
            <b val="true"/>
            <sz val="8"/>
            <color rgb="FF000000"/>
            <rFont val="Tahoma"/>
            <family val="0"/>
          </rPr>
          <t xml:space="preserve">Daren Farmer:
</t>
        </r>
        <r>
          <rPr>
            <sz val="8"/>
            <color rgb="FF000000"/>
            <rFont val="Tahoma"/>
            <family val="0"/>
          </rPr>
          <t xml:space="preserve">20 Western
10 Aquila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14</xdr:colOff>
                <xdr:row>39</xdr:row>
                <xdr:rowOff>16</xdr:rowOff>
              </xdr:from>
              <xdr:to>
                <xdr:col>10</xdr:col>
                <xdr:colOff>82</xdr:colOff>
                <xdr:row>43</xdr:row>
                <xdr:rowOff>18</xdr:rowOff>
              </xdr:to>
            </anchor>
          </commentPr>
        </mc:Choice>
        <mc:Fallback/>
      </mc:AlternateContent>
    </comment>
    <comment ref="I49" authorId="0">
      <text>
        <r>
          <rPr>
            <b val="true"/>
            <sz val="8"/>
            <color rgb="FF000000"/>
            <rFont val="Tahoma"/>
            <family val="0"/>
          </rPr>
          <t xml:space="preserve">Daren Farmer:
</t>
        </r>
        <r>
          <rPr>
            <sz val="8"/>
            <color rgb="FF000000"/>
            <rFont val="Tahoma"/>
            <family val="0"/>
          </rPr>
          <t xml:space="preserve">7/1/99-1/31/00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14</xdr:colOff>
                <xdr:row>48</xdr:row>
                <xdr:rowOff>5</xdr:rowOff>
              </xdr:from>
              <xdr:to>
                <xdr:col>10</xdr:col>
                <xdr:colOff>82</xdr:colOff>
                <xdr:row>52</xdr:row>
                <xdr:rowOff>13</xdr:rowOff>
              </xdr:to>
            </anchor>
          </commentPr>
        </mc:Choice>
        <mc:Fallback/>
      </mc:AlternateContent>
    </comment>
    <comment ref="I50" authorId="0">
      <text>
        <r>
          <rPr>
            <b val="true"/>
            <sz val="8"/>
            <color rgb="FF000000"/>
            <rFont val="Tahoma"/>
            <family val="0"/>
          </rPr>
          <t xml:space="preserve">Daren Farmer:
</t>
        </r>
        <r>
          <rPr>
            <sz val="8"/>
            <color rgb="FF000000"/>
            <rFont val="Tahoma"/>
            <family val="0"/>
          </rPr>
          <t xml:space="preserve">1/1/00-12/31/00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16</xdr:colOff>
                <xdr:row>49</xdr:row>
                <xdr:rowOff>5</xdr:rowOff>
              </xdr:from>
              <xdr:to>
                <xdr:col>10</xdr:col>
                <xdr:colOff>86</xdr:colOff>
                <xdr:row>53</xdr:row>
                <xdr:rowOff>13</xdr:rowOff>
              </xdr:to>
            </anchor>
          </commentPr>
        </mc:Choice>
        <mc:Fallback/>
      </mc:AlternateContent>
    </comment>
    <comment ref="I51" authorId="0">
      <text>
        <r>
          <rPr>
            <b val="true"/>
            <sz val="8"/>
            <color rgb="FF000000"/>
            <rFont val="Tahoma"/>
            <family val="0"/>
          </rPr>
          <t xml:space="preserve">Daren Farmer:
</t>
        </r>
        <r>
          <rPr>
            <sz val="8"/>
            <color rgb="FF000000"/>
            <rFont val="Tahoma"/>
            <family val="0"/>
          </rPr>
          <t xml:space="preserve">4/30/00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14</xdr:colOff>
                <xdr:row>50</xdr:row>
                <xdr:rowOff>6</xdr:rowOff>
              </xdr:from>
              <xdr:to>
                <xdr:col>10</xdr:col>
                <xdr:colOff>82</xdr:colOff>
                <xdr:row>54</xdr:row>
                <xdr:rowOff>14</xdr:rowOff>
              </xdr:to>
            </anchor>
          </commentPr>
        </mc:Choice>
        <mc:Fallback/>
      </mc:AlternateContent>
    </comment>
    <comment ref="I53" authorId="0">
      <text>
        <r>
          <rPr>
            <b val="true"/>
            <sz val="8"/>
            <color rgb="FF000000"/>
            <rFont val="Tahoma"/>
            <family val="0"/>
          </rPr>
          <t xml:space="preserve">Daren Farmer:
</t>
        </r>
        <r>
          <rPr>
            <sz val="8"/>
            <color rgb="FF000000"/>
            <rFont val="Tahoma"/>
            <family val="0"/>
          </rPr>
          <t xml:space="preserve">3/31/00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14</xdr:colOff>
                <xdr:row>52</xdr:row>
                <xdr:rowOff>5</xdr:rowOff>
              </xdr:from>
              <xdr:to>
                <xdr:col>10</xdr:col>
                <xdr:colOff>82</xdr:colOff>
                <xdr:row>57</xdr:row>
                <xdr:rowOff>2</xdr:rowOff>
              </xdr:to>
            </anchor>
          </commentPr>
        </mc:Choice>
        <mc:Fallback/>
      </mc:AlternateContent>
    </comment>
    <comment ref="J33" authorId="0">
      <text>
        <r>
          <rPr>
            <b val="true"/>
            <sz val="8"/>
            <color rgb="FF000000"/>
            <rFont val="Tahoma"/>
            <family val="0"/>
          </rPr>
          <t xml:space="preserve">Daren Farmer:
</t>
        </r>
        <r>
          <rPr>
            <sz val="8"/>
            <color rgb="FF000000"/>
            <rFont val="Tahoma"/>
            <family val="0"/>
          </rPr>
          <t xml:space="preserve">10 EGM
25 EGM
10 Reliant entex
10 Cokinos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14</xdr:colOff>
                <xdr:row>32</xdr:row>
                <xdr:rowOff>16</xdr:rowOff>
              </xdr:from>
              <xdr:to>
                <xdr:col>11</xdr:col>
                <xdr:colOff>61</xdr:colOff>
                <xdr:row>37</xdr:row>
                <xdr:rowOff>1</xdr:rowOff>
              </xdr:to>
            </anchor>
          </commentPr>
        </mc:Choice>
        <mc:Fallback/>
      </mc:AlternateContent>
    </comment>
    <comment ref="J38" authorId="0">
      <text>
        <r>
          <rPr>
            <b val="true"/>
            <sz val="8"/>
            <color rgb="FF000000"/>
            <rFont val="Tahoma"/>
            <family val="0"/>
          </rPr>
          <t xml:space="preserve">Daren Farmer:
</t>
        </r>
        <r>
          <rPr>
            <sz val="8"/>
            <color rgb="FF000000"/>
            <rFont val="Tahoma"/>
            <family val="0"/>
          </rPr>
          <t xml:space="preserve">-30 Tufco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14</xdr:colOff>
                <xdr:row>37</xdr:row>
                <xdr:rowOff>16</xdr:rowOff>
              </xdr:from>
              <xdr:to>
                <xdr:col>11</xdr:col>
                <xdr:colOff>61</xdr:colOff>
                <xdr:row>42</xdr:row>
                <xdr:rowOff>1</xdr:rowOff>
              </xdr:to>
            </anchor>
          </commentPr>
        </mc:Choice>
        <mc:Fallback/>
      </mc:AlternateContent>
    </comment>
    <comment ref="J44" authorId="0">
      <text>
        <r>
          <rPr>
            <b val="true"/>
            <sz val="8"/>
            <color rgb="FF000000"/>
            <rFont val="Tahoma"/>
            <family val="0"/>
          </rPr>
          <t xml:space="preserve">Daren Farmer:
</t>
        </r>
        <r>
          <rPr>
            <sz val="8"/>
            <color rgb="FF000000"/>
            <rFont val="Tahoma"/>
            <family val="0"/>
          </rPr>
          <t xml:space="preserve">15 North Central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14</xdr:colOff>
                <xdr:row>43</xdr:row>
                <xdr:rowOff>16</xdr:rowOff>
              </xdr:from>
              <xdr:to>
                <xdr:col>11</xdr:col>
                <xdr:colOff>61</xdr:colOff>
                <xdr:row>47</xdr:row>
                <xdr:rowOff>13</xdr:rowOff>
              </xdr:to>
            </anchor>
          </commentPr>
        </mc:Choice>
        <mc:Fallback/>
      </mc:AlternateContent>
    </comment>
  </commentList>
</comments>
</file>

<file path=xl/comments3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C48" authorId="0">
      <text>
        <r>
          <rPr>
            <b val="true"/>
            <sz val="8"/>
            <color rgb="FF000000"/>
            <rFont val="Tahoma"/>
            <family val="0"/>
          </rPr>
          <t xml:space="preserve">Daren Farmer:
</t>
        </r>
        <r>
          <rPr>
            <sz val="8"/>
            <color rgb="FF000000"/>
            <rFont val="Tahoma"/>
            <family val="0"/>
          </rPr>
          <t xml:space="preserve">3/31/00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46</xdr:row>
                <xdr:rowOff>6</xdr:rowOff>
              </xdr:from>
              <xdr:to>
                <xdr:col>4</xdr:col>
                <xdr:colOff>63</xdr:colOff>
                <xdr:row>51</xdr:row>
                <xdr:rowOff>3</xdr:rowOff>
              </xdr:to>
            </anchor>
          </commentPr>
        </mc:Choice>
        <mc:Fallback/>
      </mc:AlternateContent>
    </comment>
    <comment ref="C49" authorId="0">
      <text>
        <r>
          <rPr>
            <b val="true"/>
            <sz val="8"/>
            <color rgb="FF000000"/>
            <rFont val="Tahoma"/>
            <family val="0"/>
          </rPr>
          <t xml:space="preserve">Daren Farmer:
</t>
        </r>
        <r>
          <rPr>
            <sz val="8"/>
            <color rgb="FF000000"/>
            <rFont val="Tahoma"/>
            <family val="0"/>
          </rPr>
          <t xml:space="preserve">11/1/99-3/31/00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14</xdr:colOff>
                <xdr:row>48</xdr:row>
                <xdr:rowOff>6</xdr:rowOff>
              </xdr:from>
              <xdr:to>
                <xdr:col>4</xdr:col>
                <xdr:colOff>61</xdr:colOff>
                <xdr:row>53</xdr:row>
                <xdr:rowOff>9</xdr:rowOff>
              </xdr:to>
            </anchor>
          </commentPr>
        </mc:Choice>
        <mc:Fallback/>
      </mc:AlternateContent>
    </comment>
    <comment ref="C50" authorId="0">
      <text>
        <r>
          <rPr>
            <b val="true"/>
            <sz val="8"/>
            <color rgb="FF000000"/>
            <rFont val="Tahoma"/>
            <family val="0"/>
          </rPr>
          <t xml:space="preserve">Daren Farmer:
</t>
        </r>
        <r>
          <rPr>
            <sz val="8"/>
            <color rgb="FF000000"/>
            <rFont val="Tahoma"/>
            <family val="0"/>
          </rPr>
          <t xml:space="preserve">3/31/00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14</xdr:colOff>
                <xdr:row>49</xdr:row>
                <xdr:rowOff>5</xdr:rowOff>
              </xdr:from>
              <xdr:to>
                <xdr:col>4</xdr:col>
                <xdr:colOff>61</xdr:colOff>
                <xdr:row>53</xdr:row>
                <xdr:rowOff>14</xdr:rowOff>
              </xdr:to>
            </anchor>
          </commentPr>
        </mc:Choice>
        <mc:Fallback/>
      </mc:AlternateContent>
    </comment>
    <comment ref="C51" authorId="0">
      <text>
        <r>
          <rPr>
            <b val="true"/>
            <sz val="8"/>
            <color rgb="FF000000"/>
            <rFont val="Tahoma"/>
            <family val="0"/>
          </rPr>
          <t xml:space="preserve">Daren Farmer:
</t>
        </r>
        <r>
          <rPr>
            <sz val="8"/>
            <color rgb="FF000000"/>
            <rFont val="Tahoma"/>
            <family val="0"/>
          </rPr>
          <t xml:space="preserve">1/00-2/29/00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49</xdr:row>
                <xdr:rowOff>6</xdr:rowOff>
              </xdr:from>
              <xdr:to>
                <xdr:col>4</xdr:col>
                <xdr:colOff>63</xdr:colOff>
                <xdr:row>53</xdr:row>
                <xdr:rowOff>15</xdr:rowOff>
              </xdr:to>
            </anchor>
          </commentPr>
        </mc:Choice>
        <mc:Fallback/>
      </mc:AlternateContent>
    </comment>
    <comment ref="C78" authorId="0">
      <text>
        <r>
          <rPr>
            <b val="true"/>
            <sz val="8"/>
            <color rgb="FF000000"/>
            <rFont val="Tahoma"/>
            <family val="0"/>
          </rPr>
          <t xml:space="preserve">Daren Farmer:
</t>
        </r>
        <r>
          <rPr>
            <sz val="8"/>
            <color rgb="FF000000"/>
            <rFont val="Tahoma"/>
            <family val="0"/>
          </rPr>
          <t xml:space="preserve">3/31/00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14</xdr:colOff>
                <xdr:row>79</xdr:row>
                <xdr:rowOff>0</xdr:rowOff>
              </xdr:from>
              <xdr:to>
                <xdr:col>5</xdr:col>
                <xdr:colOff>0</xdr:colOff>
                <xdr:row>91</xdr:row>
                <xdr:rowOff>6</xdr:rowOff>
              </xdr:to>
            </anchor>
          </commentPr>
        </mc:Choice>
        <mc:Fallback/>
      </mc:AlternateContent>
    </comment>
    <comment ref="D42" authorId="0">
      <text>
        <r>
          <rPr>
            <b val="true"/>
            <sz val="8"/>
            <color rgb="FF000000"/>
            <rFont val="Tahoma"/>
            <family val="0"/>
          </rPr>
          <t xml:space="preserve">Daren Farmer:
</t>
        </r>
        <r>
          <rPr>
            <sz val="8"/>
            <color rgb="FF000000"/>
            <rFont val="Tahoma"/>
            <family val="0"/>
          </rPr>
          <t xml:space="preserve">Contract terminations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16</xdr:colOff>
                <xdr:row>40</xdr:row>
                <xdr:rowOff>11</xdr:rowOff>
              </xdr:from>
              <xdr:to>
                <xdr:col>5</xdr:col>
                <xdr:colOff>65</xdr:colOff>
                <xdr:row>44</xdr:row>
                <xdr:rowOff>11</xdr:rowOff>
              </xdr:to>
            </anchor>
          </commentPr>
        </mc:Choice>
        <mc:Fallback/>
      </mc:AlternateContent>
    </comment>
    <comment ref="D52" authorId="0">
      <text>
        <r>
          <rPr>
            <b val="true"/>
            <sz val="8"/>
            <color rgb="FF000000"/>
            <rFont val="Tahoma"/>
            <family val="0"/>
          </rPr>
          <t xml:space="preserve">Daren Farmer:
</t>
        </r>
        <r>
          <rPr>
            <sz val="8"/>
            <color rgb="FF000000"/>
            <rFont val="Tahoma"/>
            <family val="0"/>
          </rPr>
          <t xml:space="preserve">10,000 can be recalled @ $3.00 if index prints above $3.00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14</xdr:colOff>
                <xdr:row>50</xdr:row>
                <xdr:rowOff>3</xdr:rowOff>
              </xdr:from>
              <xdr:to>
                <xdr:col>5</xdr:col>
                <xdr:colOff>61</xdr:colOff>
                <xdr:row>54</xdr:row>
                <xdr:rowOff>14</xdr:rowOff>
              </xdr:to>
            </anchor>
          </commentPr>
        </mc:Choice>
        <mc:Fallback/>
      </mc:AlternateContent>
    </comment>
    <comment ref="E51" authorId="0">
      <text>
        <r>
          <rPr>
            <b val="true"/>
            <sz val="8"/>
            <color rgb="FF000000"/>
            <rFont val="Tahoma"/>
            <family val="0"/>
          </rPr>
          <t xml:space="preserve">Daren Farmer:
</t>
        </r>
        <r>
          <rPr>
            <sz val="8"/>
            <color rgb="FF000000"/>
            <rFont val="Tahoma"/>
            <family val="0"/>
          </rPr>
          <t xml:space="preserve">3/31/00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16</xdr:colOff>
                <xdr:row>49</xdr:row>
                <xdr:rowOff>6</xdr:rowOff>
              </xdr:from>
              <xdr:to>
                <xdr:col>6</xdr:col>
                <xdr:colOff>63</xdr:colOff>
                <xdr:row>53</xdr:row>
                <xdr:rowOff>15</xdr:rowOff>
              </xdr:to>
            </anchor>
          </commentPr>
        </mc:Choice>
        <mc:Fallback/>
      </mc:AlternateContent>
    </comment>
    <comment ref="I33" authorId="0">
      <text>
        <r>
          <rPr>
            <b val="true"/>
            <sz val="8"/>
            <color rgb="FF000000"/>
            <rFont val="Tahoma"/>
            <family val="0"/>
          </rPr>
          <t xml:space="preserve">Daren Farmer:
</t>
        </r>
        <r>
          <rPr>
            <sz val="8"/>
            <color rgb="FF000000"/>
            <rFont val="Tahoma"/>
            <family val="0"/>
          </rPr>
          <t xml:space="preserve">7.5 Forest
0 Mitchell Exchange
20 Aquila
10Aquila
5 Western
5 Texaco
5 Western
5 Texaco
5 TET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6</xdr:colOff>
                <xdr:row>20</xdr:row>
                <xdr:rowOff>10</xdr:rowOff>
              </xdr:from>
              <xdr:to>
                <xdr:col>12</xdr:col>
                <xdr:colOff>0</xdr:colOff>
                <xdr:row>31</xdr:row>
                <xdr:rowOff>6</xdr:rowOff>
              </xdr:to>
            </anchor>
          </commentPr>
        </mc:Choice>
        <mc:Fallback/>
      </mc:AlternateContent>
    </comment>
    <comment ref="I40" authorId="0">
      <text>
        <r>
          <rPr>
            <b val="true"/>
            <sz val="8"/>
            <color rgb="FF000000"/>
            <rFont val="Tahoma"/>
            <family val="0"/>
          </rPr>
          <t xml:space="preserve">Daren Farmer:
</t>
        </r>
        <r>
          <rPr>
            <sz val="8"/>
            <color rgb="FF000000"/>
            <rFont val="Tahoma"/>
            <family val="0"/>
          </rPr>
          <t xml:space="preserve">20 Western
20 Aquila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14</xdr:colOff>
                <xdr:row>39</xdr:row>
                <xdr:rowOff>16</xdr:rowOff>
              </xdr:from>
              <xdr:to>
                <xdr:col>10</xdr:col>
                <xdr:colOff>82</xdr:colOff>
                <xdr:row>44</xdr:row>
                <xdr:rowOff>1</xdr:rowOff>
              </xdr:to>
            </anchor>
          </commentPr>
        </mc:Choice>
        <mc:Fallback/>
      </mc:AlternateContent>
    </comment>
    <comment ref="I48" authorId="0">
      <text>
        <r>
          <rPr>
            <b val="true"/>
            <sz val="8"/>
            <color rgb="FF000000"/>
            <rFont val="Tahoma"/>
            <family val="0"/>
          </rPr>
          <t xml:space="preserve">Daren Farmer:
</t>
        </r>
        <r>
          <rPr>
            <sz val="8"/>
            <color rgb="FF000000"/>
            <rFont val="Tahoma"/>
            <family val="0"/>
          </rPr>
          <t xml:space="preserve">11/30/00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16</xdr:colOff>
                <xdr:row>46</xdr:row>
                <xdr:rowOff>6</xdr:rowOff>
              </xdr:from>
              <xdr:to>
                <xdr:col>10</xdr:col>
                <xdr:colOff>86</xdr:colOff>
                <xdr:row>51</xdr:row>
                <xdr:rowOff>3</xdr:rowOff>
              </xdr:to>
            </anchor>
          </commentPr>
        </mc:Choice>
        <mc:Fallback/>
      </mc:AlternateContent>
    </comment>
    <comment ref="I49" authorId="0">
      <text>
        <r>
          <rPr>
            <b val="true"/>
            <sz val="8"/>
            <color rgb="FF000000"/>
            <rFont val="Tahoma"/>
            <family val="0"/>
          </rPr>
          <t xml:space="preserve">Daren Farmer:
</t>
        </r>
        <r>
          <rPr>
            <sz val="8"/>
            <color rgb="FF000000"/>
            <rFont val="Tahoma"/>
            <family val="0"/>
          </rPr>
          <t xml:space="preserve">2/1/00-1/31/01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14</xdr:colOff>
                <xdr:row>48</xdr:row>
                <xdr:rowOff>5</xdr:rowOff>
              </xdr:from>
              <xdr:to>
                <xdr:col>10</xdr:col>
                <xdr:colOff>82</xdr:colOff>
                <xdr:row>52</xdr:row>
                <xdr:rowOff>14</xdr:rowOff>
              </xdr:to>
            </anchor>
          </commentPr>
        </mc:Choice>
        <mc:Fallback/>
      </mc:AlternateContent>
    </comment>
    <comment ref="I50" authorId="0">
      <text>
        <r>
          <rPr>
            <b val="true"/>
            <sz val="8"/>
            <color rgb="FF000000"/>
            <rFont val="Tahoma"/>
            <family val="0"/>
          </rPr>
          <t xml:space="preserve">Daren Farmer:
</t>
        </r>
        <r>
          <rPr>
            <sz val="8"/>
            <color rgb="FF000000"/>
            <rFont val="Tahoma"/>
            <family val="0"/>
          </rPr>
          <t xml:space="preserve">1/1/00-12/31/00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16</xdr:colOff>
                <xdr:row>49</xdr:row>
                <xdr:rowOff>5</xdr:rowOff>
              </xdr:from>
              <xdr:to>
                <xdr:col>10</xdr:col>
                <xdr:colOff>86</xdr:colOff>
                <xdr:row>53</xdr:row>
                <xdr:rowOff>14</xdr:rowOff>
              </xdr:to>
            </anchor>
          </commentPr>
        </mc:Choice>
        <mc:Fallback/>
      </mc:AlternateContent>
    </comment>
    <comment ref="I51" authorId="0">
      <text>
        <r>
          <rPr>
            <b val="true"/>
            <sz val="8"/>
            <color rgb="FF000000"/>
            <rFont val="Tahoma"/>
            <family val="0"/>
          </rPr>
          <t xml:space="preserve">Daren Farmer:
</t>
        </r>
        <r>
          <rPr>
            <sz val="8"/>
            <color rgb="FF000000"/>
            <rFont val="Tahoma"/>
            <family val="0"/>
          </rPr>
          <t xml:space="preserve">4/30/00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14</xdr:colOff>
                <xdr:row>50</xdr:row>
                <xdr:rowOff>6</xdr:rowOff>
              </xdr:from>
              <xdr:to>
                <xdr:col>10</xdr:col>
                <xdr:colOff>82</xdr:colOff>
                <xdr:row>54</xdr:row>
                <xdr:rowOff>15</xdr:rowOff>
              </xdr:to>
            </anchor>
          </commentPr>
        </mc:Choice>
        <mc:Fallback/>
      </mc:AlternateContent>
    </comment>
    <comment ref="I53" authorId="0">
      <text>
        <r>
          <rPr>
            <b val="true"/>
            <sz val="8"/>
            <color rgb="FF000000"/>
            <rFont val="Tahoma"/>
            <family val="0"/>
          </rPr>
          <t xml:space="preserve">Daren Farmer:
</t>
        </r>
        <r>
          <rPr>
            <sz val="8"/>
            <color rgb="FF000000"/>
            <rFont val="Tahoma"/>
            <family val="0"/>
          </rPr>
          <t xml:space="preserve">3/31/00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14</xdr:colOff>
                <xdr:row>52</xdr:row>
                <xdr:rowOff>5</xdr:rowOff>
              </xdr:from>
              <xdr:to>
                <xdr:col>10</xdr:col>
                <xdr:colOff>82</xdr:colOff>
                <xdr:row>57</xdr:row>
                <xdr:rowOff>4</xdr:rowOff>
              </xdr:to>
            </anchor>
          </commentPr>
        </mc:Choice>
        <mc:Fallback/>
      </mc:AlternateContent>
    </comment>
    <comment ref="J33" authorId="0">
      <text>
        <r>
          <rPr>
            <b val="true"/>
            <sz val="8"/>
            <color rgb="FF000000"/>
            <rFont val="Tahoma"/>
            <family val="0"/>
          </rPr>
          <t xml:space="preserve">Daren Farmer:
</t>
        </r>
        <r>
          <rPr>
            <sz val="8"/>
            <color rgb="FF000000"/>
            <rFont val="Tahoma"/>
            <family val="0"/>
          </rPr>
          <t xml:space="preserve">10 Reliant Entex
25 EGM
10 EGM
10 Reliant entex
5 City of Garland
5 Entex
10 Western
15 Cokinos
10 Reliant Entex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14</xdr:colOff>
                <xdr:row>32</xdr:row>
                <xdr:rowOff>16</xdr:rowOff>
              </xdr:from>
              <xdr:to>
                <xdr:col>12</xdr:col>
                <xdr:colOff>19</xdr:colOff>
                <xdr:row>42</xdr:row>
                <xdr:rowOff>4</xdr:rowOff>
              </xdr:to>
            </anchor>
          </commentPr>
        </mc:Choice>
        <mc:Fallback/>
      </mc:AlternateContent>
    </comment>
    <comment ref="J38" authorId="0">
      <text>
        <r>
          <rPr>
            <b val="true"/>
            <sz val="8"/>
            <color rgb="FF000000"/>
            <rFont val="Tahoma"/>
            <family val="0"/>
          </rPr>
          <t xml:space="preserve">Daren Farmer:
</t>
        </r>
        <r>
          <rPr>
            <sz val="8"/>
            <color rgb="FF000000"/>
            <rFont val="Tahoma"/>
            <family val="0"/>
          </rPr>
          <t xml:space="preserve">-30 Tufco
10 Richardson
10 Burlington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14</xdr:colOff>
                <xdr:row>37</xdr:row>
                <xdr:rowOff>16</xdr:rowOff>
              </xdr:from>
              <xdr:to>
                <xdr:col>11</xdr:col>
                <xdr:colOff>61</xdr:colOff>
                <xdr:row>42</xdr:row>
                <xdr:rowOff>1</xdr:rowOff>
              </xdr:to>
            </anchor>
          </commentPr>
        </mc:Choice>
        <mc:Fallback/>
      </mc:AlternateContent>
    </comment>
    <comment ref="J44" authorId="0">
      <text>
        <r>
          <rPr>
            <b val="true"/>
            <sz val="8"/>
            <color rgb="FF000000"/>
            <rFont val="Tahoma"/>
            <family val="0"/>
          </rPr>
          <t xml:space="preserve">Daren Farmer:
</t>
        </r>
        <r>
          <rPr>
            <sz val="8"/>
            <color rgb="FF000000"/>
            <rFont val="Tahoma"/>
            <family val="0"/>
          </rPr>
          <t xml:space="preserve">15 North Central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14</xdr:colOff>
                <xdr:row>43</xdr:row>
                <xdr:rowOff>16</xdr:rowOff>
              </xdr:from>
              <xdr:to>
                <xdr:col>11</xdr:col>
                <xdr:colOff>61</xdr:colOff>
                <xdr:row>47</xdr:row>
                <xdr:rowOff>14</xdr:rowOff>
              </xdr:to>
            </anchor>
          </commentPr>
        </mc:Choice>
        <mc:Fallback/>
      </mc:AlternateContent>
    </comment>
  </commentList>
</comments>
</file>

<file path=xl/comments4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C48" authorId="0">
      <text>
        <r>
          <rPr>
            <b val="true"/>
            <sz val="8"/>
            <color rgb="FF000000"/>
            <rFont val="Tahoma"/>
            <family val="0"/>
          </rPr>
          <t xml:space="preserve">Daren Farmer:
</t>
        </r>
        <r>
          <rPr>
            <sz val="8"/>
            <color rgb="FF000000"/>
            <rFont val="Tahoma"/>
            <family val="0"/>
          </rPr>
          <t xml:space="preserve">3/31/00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46</xdr:row>
                <xdr:rowOff>6</xdr:rowOff>
              </xdr:from>
              <xdr:to>
                <xdr:col>4</xdr:col>
                <xdr:colOff>63</xdr:colOff>
                <xdr:row>51</xdr:row>
                <xdr:rowOff>3</xdr:rowOff>
              </xdr:to>
            </anchor>
          </commentPr>
        </mc:Choice>
        <mc:Fallback/>
      </mc:AlternateContent>
    </comment>
    <comment ref="C49" authorId="0">
      <text>
        <r>
          <rPr>
            <b val="true"/>
            <sz val="8"/>
            <color rgb="FF000000"/>
            <rFont val="Tahoma"/>
            <family val="0"/>
          </rPr>
          <t xml:space="preserve">Daren Farmer:
</t>
        </r>
        <r>
          <rPr>
            <sz val="8"/>
            <color rgb="FF000000"/>
            <rFont val="Tahoma"/>
            <family val="0"/>
          </rPr>
          <t xml:space="preserve">11/1/99-3/31/00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14</xdr:colOff>
                <xdr:row>48</xdr:row>
                <xdr:rowOff>6</xdr:rowOff>
              </xdr:from>
              <xdr:to>
                <xdr:col>4</xdr:col>
                <xdr:colOff>61</xdr:colOff>
                <xdr:row>53</xdr:row>
                <xdr:rowOff>9</xdr:rowOff>
              </xdr:to>
            </anchor>
          </commentPr>
        </mc:Choice>
        <mc:Fallback/>
      </mc:AlternateContent>
    </comment>
    <comment ref="C50" authorId="0">
      <text>
        <r>
          <rPr>
            <b val="true"/>
            <sz val="8"/>
            <color rgb="FF000000"/>
            <rFont val="Tahoma"/>
            <family val="0"/>
          </rPr>
          <t xml:space="preserve">Daren Farmer:
</t>
        </r>
        <r>
          <rPr>
            <sz val="8"/>
            <color rgb="FF000000"/>
            <rFont val="Tahoma"/>
            <family val="0"/>
          </rPr>
          <t xml:space="preserve">3/31/00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14</xdr:colOff>
                <xdr:row>49</xdr:row>
                <xdr:rowOff>5</xdr:rowOff>
              </xdr:from>
              <xdr:to>
                <xdr:col>4</xdr:col>
                <xdr:colOff>61</xdr:colOff>
                <xdr:row>53</xdr:row>
                <xdr:rowOff>14</xdr:rowOff>
              </xdr:to>
            </anchor>
          </commentPr>
        </mc:Choice>
        <mc:Fallback/>
      </mc:AlternateContent>
    </comment>
    <comment ref="C51" authorId="0">
      <text>
        <r>
          <rPr>
            <b val="true"/>
            <sz val="8"/>
            <color rgb="FF000000"/>
            <rFont val="Tahoma"/>
            <family val="0"/>
          </rPr>
          <t xml:space="preserve">Daren Farmer:
</t>
        </r>
        <r>
          <rPr>
            <sz val="8"/>
            <color rgb="FF000000"/>
            <rFont val="Tahoma"/>
            <family val="0"/>
          </rPr>
          <t xml:space="preserve">1/00-2/29/00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49</xdr:row>
                <xdr:rowOff>6</xdr:rowOff>
              </xdr:from>
              <xdr:to>
                <xdr:col>4</xdr:col>
                <xdr:colOff>63</xdr:colOff>
                <xdr:row>53</xdr:row>
                <xdr:rowOff>15</xdr:rowOff>
              </xdr:to>
            </anchor>
          </commentPr>
        </mc:Choice>
        <mc:Fallback/>
      </mc:AlternateContent>
    </comment>
    <comment ref="C64" authorId="0">
      <text>
        <r>
          <rPr>
            <b val="true"/>
            <sz val="8"/>
            <color rgb="FF000000"/>
            <rFont val="Tahoma"/>
            <family val="0"/>
          </rPr>
          <t xml:space="preserve">Daren Farmer:
</t>
        </r>
        <r>
          <rPr>
            <sz val="8"/>
            <color rgb="FF000000"/>
            <rFont val="Tahoma"/>
            <family val="0"/>
          </rPr>
          <t xml:space="preserve">3/31/00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14</xdr:colOff>
                <xdr:row>66</xdr:row>
                <xdr:rowOff>0</xdr:rowOff>
              </xdr:from>
              <xdr:to>
                <xdr:col>5</xdr:col>
                <xdr:colOff>0</xdr:colOff>
                <xdr:row>99</xdr:row>
                <xdr:rowOff>3</xdr:rowOff>
              </xdr:to>
            </anchor>
          </commentPr>
        </mc:Choice>
        <mc:Fallback/>
      </mc:AlternateContent>
    </comment>
    <comment ref="D42" authorId="0">
      <text>
        <r>
          <rPr>
            <b val="true"/>
            <sz val="8"/>
            <color rgb="FF000000"/>
            <rFont val="Tahoma"/>
            <family val="0"/>
          </rPr>
          <t xml:space="preserve">Daren Farmer:
</t>
        </r>
        <r>
          <rPr>
            <sz val="8"/>
            <color rgb="FF000000"/>
            <rFont val="Tahoma"/>
            <family val="0"/>
          </rPr>
          <t xml:space="preserve">Contract terminations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16</xdr:colOff>
                <xdr:row>40</xdr:row>
                <xdr:rowOff>11</xdr:rowOff>
              </xdr:from>
              <xdr:to>
                <xdr:col>5</xdr:col>
                <xdr:colOff>65</xdr:colOff>
                <xdr:row>44</xdr:row>
                <xdr:rowOff>11</xdr:rowOff>
              </xdr:to>
            </anchor>
          </commentPr>
        </mc:Choice>
        <mc:Fallback/>
      </mc:AlternateContent>
    </comment>
    <comment ref="D52" authorId="0">
      <text>
        <r>
          <rPr>
            <b val="true"/>
            <sz val="8"/>
            <color rgb="FF000000"/>
            <rFont val="Tahoma"/>
            <family val="0"/>
          </rPr>
          <t xml:space="preserve">Daren Farmer:
</t>
        </r>
        <r>
          <rPr>
            <sz val="8"/>
            <color rgb="FF000000"/>
            <rFont val="Tahoma"/>
            <family val="0"/>
          </rPr>
          <t xml:space="preserve">10,000 can be recalled @ $3.00 if index prints above $3.00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14</xdr:colOff>
                <xdr:row>50</xdr:row>
                <xdr:rowOff>3</xdr:rowOff>
              </xdr:from>
              <xdr:to>
                <xdr:col>5</xdr:col>
                <xdr:colOff>61</xdr:colOff>
                <xdr:row>54</xdr:row>
                <xdr:rowOff>14</xdr:rowOff>
              </xdr:to>
            </anchor>
          </commentPr>
        </mc:Choice>
        <mc:Fallback/>
      </mc:AlternateContent>
    </comment>
    <comment ref="E51" authorId="0">
      <text>
        <r>
          <rPr>
            <b val="true"/>
            <sz val="8"/>
            <color rgb="FF000000"/>
            <rFont val="Tahoma"/>
            <family val="0"/>
          </rPr>
          <t xml:space="preserve">Daren Farmer:
</t>
        </r>
        <r>
          <rPr>
            <sz val="8"/>
            <color rgb="FF000000"/>
            <rFont val="Tahoma"/>
            <family val="0"/>
          </rPr>
          <t xml:space="preserve">3/31/00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16</xdr:colOff>
                <xdr:row>49</xdr:row>
                <xdr:rowOff>6</xdr:rowOff>
              </xdr:from>
              <xdr:to>
                <xdr:col>6</xdr:col>
                <xdr:colOff>63</xdr:colOff>
                <xdr:row>53</xdr:row>
                <xdr:rowOff>15</xdr:rowOff>
              </xdr:to>
            </anchor>
          </commentPr>
        </mc:Choice>
        <mc:Fallback/>
      </mc:AlternateContent>
    </comment>
    <comment ref="I33" authorId="0">
      <text>
        <r>
          <rPr>
            <b val="true"/>
            <sz val="8"/>
            <color rgb="FF000000"/>
            <rFont val="Tahoma"/>
            <family val="0"/>
          </rPr>
          <t xml:space="preserve">Daren Farmer:
</t>
        </r>
        <r>
          <rPr>
            <sz val="8"/>
            <color rgb="FF000000"/>
            <rFont val="Tahoma"/>
            <family val="0"/>
          </rPr>
          <t xml:space="preserve">7.5 Forest
0 Mitchell Exchange
20 Aquila
10Aquila
5 Western
5 Texaco
5 Western
5 Texaco
5 TET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6</xdr:colOff>
                <xdr:row>20</xdr:row>
                <xdr:rowOff>10</xdr:rowOff>
              </xdr:from>
              <xdr:to>
                <xdr:col>12</xdr:col>
                <xdr:colOff>0</xdr:colOff>
                <xdr:row>31</xdr:row>
                <xdr:rowOff>6</xdr:rowOff>
              </xdr:to>
            </anchor>
          </commentPr>
        </mc:Choice>
        <mc:Fallback/>
      </mc:AlternateContent>
    </comment>
    <comment ref="I40" authorId="0">
      <text>
        <r>
          <rPr>
            <b val="true"/>
            <sz val="8"/>
            <color rgb="FF000000"/>
            <rFont val="Tahoma"/>
            <family val="0"/>
          </rPr>
          <t xml:space="preserve">Daren Farmer:
</t>
        </r>
        <r>
          <rPr>
            <sz val="8"/>
            <color rgb="FF000000"/>
            <rFont val="Tahoma"/>
            <family val="0"/>
          </rPr>
          <t xml:space="preserve">20 Western
20 Aquila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14</xdr:colOff>
                <xdr:row>39</xdr:row>
                <xdr:rowOff>16</xdr:rowOff>
              </xdr:from>
              <xdr:to>
                <xdr:col>10</xdr:col>
                <xdr:colOff>82</xdr:colOff>
                <xdr:row>44</xdr:row>
                <xdr:rowOff>1</xdr:rowOff>
              </xdr:to>
            </anchor>
          </commentPr>
        </mc:Choice>
        <mc:Fallback/>
      </mc:AlternateContent>
    </comment>
    <comment ref="I48" authorId="0">
      <text>
        <r>
          <rPr>
            <b val="true"/>
            <sz val="8"/>
            <color rgb="FF000000"/>
            <rFont val="Tahoma"/>
            <family val="0"/>
          </rPr>
          <t xml:space="preserve">Daren Farmer:
</t>
        </r>
        <r>
          <rPr>
            <sz val="8"/>
            <color rgb="FF000000"/>
            <rFont val="Tahoma"/>
            <family val="0"/>
          </rPr>
          <t xml:space="preserve">11/30/00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16</xdr:colOff>
                <xdr:row>46</xdr:row>
                <xdr:rowOff>6</xdr:rowOff>
              </xdr:from>
              <xdr:to>
                <xdr:col>10</xdr:col>
                <xdr:colOff>86</xdr:colOff>
                <xdr:row>51</xdr:row>
                <xdr:rowOff>3</xdr:rowOff>
              </xdr:to>
            </anchor>
          </commentPr>
        </mc:Choice>
        <mc:Fallback/>
      </mc:AlternateContent>
    </comment>
    <comment ref="I49" authorId="0">
      <text>
        <r>
          <rPr>
            <b val="true"/>
            <sz val="8"/>
            <color rgb="FF000000"/>
            <rFont val="Tahoma"/>
            <family val="0"/>
          </rPr>
          <t xml:space="preserve">Daren Farmer:
</t>
        </r>
        <r>
          <rPr>
            <sz val="8"/>
            <color rgb="FF000000"/>
            <rFont val="Tahoma"/>
            <family val="0"/>
          </rPr>
          <t xml:space="preserve">2/1/00-1/31/01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14</xdr:colOff>
                <xdr:row>48</xdr:row>
                <xdr:rowOff>5</xdr:rowOff>
              </xdr:from>
              <xdr:to>
                <xdr:col>10</xdr:col>
                <xdr:colOff>82</xdr:colOff>
                <xdr:row>52</xdr:row>
                <xdr:rowOff>14</xdr:rowOff>
              </xdr:to>
            </anchor>
          </commentPr>
        </mc:Choice>
        <mc:Fallback/>
      </mc:AlternateContent>
    </comment>
    <comment ref="I50" authorId="0">
      <text>
        <r>
          <rPr>
            <b val="true"/>
            <sz val="8"/>
            <color rgb="FF000000"/>
            <rFont val="Tahoma"/>
            <family val="0"/>
          </rPr>
          <t xml:space="preserve">Daren Farmer:
</t>
        </r>
        <r>
          <rPr>
            <sz val="8"/>
            <color rgb="FF000000"/>
            <rFont val="Tahoma"/>
            <family val="0"/>
          </rPr>
          <t xml:space="preserve">1/1/00-12/31/00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16</xdr:colOff>
                <xdr:row>49</xdr:row>
                <xdr:rowOff>5</xdr:rowOff>
              </xdr:from>
              <xdr:to>
                <xdr:col>10</xdr:col>
                <xdr:colOff>86</xdr:colOff>
                <xdr:row>53</xdr:row>
                <xdr:rowOff>14</xdr:rowOff>
              </xdr:to>
            </anchor>
          </commentPr>
        </mc:Choice>
        <mc:Fallback/>
      </mc:AlternateContent>
    </comment>
    <comment ref="I51" authorId="0">
      <text>
        <r>
          <rPr>
            <b val="true"/>
            <sz val="8"/>
            <color rgb="FF000000"/>
            <rFont val="Tahoma"/>
            <family val="0"/>
          </rPr>
          <t xml:space="preserve">Daren Farmer:
</t>
        </r>
        <r>
          <rPr>
            <sz val="8"/>
            <color rgb="FF000000"/>
            <rFont val="Tahoma"/>
            <family val="0"/>
          </rPr>
          <t xml:space="preserve">3/31/00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14</xdr:colOff>
                <xdr:row>50</xdr:row>
                <xdr:rowOff>6</xdr:rowOff>
              </xdr:from>
              <xdr:to>
                <xdr:col>10</xdr:col>
                <xdr:colOff>82</xdr:colOff>
                <xdr:row>54</xdr:row>
                <xdr:rowOff>15</xdr:rowOff>
              </xdr:to>
            </anchor>
          </commentPr>
        </mc:Choice>
        <mc:Fallback/>
      </mc:AlternateContent>
    </comment>
    <comment ref="I53" authorId="0">
      <text>
        <r>
          <rPr>
            <b val="true"/>
            <sz val="8"/>
            <color rgb="FF000000"/>
            <rFont val="Tahoma"/>
            <family val="0"/>
          </rPr>
          <t xml:space="preserve">Daren Farmer:
</t>
        </r>
        <r>
          <rPr>
            <sz val="8"/>
            <color rgb="FF000000"/>
            <rFont val="Tahoma"/>
            <family val="0"/>
          </rPr>
          <t xml:space="preserve">3/31/00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14</xdr:colOff>
                <xdr:row>52</xdr:row>
                <xdr:rowOff>5</xdr:rowOff>
              </xdr:from>
              <xdr:to>
                <xdr:col>10</xdr:col>
                <xdr:colOff>82</xdr:colOff>
                <xdr:row>57</xdr:row>
                <xdr:rowOff>4</xdr:rowOff>
              </xdr:to>
            </anchor>
          </commentPr>
        </mc:Choice>
        <mc:Fallback/>
      </mc:AlternateContent>
    </comment>
    <comment ref="J33" authorId="0">
      <text>
        <r>
          <rPr>
            <b val="true"/>
            <sz val="8"/>
            <color rgb="FF000000"/>
            <rFont val="Tahoma"/>
            <family val="0"/>
          </rPr>
          <t xml:space="preserve">Daren Farmer:
</t>
        </r>
        <r>
          <rPr>
            <sz val="8"/>
            <color rgb="FF000000"/>
            <rFont val="Tahoma"/>
            <family val="0"/>
          </rPr>
          <t xml:space="preserve">10 Reliant Entex
25 EGM
10 EGM
10 Reliant entex
5 City of Garland
5 Entex
10 Western
15 Cokinos
10 Reliant Entex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14</xdr:colOff>
                <xdr:row>32</xdr:row>
                <xdr:rowOff>16</xdr:rowOff>
              </xdr:from>
              <xdr:to>
                <xdr:col>12</xdr:col>
                <xdr:colOff>19</xdr:colOff>
                <xdr:row>42</xdr:row>
                <xdr:rowOff>4</xdr:rowOff>
              </xdr:to>
            </anchor>
          </commentPr>
        </mc:Choice>
        <mc:Fallback/>
      </mc:AlternateContent>
    </comment>
    <comment ref="J38" authorId="0">
      <text>
        <r>
          <rPr>
            <b val="true"/>
            <sz val="8"/>
            <color rgb="FF000000"/>
            <rFont val="Tahoma"/>
            <family val="0"/>
          </rPr>
          <t xml:space="preserve">Daren Farmer:
</t>
        </r>
        <r>
          <rPr>
            <sz val="8"/>
            <color rgb="FF000000"/>
            <rFont val="Tahoma"/>
            <family val="0"/>
          </rPr>
          <t xml:space="preserve">-30 Tufco
10 Richardson
10 Burlington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14</xdr:colOff>
                <xdr:row>37</xdr:row>
                <xdr:rowOff>16</xdr:rowOff>
              </xdr:from>
              <xdr:to>
                <xdr:col>11</xdr:col>
                <xdr:colOff>61</xdr:colOff>
                <xdr:row>42</xdr:row>
                <xdr:rowOff>1</xdr:rowOff>
              </xdr:to>
            </anchor>
          </commentPr>
        </mc:Choice>
        <mc:Fallback/>
      </mc:AlternateContent>
    </comment>
    <comment ref="J44" authorId="0">
      <text>
        <r>
          <rPr>
            <b val="true"/>
            <sz val="8"/>
            <color rgb="FF000000"/>
            <rFont val="Tahoma"/>
            <family val="0"/>
          </rPr>
          <t xml:space="preserve">Daren Farmer:
</t>
        </r>
        <r>
          <rPr>
            <sz val="8"/>
            <color rgb="FF000000"/>
            <rFont val="Tahoma"/>
            <family val="0"/>
          </rPr>
          <t xml:space="preserve">15 North Central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14</xdr:colOff>
                <xdr:row>43</xdr:row>
                <xdr:rowOff>16</xdr:rowOff>
              </xdr:from>
              <xdr:to>
                <xdr:col>11</xdr:col>
                <xdr:colOff>61</xdr:colOff>
                <xdr:row>47</xdr:row>
                <xdr:rowOff>14</xdr:rowOff>
              </xdr:to>
            </anchor>
          </commentPr>
        </mc:Choice>
        <mc:Fallback/>
      </mc:AlternateContent>
    </comment>
  </commentList>
</comments>
</file>

<file path=xl/comments5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C48" authorId="0">
      <text>
        <r>
          <rPr>
            <b val="true"/>
            <sz val="8"/>
            <color rgb="FF000000"/>
            <rFont val="Tahoma"/>
            <family val="0"/>
          </rPr>
          <t xml:space="preserve">Daren Farmer:
</t>
        </r>
        <r>
          <rPr>
            <sz val="8"/>
            <color rgb="FF000000"/>
            <rFont val="Tahoma"/>
            <family val="0"/>
          </rPr>
          <t xml:space="preserve">3/31/00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46</xdr:row>
                <xdr:rowOff>6</xdr:rowOff>
              </xdr:from>
              <xdr:to>
                <xdr:col>4</xdr:col>
                <xdr:colOff>63</xdr:colOff>
                <xdr:row>51</xdr:row>
                <xdr:rowOff>3</xdr:rowOff>
              </xdr:to>
            </anchor>
          </commentPr>
        </mc:Choice>
        <mc:Fallback/>
      </mc:AlternateContent>
    </comment>
    <comment ref="C49" authorId="0">
      <text>
        <r>
          <rPr>
            <b val="true"/>
            <sz val="8"/>
            <color rgb="FF000000"/>
            <rFont val="Tahoma"/>
            <family val="0"/>
          </rPr>
          <t xml:space="preserve">Daren Farmer:
</t>
        </r>
        <r>
          <rPr>
            <sz val="8"/>
            <color rgb="FF000000"/>
            <rFont val="Tahoma"/>
            <family val="0"/>
          </rPr>
          <t xml:space="preserve">11/1/99-3/31/00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14</xdr:colOff>
                <xdr:row>48</xdr:row>
                <xdr:rowOff>6</xdr:rowOff>
              </xdr:from>
              <xdr:to>
                <xdr:col>4</xdr:col>
                <xdr:colOff>61</xdr:colOff>
                <xdr:row>53</xdr:row>
                <xdr:rowOff>9</xdr:rowOff>
              </xdr:to>
            </anchor>
          </commentPr>
        </mc:Choice>
        <mc:Fallback/>
      </mc:AlternateContent>
    </comment>
    <comment ref="C50" authorId="0">
      <text>
        <r>
          <rPr>
            <b val="true"/>
            <sz val="8"/>
            <color rgb="FF000000"/>
            <rFont val="Tahoma"/>
            <family val="0"/>
          </rPr>
          <t xml:space="preserve">Daren Farmer:
</t>
        </r>
        <r>
          <rPr>
            <sz val="8"/>
            <color rgb="FF000000"/>
            <rFont val="Tahoma"/>
            <family val="0"/>
          </rPr>
          <t xml:space="preserve">3/31/00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14</xdr:colOff>
                <xdr:row>49</xdr:row>
                <xdr:rowOff>5</xdr:rowOff>
              </xdr:from>
              <xdr:to>
                <xdr:col>4</xdr:col>
                <xdr:colOff>61</xdr:colOff>
                <xdr:row>53</xdr:row>
                <xdr:rowOff>14</xdr:rowOff>
              </xdr:to>
            </anchor>
          </commentPr>
        </mc:Choice>
        <mc:Fallback/>
      </mc:AlternateContent>
    </comment>
    <comment ref="C51" authorId="0">
      <text>
        <r>
          <rPr>
            <b val="true"/>
            <sz val="8"/>
            <color rgb="FF000000"/>
            <rFont val="Tahoma"/>
            <family val="0"/>
          </rPr>
          <t xml:space="preserve">Daren Farmer:
</t>
        </r>
        <r>
          <rPr>
            <sz val="8"/>
            <color rgb="FF000000"/>
            <rFont val="Tahoma"/>
            <family val="0"/>
          </rPr>
          <t xml:space="preserve">1/00-2/29/00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49</xdr:row>
                <xdr:rowOff>6</xdr:rowOff>
              </xdr:from>
              <xdr:to>
                <xdr:col>4</xdr:col>
                <xdr:colOff>63</xdr:colOff>
                <xdr:row>53</xdr:row>
                <xdr:rowOff>15</xdr:rowOff>
              </xdr:to>
            </anchor>
          </commentPr>
        </mc:Choice>
        <mc:Fallback/>
      </mc:AlternateContent>
    </comment>
    <comment ref="C64" authorId="0">
      <text>
        <r>
          <rPr>
            <b val="true"/>
            <sz val="8"/>
            <color rgb="FF000000"/>
            <rFont val="Tahoma"/>
            <family val="0"/>
          </rPr>
          <t xml:space="preserve">Daren Farmer:
</t>
        </r>
        <r>
          <rPr>
            <sz val="8"/>
            <color rgb="FF000000"/>
            <rFont val="Tahoma"/>
            <family val="0"/>
          </rPr>
          <t xml:space="preserve">3/31/00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14</xdr:colOff>
                <xdr:row>66</xdr:row>
                <xdr:rowOff>0</xdr:rowOff>
              </xdr:from>
              <xdr:to>
                <xdr:col>5</xdr:col>
                <xdr:colOff>0</xdr:colOff>
                <xdr:row>99</xdr:row>
                <xdr:rowOff>3</xdr:rowOff>
              </xdr:to>
            </anchor>
          </commentPr>
        </mc:Choice>
        <mc:Fallback/>
      </mc:AlternateContent>
    </comment>
    <comment ref="D42" authorId="0">
      <text>
        <r>
          <rPr>
            <b val="true"/>
            <sz val="8"/>
            <color rgb="FF000000"/>
            <rFont val="Tahoma"/>
            <family val="0"/>
          </rPr>
          <t xml:space="preserve">Daren Farmer:
</t>
        </r>
        <r>
          <rPr>
            <sz val="8"/>
            <color rgb="FF000000"/>
            <rFont val="Tahoma"/>
            <family val="0"/>
          </rPr>
          <t xml:space="preserve">Contract terminations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16</xdr:colOff>
                <xdr:row>40</xdr:row>
                <xdr:rowOff>11</xdr:rowOff>
              </xdr:from>
              <xdr:to>
                <xdr:col>5</xdr:col>
                <xdr:colOff>65</xdr:colOff>
                <xdr:row>44</xdr:row>
                <xdr:rowOff>11</xdr:rowOff>
              </xdr:to>
            </anchor>
          </commentPr>
        </mc:Choice>
        <mc:Fallback/>
      </mc:AlternateContent>
    </comment>
    <comment ref="D52" authorId="0">
      <text>
        <r>
          <rPr>
            <b val="true"/>
            <sz val="8"/>
            <color rgb="FF000000"/>
            <rFont val="Tahoma"/>
            <family val="0"/>
          </rPr>
          <t xml:space="preserve">Daren Farmer:
</t>
        </r>
        <r>
          <rPr>
            <sz val="8"/>
            <color rgb="FF000000"/>
            <rFont val="Tahoma"/>
            <family val="0"/>
          </rPr>
          <t xml:space="preserve">10,000 can be recalled @ $3.00 if index prints above $3.00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14</xdr:colOff>
                <xdr:row>50</xdr:row>
                <xdr:rowOff>3</xdr:rowOff>
              </xdr:from>
              <xdr:to>
                <xdr:col>5</xdr:col>
                <xdr:colOff>61</xdr:colOff>
                <xdr:row>54</xdr:row>
                <xdr:rowOff>14</xdr:rowOff>
              </xdr:to>
            </anchor>
          </commentPr>
        </mc:Choice>
        <mc:Fallback/>
      </mc:AlternateContent>
    </comment>
    <comment ref="I33" authorId="0">
      <text>
        <r>
          <rPr>
            <b val="true"/>
            <sz val="8"/>
            <color rgb="FF000000"/>
            <rFont val="Tahoma"/>
            <family val="0"/>
          </rPr>
          <t xml:space="preserve">Daren Farmer:
</t>
        </r>
        <r>
          <rPr>
            <sz val="8"/>
            <color rgb="FF000000"/>
            <rFont val="Tahoma"/>
            <family val="0"/>
          </rPr>
          <t xml:space="preserve">7.5 Forest
0 Mitchell Exchange
20 Aquila
10Aquila
5 Western
5 Texaco
5 Western
5 Texaco
5 TET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6</xdr:colOff>
                <xdr:row>20</xdr:row>
                <xdr:rowOff>10</xdr:rowOff>
              </xdr:from>
              <xdr:to>
                <xdr:col>12</xdr:col>
                <xdr:colOff>0</xdr:colOff>
                <xdr:row>31</xdr:row>
                <xdr:rowOff>6</xdr:rowOff>
              </xdr:to>
            </anchor>
          </commentPr>
        </mc:Choice>
        <mc:Fallback/>
      </mc:AlternateContent>
    </comment>
    <comment ref="I40" authorId="0">
      <text>
        <r>
          <rPr>
            <b val="true"/>
            <sz val="8"/>
            <color rgb="FF000000"/>
            <rFont val="Tahoma"/>
            <family val="0"/>
          </rPr>
          <t xml:space="preserve">Daren Farmer:
</t>
        </r>
        <r>
          <rPr>
            <sz val="8"/>
            <color rgb="FF000000"/>
            <rFont val="Tahoma"/>
            <family val="0"/>
          </rPr>
          <t xml:space="preserve">20 Western
20 Aquila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14</xdr:colOff>
                <xdr:row>39</xdr:row>
                <xdr:rowOff>16</xdr:rowOff>
              </xdr:from>
              <xdr:to>
                <xdr:col>10</xdr:col>
                <xdr:colOff>82</xdr:colOff>
                <xdr:row>44</xdr:row>
                <xdr:rowOff>1</xdr:rowOff>
              </xdr:to>
            </anchor>
          </commentPr>
        </mc:Choice>
        <mc:Fallback/>
      </mc:AlternateContent>
    </comment>
    <comment ref="I48" authorId="0">
      <text>
        <r>
          <rPr>
            <b val="true"/>
            <sz val="8"/>
            <color rgb="FF000000"/>
            <rFont val="Tahoma"/>
            <family val="0"/>
          </rPr>
          <t xml:space="preserve">Daren Farmer:
</t>
        </r>
        <r>
          <rPr>
            <sz val="8"/>
            <color rgb="FF000000"/>
            <rFont val="Tahoma"/>
            <family val="0"/>
          </rPr>
          <t xml:space="preserve">11/30/00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16</xdr:colOff>
                <xdr:row>46</xdr:row>
                <xdr:rowOff>6</xdr:rowOff>
              </xdr:from>
              <xdr:to>
                <xdr:col>10</xdr:col>
                <xdr:colOff>86</xdr:colOff>
                <xdr:row>51</xdr:row>
                <xdr:rowOff>3</xdr:rowOff>
              </xdr:to>
            </anchor>
          </commentPr>
        </mc:Choice>
        <mc:Fallback/>
      </mc:AlternateContent>
    </comment>
    <comment ref="I49" authorId="0">
      <text>
        <r>
          <rPr>
            <b val="true"/>
            <sz val="8"/>
            <color rgb="FF000000"/>
            <rFont val="Tahoma"/>
            <family val="0"/>
          </rPr>
          <t xml:space="preserve">Daren Farmer:
</t>
        </r>
        <r>
          <rPr>
            <sz val="8"/>
            <color rgb="FF000000"/>
            <rFont val="Tahoma"/>
            <family val="0"/>
          </rPr>
          <t xml:space="preserve">2/1/00-1/31/01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14</xdr:colOff>
                <xdr:row>48</xdr:row>
                <xdr:rowOff>5</xdr:rowOff>
              </xdr:from>
              <xdr:to>
                <xdr:col>10</xdr:col>
                <xdr:colOff>82</xdr:colOff>
                <xdr:row>52</xdr:row>
                <xdr:rowOff>14</xdr:rowOff>
              </xdr:to>
            </anchor>
          </commentPr>
        </mc:Choice>
        <mc:Fallback/>
      </mc:AlternateContent>
    </comment>
    <comment ref="I50" authorId="0">
      <text>
        <r>
          <rPr>
            <b val="true"/>
            <sz val="8"/>
            <color rgb="FF000000"/>
            <rFont val="Tahoma"/>
            <family val="0"/>
          </rPr>
          <t xml:space="preserve">Daren Farmer:
</t>
        </r>
        <r>
          <rPr>
            <sz val="8"/>
            <color rgb="FF000000"/>
            <rFont val="Tahoma"/>
            <family val="0"/>
          </rPr>
          <t xml:space="preserve">1/1/00-12/31/00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16</xdr:colOff>
                <xdr:row>49</xdr:row>
                <xdr:rowOff>5</xdr:rowOff>
              </xdr:from>
              <xdr:to>
                <xdr:col>10</xdr:col>
                <xdr:colOff>86</xdr:colOff>
                <xdr:row>53</xdr:row>
                <xdr:rowOff>14</xdr:rowOff>
              </xdr:to>
            </anchor>
          </commentPr>
        </mc:Choice>
        <mc:Fallback/>
      </mc:AlternateContent>
    </comment>
    <comment ref="I51" authorId="0">
      <text>
        <r>
          <rPr>
            <b val="true"/>
            <sz val="8"/>
            <color rgb="FF000000"/>
            <rFont val="Tahoma"/>
            <family val="0"/>
          </rPr>
          <t xml:space="preserve">Daren Farmer:
</t>
        </r>
        <r>
          <rPr>
            <sz val="8"/>
            <color rgb="FF000000"/>
            <rFont val="Tahoma"/>
            <family val="0"/>
          </rPr>
          <t xml:space="preserve">3/31/00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14</xdr:colOff>
                <xdr:row>50</xdr:row>
                <xdr:rowOff>6</xdr:rowOff>
              </xdr:from>
              <xdr:to>
                <xdr:col>10</xdr:col>
                <xdr:colOff>82</xdr:colOff>
                <xdr:row>54</xdr:row>
                <xdr:rowOff>15</xdr:rowOff>
              </xdr:to>
            </anchor>
          </commentPr>
        </mc:Choice>
        <mc:Fallback/>
      </mc:AlternateContent>
    </comment>
    <comment ref="I53" authorId="0">
      <text>
        <r>
          <rPr>
            <b val="true"/>
            <sz val="8"/>
            <color rgb="FF000000"/>
            <rFont val="Tahoma"/>
            <family val="0"/>
          </rPr>
          <t xml:space="preserve">Daren Farmer:
</t>
        </r>
        <r>
          <rPr>
            <sz val="8"/>
            <color rgb="FF000000"/>
            <rFont val="Tahoma"/>
            <family val="0"/>
          </rPr>
          <t xml:space="preserve">3/31/00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14</xdr:colOff>
                <xdr:row>52</xdr:row>
                <xdr:rowOff>5</xdr:rowOff>
              </xdr:from>
              <xdr:to>
                <xdr:col>10</xdr:col>
                <xdr:colOff>82</xdr:colOff>
                <xdr:row>57</xdr:row>
                <xdr:rowOff>4</xdr:rowOff>
              </xdr:to>
            </anchor>
          </commentPr>
        </mc:Choice>
        <mc:Fallback/>
      </mc:AlternateContent>
    </comment>
    <comment ref="J33" authorId="0">
      <text>
        <r>
          <rPr>
            <b val="true"/>
            <sz val="8"/>
            <color rgb="FF000000"/>
            <rFont val="Tahoma"/>
            <family val="0"/>
          </rPr>
          <t xml:space="preserve">Daren Farmer:
</t>
        </r>
        <r>
          <rPr>
            <sz val="8"/>
            <color rgb="FF000000"/>
            <rFont val="Tahoma"/>
            <family val="0"/>
          </rPr>
          <t xml:space="preserve">10 Reliant Entex
25 EGM
10 EGM
10 Reliant entex
5 City of Garland
5 Entex
10 Western
15 Cokinos
10 Reliant Entex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14</xdr:colOff>
                <xdr:row>32</xdr:row>
                <xdr:rowOff>16</xdr:rowOff>
              </xdr:from>
              <xdr:to>
                <xdr:col>12</xdr:col>
                <xdr:colOff>19</xdr:colOff>
                <xdr:row>42</xdr:row>
                <xdr:rowOff>4</xdr:rowOff>
              </xdr:to>
            </anchor>
          </commentPr>
        </mc:Choice>
        <mc:Fallback/>
      </mc:AlternateContent>
    </comment>
    <comment ref="J38" authorId="0">
      <text>
        <r>
          <rPr>
            <b val="true"/>
            <sz val="8"/>
            <color rgb="FF000000"/>
            <rFont val="Tahoma"/>
            <family val="0"/>
          </rPr>
          <t xml:space="preserve">Daren Farmer:
</t>
        </r>
        <r>
          <rPr>
            <sz val="8"/>
            <color rgb="FF000000"/>
            <rFont val="Tahoma"/>
            <family val="0"/>
          </rPr>
          <t xml:space="preserve">-30 Tufco
10 Richardson
10 Burlington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14</xdr:colOff>
                <xdr:row>37</xdr:row>
                <xdr:rowOff>16</xdr:rowOff>
              </xdr:from>
              <xdr:to>
                <xdr:col>11</xdr:col>
                <xdr:colOff>61</xdr:colOff>
                <xdr:row>42</xdr:row>
                <xdr:rowOff>1</xdr:rowOff>
              </xdr:to>
            </anchor>
          </commentPr>
        </mc:Choice>
        <mc:Fallback/>
      </mc:AlternateContent>
    </comment>
    <comment ref="J44" authorId="0">
      <text>
        <r>
          <rPr>
            <b val="true"/>
            <sz val="8"/>
            <color rgb="FF000000"/>
            <rFont val="Tahoma"/>
            <family val="0"/>
          </rPr>
          <t xml:space="preserve">Daren Farmer:
</t>
        </r>
        <r>
          <rPr>
            <sz val="8"/>
            <color rgb="FF000000"/>
            <rFont val="Tahoma"/>
            <family val="0"/>
          </rPr>
          <t xml:space="preserve">15 North Central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14</xdr:colOff>
                <xdr:row>43</xdr:row>
                <xdr:rowOff>16</xdr:rowOff>
              </xdr:from>
              <xdr:to>
                <xdr:col>11</xdr:col>
                <xdr:colOff>61</xdr:colOff>
                <xdr:row>47</xdr:row>
                <xdr:rowOff>14</xdr:rowOff>
              </xdr:to>
            </anchor>
          </commentPr>
        </mc:Choice>
        <mc:Fallback/>
      </mc:AlternateContent>
    </comment>
  </commentList>
</comments>
</file>

<file path=xl/comments6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C48" authorId="0">
      <text>
        <r>
          <rPr>
            <b val="true"/>
            <sz val="8"/>
            <color rgb="FF000000"/>
            <rFont val="Tahoma"/>
            <family val="0"/>
          </rPr>
          <t xml:space="preserve">Daren Farmer:
</t>
        </r>
        <r>
          <rPr>
            <sz val="8"/>
            <color rgb="FF000000"/>
            <rFont val="Tahoma"/>
            <family val="0"/>
          </rPr>
          <t xml:space="preserve">3/31/00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46</xdr:row>
                <xdr:rowOff>6</xdr:rowOff>
              </xdr:from>
              <xdr:to>
                <xdr:col>4</xdr:col>
                <xdr:colOff>63</xdr:colOff>
                <xdr:row>51</xdr:row>
                <xdr:rowOff>3</xdr:rowOff>
              </xdr:to>
            </anchor>
          </commentPr>
        </mc:Choice>
        <mc:Fallback/>
      </mc:AlternateContent>
    </comment>
    <comment ref="C49" authorId="0">
      <text>
        <r>
          <rPr>
            <b val="true"/>
            <sz val="8"/>
            <color rgb="FF000000"/>
            <rFont val="Tahoma"/>
            <family val="0"/>
          </rPr>
          <t xml:space="preserve">Daren Farmer:
</t>
        </r>
        <r>
          <rPr>
            <sz val="8"/>
            <color rgb="FF000000"/>
            <rFont val="Tahoma"/>
            <family val="0"/>
          </rPr>
          <t xml:space="preserve">11/1/99-3/31/00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14</xdr:colOff>
                <xdr:row>48</xdr:row>
                <xdr:rowOff>6</xdr:rowOff>
              </xdr:from>
              <xdr:to>
                <xdr:col>4</xdr:col>
                <xdr:colOff>61</xdr:colOff>
                <xdr:row>53</xdr:row>
                <xdr:rowOff>9</xdr:rowOff>
              </xdr:to>
            </anchor>
          </commentPr>
        </mc:Choice>
        <mc:Fallback/>
      </mc:AlternateContent>
    </comment>
    <comment ref="C50" authorId="0">
      <text>
        <r>
          <rPr>
            <b val="true"/>
            <sz val="8"/>
            <color rgb="FF000000"/>
            <rFont val="Tahoma"/>
            <family val="0"/>
          </rPr>
          <t xml:space="preserve">Daren Farmer:
</t>
        </r>
        <r>
          <rPr>
            <sz val="8"/>
            <color rgb="FF000000"/>
            <rFont val="Tahoma"/>
            <family val="0"/>
          </rPr>
          <t xml:space="preserve">3/31/00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14</xdr:colOff>
                <xdr:row>49</xdr:row>
                <xdr:rowOff>5</xdr:rowOff>
              </xdr:from>
              <xdr:to>
                <xdr:col>4</xdr:col>
                <xdr:colOff>61</xdr:colOff>
                <xdr:row>53</xdr:row>
                <xdr:rowOff>14</xdr:rowOff>
              </xdr:to>
            </anchor>
          </commentPr>
        </mc:Choice>
        <mc:Fallback/>
      </mc:AlternateContent>
    </comment>
    <comment ref="C85" authorId="0">
      <text>
        <r>
          <rPr>
            <b val="true"/>
            <sz val="8"/>
            <color rgb="FF000000"/>
            <rFont val="Tahoma"/>
            <family val="0"/>
          </rPr>
          <t xml:space="preserve">Daren Farmer:
</t>
        </r>
        <r>
          <rPr>
            <sz val="8"/>
            <color rgb="FF000000"/>
            <rFont val="Tahoma"/>
            <family val="0"/>
          </rPr>
          <t xml:space="preserve">3/31/00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14</xdr:colOff>
                <xdr:row>87</xdr:row>
                <xdr:rowOff>0</xdr:rowOff>
              </xdr:from>
              <xdr:to>
                <xdr:col>5</xdr:col>
                <xdr:colOff>0</xdr:colOff>
                <xdr:row>93</xdr:row>
                <xdr:rowOff>4</xdr:rowOff>
              </xdr:to>
            </anchor>
          </commentPr>
        </mc:Choice>
        <mc:Fallback/>
      </mc:AlternateContent>
    </comment>
    <comment ref="I33" authorId="0">
      <text>
        <r>
          <rPr>
            <b val="true"/>
            <sz val="8"/>
            <color rgb="FF000000"/>
            <rFont val="Tahoma"/>
            <family val="0"/>
          </rPr>
          <t xml:space="preserve">Daren Farmer:
</t>
        </r>
        <r>
          <rPr>
            <sz val="8"/>
            <color rgb="FF000000"/>
            <rFont val="Tahoma"/>
            <family val="0"/>
          </rPr>
          <t xml:space="preserve">7.5 Forest Term
20Aquila Term
10 KN Base
20 Aquila Base
15 Mitchell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6</xdr:colOff>
                <xdr:row>20</xdr:row>
                <xdr:rowOff>10</xdr:rowOff>
              </xdr:from>
              <xdr:to>
                <xdr:col>12</xdr:col>
                <xdr:colOff>0</xdr:colOff>
                <xdr:row>31</xdr:row>
                <xdr:rowOff>6</xdr:rowOff>
              </xdr:to>
            </anchor>
          </commentPr>
        </mc:Choice>
        <mc:Fallback/>
      </mc:AlternateContent>
    </comment>
    <comment ref="I40" authorId="0">
      <text>
        <r>
          <rPr>
            <b val="true"/>
            <sz val="8"/>
            <color rgb="FF000000"/>
            <rFont val="Tahoma"/>
            <family val="0"/>
          </rPr>
          <t xml:space="preserve">Daren Farmer:
</t>
        </r>
        <r>
          <rPr>
            <sz val="8"/>
            <color rgb="FF000000"/>
            <rFont val="Tahoma"/>
            <family val="0"/>
          </rPr>
          <t xml:space="preserve">20 Western
20 Aquila
25 Louis Dreyfus
30 Duke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14</xdr:colOff>
                <xdr:row>39</xdr:row>
                <xdr:rowOff>16</xdr:rowOff>
              </xdr:from>
              <xdr:to>
                <xdr:col>10</xdr:col>
                <xdr:colOff>82</xdr:colOff>
                <xdr:row>44</xdr:row>
                <xdr:rowOff>1</xdr:rowOff>
              </xdr:to>
            </anchor>
          </commentPr>
        </mc:Choice>
        <mc:Fallback/>
      </mc:AlternateContent>
    </comment>
    <comment ref="I48" authorId="0">
      <text>
        <r>
          <rPr>
            <b val="true"/>
            <sz val="8"/>
            <color rgb="FF000000"/>
            <rFont val="Tahoma"/>
            <family val="0"/>
          </rPr>
          <t xml:space="preserve">Daren Farmer:
</t>
        </r>
        <r>
          <rPr>
            <sz val="8"/>
            <color rgb="FF000000"/>
            <rFont val="Tahoma"/>
            <family val="0"/>
          </rPr>
          <t xml:space="preserve">11/30/00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16</xdr:colOff>
                <xdr:row>46</xdr:row>
                <xdr:rowOff>6</xdr:rowOff>
              </xdr:from>
              <xdr:to>
                <xdr:col>10</xdr:col>
                <xdr:colOff>86</xdr:colOff>
                <xdr:row>51</xdr:row>
                <xdr:rowOff>3</xdr:rowOff>
              </xdr:to>
            </anchor>
          </commentPr>
        </mc:Choice>
        <mc:Fallback/>
      </mc:AlternateContent>
    </comment>
    <comment ref="I49" authorId="0">
      <text>
        <r>
          <rPr>
            <b val="true"/>
            <sz val="8"/>
            <color rgb="FF000000"/>
            <rFont val="Tahoma"/>
            <family val="0"/>
          </rPr>
          <t xml:space="preserve">Daren Farmer:
</t>
        </r>
        <r>
          <rPr>
            <sz val="8"/>
            <color rgb="FF000000"/>
            <rFont val="Tahoma"/>
            <family val="0"/>
          </rPr>
          <t xml:space="preserve">2/1/00-1/31/01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14</xdr:colOff>
                <xdr:row>48</xdr:row>
                <xdr:rowOff>5</xdr:rowOff>
              </xdr:from>
              <xdr:to>
                <xdr:col>10</xdr:col>
                <xdr:colOff>82</xdr:colOff>
                <xdr:row>52</xdr:row>
                <xdr:rowOff>14</xdr:rowOff>
              </xdr:to>
            </anchor>
          </commentPr>
        </mc:Choice>
        <mc:Fallback/>
      </mc:AlternateContent>
    </comment>
    <comment ref="I50" authorId="0">
      <text>
        <r>
          <rPr>
            <b val="true"/>
            <sz val="8"/>
            <color rgb="FF000000"/>
            <rFont val="Tahoma"/>
            <family val="0"/>
          </rPr>
          <t xml:space="preserve">Daren Farmer:
</t>
        </r>
        <r>
          <rPr>
            <sz val="8"/>
            <color rgb="FF000000"/>
            <rFont val="Tahoma"/>
            <family val="0"/>
          </rPr>
          <t xml:space="preserve">1/1/00-12/31/00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16</xdr:colOff>
                <xdr:row>49</xdr:row>
                <xdr:rowOff>5</xdr:rowOff>
              </xdr:from>
              <xdr:to>
                <xdr:col>10</xdr:col>
                <xdr:colOff>86</xdr:colOff>
                <xdr:row>53</xdr:row>
                <xdr:rowOff>14</xdr:rowOff>
              </xdr:to>
            </anchor>
          </commentPr>
        </mc:Choice>
        <mc:Fallback/>
      </mc:AlternateContent>
    </comment>
    <comment ref="I51" authorId="0">
      <text>
        <r>
          <rPr>
            <b val="true"/>
            <sz val="8"/>
            <color rgb="FF000000"/>
            <rFont val="Tahoma"/>
            <family val="0"/>
          </rPr>
          <t xml:space="preserve">Daren Farmer:
</t>
        </r>
        <r>
          <rPr>
            <sz val="8"/>
            <color rgb="FF000000"/>
            <rFont val="Tahoma"/>
            <family val="0"/>
          </rPr>
          <t xml:space="preserve">3/31/00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14</xdr:colOff>
                <xdr:row>50</xdr:row>
                <xdr:rowOff>6</xdr:rowOff>
              </xdr:from>
              <xdr:to>
                <xdr:col>10</xdr:col>
                <xdr:colOff>82</xdr:colOff>
                <xdr:row>54</xdr:row>
                <xdr:rowOff>15</xdr:rowOff>
              </xdr:to>
            </anchor>
          </commentPr>
        </mc:Choice>
        <mc:Fallback/>
      </mc:AlternateContent>
    </comment>
    <comment ref="J33" authorId="0">
      <text>
        <r>
          <rPr>
            <b val="true"/>
            <sz val="8"/>
            <color rgb="FF000000"/>
            <rFont val="Tahoma"/>
            <family val="0"/>
          </rPr>
          <t xml:space="preserve">Daren Farmer:
</t>
        </r>
        <r>
          <rPr>
            <sz val="8"/>
            <color rgb="FF000000"/>
            <rFont val="Tahoma"/>
            <family val="0"/>
          </rPr>
          <t xml:space="preserve">55 EGM
30 Aquila EOL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14</xdr:colOff>
                <xdr:row>32</xdr:row>
                <xdr:rowOff>16</xdr:rowOff>
              </xdr:from>
              <xdr:to>
                <xdr:col>12</xdr:col>
                <xdr:colOff>19</xdr:colOff>
                <xdr:row>42</xdr:row>
                <xdr:rowOff>4</xdr:rowOff>
              </xdr:to>
            </anchor>
          </commentPr>
        </mc:Choice>
        <mc:Fallback/>
      </mc:AlternateContent>
    </comment>
    <comment ref="J38" authorId="0">
      <text>
        <r>
          <rPr>
            <b val="true"/>
            <sz val="8"/>
            <color rgb="FF000000"/>
            <rFont val="Tahoma"/>
            <family val="0"/>
          </rPr>
          <t xml:space="preserve">Daren Farmer:
</t>
        </r>
        <r>
          <rPr>
            <sz val="8"/>
            <color rgb="FF000000"/>
            <rFont val="Tahoma"/>
            <family val="0"/>
          </rPr>
          <t xml:space="preserve">-30 Tufco
25 Richardson
10 Burlington
20 Duke
10 Duke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14</xdr:colOff>
                <xdr:row>37</xdr:row>
                <xdr:rowOff>16</xdr:rowOff>
              </xdr:from>
              <xdr:to>
                <xdr:col>11</xdr:col>
                <xdr:colOff>61</xdr:colOff>
                <xdr:row>42</xdr:row>
                <xdr:rowOff>1</xdr:rowOff>
              </xdr:to>
            </anchor>
          </commentPr>
        </mc:Choice>
        <mc:Fallback/>
      </mc:AlternateContent>
    </comment>
    <comment ref="J44" authorId="0">
      <text>
        <r>
          <rPr>
            <b val="true"/>
            <sz val="8"/>
            <color rgb="FF000000"/>
            <rFont val="Tahoma"/>
            <family val="0"/>
          </rPr>
          <t xml:space="preserve">Daren Farmer:
</t>
        </r>
        <r>
          <rPr>
            <sz val="8"/>
            <color rgb="FF000000"/>
            <rFont val="Tahoma"/>
            <family val="0"/>
          </rPr>
          <t xml:space="preserve">15 North Central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14</xdr:colOff>
                <xdr:row>43</xdr:row>
                <xdr:rowOff>16</xdr:rowOff>
              </xdr:from>
              <xdr:to>
                <xdr:col>11</xdr:col>
                <xdr:colOff>61</xdr:colOff>
                <xdr:row>47</xdr:row>
                <xdr:rowOff>14</xdr:rowOff>
              </xdr:to>
            </anchor>
          </commentPr>
        </mc:Choice>
        <mc:Fallback/>
      </mc:AlternateContent>
    </comment>
  </commentList>
</comments>
</file>

<file path=xl/comments7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C48" authorId="0">
      <text>
        <r>
          <rPr>
            <b val="true"/>
            <sz val="8"/>
            <color rgb="FF000000"/>
            <rFont val="Tahoma"/>
            <family val="0"/>
          </rPr>
          <t xml:space="preserve">Daren Farmer:
</t>
        </r>
        <r>
          <rPr>
            <sz val="8"/>
            <color rgb="FF000000"/>
            <rFont val="Tahoma"/>
            <family val="0"/>
          </rPr>
          <t xml:space="preserve">11/1/99-3/31/00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14</xdr:colOff>
                <xdr:row>47</xdr:row>
                <xdr:rowOff>6</xdr:rowOff>
              </xdr:from>
              <xdr:to>
                <xdr:col>4</xdr:col>
                <xdr:colOff>61</xdr:colOff>
                <xdr:row>52</xdr:row>
                <xdr:rowOff>9</xdr:rowOff>
              </xdr:to>
            </anchor>
          </commentPr>
        </mc:Choice>
        <mc:Fallback/>
      </mc:AlternateContent>
    </comment>
    <comment ref="C49" authorId="0">
      <text>
        <r>
          <rPr>
            <b val="true"/>
            <sz val="8"/>
            <color rgb="FF000000"/>
            <rFont val="Tahoma"/>
            <family val="0"/>
          </rPr>
          <t xml:space="preserve">Daren Farmer:
</t>
        </r>
        <r>
          <rPr>
            <sz val="8"/>
            <color rgb="FF000000"/>
            <rFont val="Tahoma"/>
            <family val="0"/>
          </rPr>
          <t xml:space="preserve">4/1/00-10/31/00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47</xdr:row>
                <xdr:rowOff>6</xdr:rowOff>
              </xdr:from>
              <xdr:to>
                <xdr:col>4</xdr:col>
                <xdr:colOff>63</xdr:colOff>
                <xdr:row>51</xdr:row>
                <xdr:rowOff>15</xdr:rowOff>
              </xdr:to>
            </anchor>
          </commentPr>
        </mc:Choice>
        <mc:Fallback/>
      </mc:AlternateContent>
    </comment>
    <comment ref="D42" authorId="0">
      <text>
        <r>
          <rPr>
            <b val="true"/>
            <sz val="8"/>
            <color rgb="FF000000"/>
            <rFont val="Tahoma"/>
            <family val="0"/>
          </rPr>
          <t xml:space="preserve">Daren Farmer:
</t>
        </r>
        <r>
          <rPr>
            <sz val="8"/>
            <color rgb="FF000000"/>
            <rFont val="Tahoma"/>
            <family val="0"/>
          </rPr>
          <t xml:space="preserve">+10 Los Mogotes
-3.543 GSF Energy
+5.174 Unocal (Vance nom'd 1)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16</xdr:colOff>
                <xdr:row>40</xdr:row>
                <xdr:rowOff>8</xdr:rowOff>
              </xdr:from>
              <xdr:to>
                <xdr:col>7</xdr:col>
                <xdr:colOff>41</xdr:colOff>
                <xdr:row>44</xdr:row>
                <xdr:rowOff>13</xdr:rowOff>
              </xdr:to>
            </anchor>
          </commentPr>
        </mc:Choice>
        <mc:Fallback/>
      </mc:AlternateContent>
    </comment>
    <comment ref="E52" authorId="0">
      <text>
        <r>
          <rPr>
            <b val="true"/>
            <sz val="8"/>
            <color rgb="FF000000"/>
            <rFont val="Tahoma"/>
            <family val="0"/>
          </rPr>
          <t xml:space="preserve">Daren Farmer:
</t>
        </r>
        <r>
          <rPr>
            <sz val="8"/>
            <color rgb="FF000000"/>
            <rFont val="Tahoma"/>
            <family val="0"/>
          </rPr>
          <t xml:space="preserve">Put into Sitara 01/99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16</xdr:colOff>
                <xdr:row>50</xdr:row>
                <xdr:rowOff>6</xdr:rowOff>
              </xdr:from>
              <xdr:to>
                <xdr:col>6</xdr:col>
                <xdr:colOff>63</xdr:colOff>
                <xdr:row>54</xdr:row>
                <xdr:rowOff>15</xdr:rowOff>
              </xdr:to>
            </anchor>
          </commentPr>
        </mc:Choice>
        <mc:Fallback/>
      </mc:AlternateContent>
    </comment>
    <comment ref="I33" authorId="0">
      <text>
        <r>
          <rPr>
            <b val="true"/>
            <sz val="8"/>
            <color rgb="FF000000"/>
            <rFont val="Tahoma"/>
            <family val="0"/>
          </rPr>
          <t xml:space="preserve">Daren Farmer:
</t>
        </r>
        <r>
          <rPr>
            <sz val="8"/>
            <color rgb="FF000000"/>
            <rFont val="Tahoma"/>
            <family val="0"/>
          </rPr>
          <t xml:space="preserve">7.5 Forest Term
20Aquila Term
5 TET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6</xdr:colOff>
                <xdr:row>20</xdr:row>
                <xdr:rowOff>10</xdr:rowOff>
              </xdr:from>
              <xdr:to>
                <xdr:col>12</xdr:col>
                <xdr:colOff>0</xdr:colOff>
                <xdr:row>31</xdr:row>
                <xdr:rowOff>6</xdr:rowOff>
              </xdr:to>
            </anchor>
          </commentPr>
        </mc:Choice>
        <mc:Fallback/>
      </mc:AlternateContent>
    </comment>
    <comment ref="I40" authorId="0">
      <text>
        <r>
          <rPr>
            <b val="true"/>
            <sz val="8"/>
            <color rgb="FF000000"/>
            <rFont val="Tahoma"/>
            <family val="0"/>
          </rPr>
          <t xml:space="preserve">Daren Farmer:
</t>
        </r>
        <r>
          <rPr>
            <sz val="8"/>
            <color rgb="FF000000"/>
            <rFont val="Tahoma"/>
            <family val="0"/>
          </rPr>
          <t xml:space="preserve">20 Western
10  E-prime
20 Aquila
20 Aquila
10 Encore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14</xdr:colOff>
                <xdr:row>39</xdr:row>
                <xdr:rowOff>16</xdr:rowOff>
              </xdr:from>
              <xdr:to>
                <xdr:col>10</xdr:col>
                <xdr:colOff>82</xdr:colOff>
                <xdr:row>44</xdr:row>
                <xdr:rowOff>1</xdr:rowOff>
              </xdr:to>
            </anchor>
          </commentPr>
        </mc:Choice>
        <mc:Fallback/>
      </mc:AlternateContent>
    </comment>
    <comment ref="I48" authorId="0">
      <text>
        <r>
          <rPr>
            <b val="true"/>
            <sz val="8"/>
            <color rgb="FF000000"/>
            <rFont val="Tahoma"/>
            <family val="0"/>
          </rPr>
          <t xml:space="preserve">Daren Farmer:
</t>
        </r>
        <r>
          <rPr>
            <sz val="8"/>
            <color rgb="FF000000"/>
            <rFont val="Tahoma"/>
            <family val="0"/>
          </rPr>
          <t xml:space="preserve">11/30/00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16</xdr:colOff>
                <xdr:row>46</xdr:row>
                <xdr:rowOff>6</xdr:rowOff>
              </xdr:from>
              <xdr:to>
                <xdr:col>10</xdr:col>
                <xdr:colOff>86</xdr:colOff>
                <xdr:row>51</xdr:row>
                <xdr:rowOff>3</xdr:rowOff>
              </xdr:to>
            </anchor>
          </commentPr>
        </mc:Choice>
        <mc:Fallback/>
      </mc:AlternateContent>
    </comment>
    <comment ref="I49" authorId="0">
      <text>
        <r>
          <rPr>
            <b val="true"/>
            <sz val="8"/>
            <color rgb="FF000000"/>
            <rFont val="Tahoma"/>
            <family val="0"/>
          </rPr>
          <t xml:space="preserve">Daren Farmer:
</t>
        </r>
        <r>
          <rPr>
            <sz val="8"/>
            <color rgb="FF000000"/>
            <rFont val="Tahoma"/>
            <family val="0"/>
          </rPr>
          <t xml:space="preserve">2/1/00-1/31/01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14</xdr:colOff>
                <xdr:row>48</xdr:row>
                <xdr:rowOff>5</xdr:rowOff>
              </xdr:from>
              <xdr:to>
                <xdr:col>10</xdr:col>
                <xdr:colOff>82</xdr:colOff>
                <xdr:row>52</xdr:row>
                <xdr:rowOff>14</xdr:rowOff>
              </xdr:to>
            </anchor>
          </commentPr>
        </mc:Choice>
        <mc:Fallback/>
      </mc:AlternateContent>
    </comment>
    <comment ref="I50" authorId="0">
      <text>
        <r>
          <rPr>
            <b val="true"/>
            <sz val="8"/>
            <color rgb="FF000000"/>
            <rFont val="Tahoma"/>
            <family val="0"/>
          </rPr>
          <t xml:space="preserve">Daren Farmer:
</t>
        </r>
        <r>
          <rPr>
            <sz val="8"/>
            <color rgb="FF000000"/>
            <rFont val="Tahoma"/>
            <family val="0"/>
          </rPr>
          <t xml:space="preserve">4/1/00-10/31/00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16</xdr:colOff>
                <xdr:row>48</xdr:row>
                <xdr:rowOff>6</xdr:rowOff>
              </xdr:from>
              <xdr:to>
                <xdr:col>10</xdr:col>
                <xdr:colOff>86</xdr:colOff>
                <xdr:row>52</xdr:row>
                <xdr:rowOff>15</xdr:rowOff>
              </xdr:to>
            </anchor>
          </commentPr>
        </mc:Choice>
        <mc:Fallback/>
      </mc:AlternateContent>
    </comment>
    <comment ref="I51" authorId="0">
      <text>
        <r>
          <rPr>
            <b val="true"/>
            <sz val="8"/>
            <color rgb="FF000000"/>
            <rFont val="Tahoma"/>
            <family val="0"/>
          </rPr>
          <t xml:space="preserve">Daren Farmer:
</t>
        </r>
        <r>
          <rPr>
            <sz val="8"/>
            <color rgb="FF000000"/>
            <rFont val="Tahoma"/>
            <family val="0"/>
          </rPr>
          <t xml:space="preserve">1/1/00-12/31/00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16</xdr:colOff>
                <xdr:row>50</xdr:row>
                <xdr:rowOff>5</xdr:rowOff>
              </xdr:from>
              <xdr:to>
                <xdr:col>10</xdr:col>
                <xdr:colOff>86</xdr:colOff>
                <xdr:row>54</xdr:row>
                <xdr:rowOff>14</xdr:rowOff>
              </xdr:to>
            </anchor>
          </commentPr>
        </mc:Choice>
        <mc:Fallback/>
      </mc:AlternateContent>
    </comment>
    <comment ref="I53" authorId="0">
      <text>
        <r>
          <rPr>
            <b val="true"/>
            <sz val="8"/>
            <color rgb="FF000000"/>
            <rFont val="Tahoma"/>
            <family val="0"/>
          </rPr>
          <t xml:space="preserve">Daren Farmer:
</t>
        </r>
        <r>
          <rPr>
            <sz val="8"/>
            <color rgb="FF000000"/>
            <rFont val="Tahoma"/>
            <family val="0"/>
          </rPr>
          <t xml:space="preserve">4/1/00-10/31/00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16</xdr:colOff>
                <xdr:row>51</xdr:row>
                <xdr:rowOff>6</xdr:rowOff>
              </xdr:from>
              <xdr:to>
                <xdr:col>10</xdr:col>
                <xdr:colOff>86</xdr:colOff>
                <xdr:row>55</xdr:row>
                <xdr:rowOff>15</xdr:rowOff>
              </xdr:to>
            </anchor>
          </commentPr>
        </mc:Choice>
        <mc:Fallback/>
      </mc:AlternateContent>
    </comment>
    <comment ref="I59" authorId="0">
      <text>
        <r>
          <rPr>
            <b val="true"/>
            <sz val="8"/>
            <color rgb="FF000000"/>
            <rFont val="Tahoma"/>
            <family val="0"/>
          </rPr>
          <t xml:space="preserve">Daren Farmer:
</t>
        </r>
        <r>
          <rPr>
            <sz val="8"/>
            <color rgb="FF000000"/>
            <rFont val="Tahoma"/>
            <family val="0"/>
          </rPr>
          <t xml:space="preserve">12/1/99-10/31/00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16</xdr:colOff>
                <xdr:row>57</xdr:row>
                <xdr:rowOff>6</xdr:rowOff>
              </xdr:from>
              <xdr:to>
                <xdr:col>10</xdr:col>
                <xdr:colOff>86</xdr:colOff>
                <xdr:row>61</xdr:row>
                <xdr:rowOff>15</xdr:rowOff>
              </xdr:to>
            </anchor>
          </commentPr>
        </mc:Choice>
        <mc:Fallback/>
      </mc:AlternateContent>
    </comment>
    <comment ref="J33" authorId="0">
      <text>
        <r>
          <rPr>
            <b val="true"/>
            <sz val="8"/>
            <color rgb="FF000000"/>
            <rFont val="Tahoma"/>
            <family val="0"/>
          </rPr>
          <t xml:space="preserve">Daren Farmer:
</t>
        </r>
        <r>
          <rPr>
            <sz val="8"/>
            <color rgb="FF000000"/>
            <rFont val="Tahoma"/>
            <family val="0"/>
          </rPr>
          <t xml:space="preserve">20 EGM
5 Aquila EOL
5 Aquila EOL
5 Aquila EOL
5 Western EOL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14</xdr:colOff>
                <xdr:row>32</xdr:row>
                <xdr:rowOff>16</xdr:rowOff>
              </xdr:from>
              <xdr:to>
                <xdr:col>12</xdr:col>
                <xdr:colOff>19</xdr:colOff>
                <xdr:row>42</xdr:row>
                <xdr:rowOff>4</xdr:rowOff>
              </xdr:to>
            </anchor>
          </commentPr>
        </mc:Choice>
        <mc:Fallback/>
      </mc:AlternateContent>
    </comment>
    <comment ref="J38" authorId="0">
      <text>
        <r>
          <rPr>
            <b val="true"/>
            <sz val="8"/>
            <color rgb="FF000000"/>
            <rFont val="Tahoma"/>
            <family val="0"/>
          </rPr>
          <t xml:space="preserve">Daren Farmer:
</t>
        </r>
        <r>
          <rPr>
            <sz val="8"/>
            <color rgb="FF000000"/>
            <rFont val="Tahoma"/>
            <family val="0"/>
          </rPr>
          <t xml:space="preserve">-30 Tufco
5 Burlington
10 Burlington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14</xdr:colOff>
                <xdr:row>37</xdr:row>
                <xdr:rowOff>16</xdr:rowOff>
              </xdr:from>
              <xdr:to>
                <xdr:col>11</xdr:col>
                <xdr:colOff>61</xdr:colOff>
                <xdr:row>42</xdr:row>
                <xdr:rowOff>1</xdr:rowOff>
              </xdr:to>
            </anchor>
          </commentPr>
        </mc:Choice>
        <mc:Fallback/>
      </mc:AlternateContent>
    </comment>
    <comment ref="J44" authorId="0">
      <text>
        <r>
          <rPr>
            <b val="true"/>
            <sz val="8"/>
            <color rgb="FF000000"/>
            <rFont val="Tahoma"/>
            <family val="0"/>
          </rPr>
          <t xml:space="preserve">Daren Farmer:
</t>
        </r>
        <r>
          <rPr>
            <sz val="8"/>
            <color rgb="FF000000"/>
            <rFont val="Tahoma"/>
            <family val="0"/>
          </rPr>
          <t xml:space="preserve">15 North Central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14</xdr:colOff>
                <xdr:row>43</xdr:row>
                <xdr:rowOff>16</xdr:rowOff>
              </xdr:from>
              <xdr:to>
                <xdr:col>11</xdr:col>
                <xdr:colOff>61</xdr:colOff>
                <xdr:row>47</xdr:row>
                <xdr:rowOff>14</xdr:rowOff>
              </xdr:to>
            </anchor>
          </commentPr>
        </mc:Choice>
        <mc:Fallback/>
      </mc:AlternateContent>
    </comment>
  </commentList>
</comments>
</file>

<file path=xl/comments8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C48" authorId="0">
      <text>
        <r>
          <rPr>
            <b val="true"/>
            <sz val="8"/>
            <color rgb="FF000000"/>
            <rFont val="Tahoma"/>
            <family val="0"/>
          </rPr>
          <t xml:space="preserve">Daren Farmer:
</t>
        </r>
        <r>
          <rPr>
            <sz val="8"/>
            <color rgb="FF000000"/>
            <rFont val="Tahoma"/>
            <family val="0"/>
          </rPr>
          <t xml:space="preserve">4/1/00-10/31/00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46</xdr:row>
                <xdr:rowOff>4</xdr:rowOff>
              </xdr:from>
              <xdr:to>
                <xdr:col>4</xdr:col>
                <xdr:colOff>63</xdr:colOff>
                <xdr:row>50</xdr:row>
                <xdr:rowOff>13</xdr:rowOff>
              </xdr:to>
            </anchor>
          </commentPr>
        </mc:Choice>
        <mc:Fallback/>
      </mc:AlternateContent>
    </comment>
    <comment ref="C50" authorId="0">
      <text>
        <r>
          <rPr>
            <b val="true"/>
            <sz val="8"/>
            <color rgb="FF000000"/>
            <rFont val="Tahoma"/>
            <family val="0"/>
          </rPr>
          <t xml:space="preserve">Daren Farmer:
</t>
        </r>
        <r>
          <rPr>
            <sz val="8"/>
            <color rgb="FF000000"/>
            <rFont val="Tahoma"/>
            <family val="0"/>
          </rPr>
          <t xml:space="preserve">5/1/00-10/31/00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48</xdr:row>
                <xdr:rowOff>6</xdr:rowOff>
              </xdr:from>
              <xdr:to>
                <xdr:col>4</xdr:col>
                <xdr:colOff>63</xdr:colOff>
                <xdr:row>52</xdr:row>
                <xdr:rowOff>15</xdr:rowOff>
              </xdr:to>
            </anchor>
          </commentPr>
        </mc:Choice>
        <mc:Fallback/>
      </mc:AlternateContent>
    </comment>
    <comment ref="D42" authorId="0">
      <text>
        <r>
          <rPr>
            <b val="true"/>
            <sz val="8"/>
            <color rgb="FF000000"/>
            <rFont val="Tahoma"/>
            <family val="0"/>
          </rPr>
          <t xml:space="preserve">Daren Farmer:
</t>
        </r>
        <r>
          <rPr>
            <sz val="8"/>
            <color rgb="FF000000"/>
            <rFont val="Tahoma"/>
            <family val="0"/>
          </rPr>
          <t xml:space="preserve">+10 Los Mogotes
-3.543 GSF Energy
+5.174 Unocal (Vance nom'd 1)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16</xdr:colOff>
                <xdr:row>40</xdr:row>
                <xdr:rowOff>6</xdr:rowOff>
              </xdr:from>
              <xdr:to>
                <xdr:col>7</xdr:col>
                <xdr:colOff>41</xdr:colOff>
                <xdr:row>44</xdr:row>
                <xdr:rowOff>11</xdr:rowOff>
              </xdr:to>
            </anchor>
          </commentPr>
        </mc:Choice>
        <mc:Fallback/>
      </mc:AlternateContent>
    </comment>
    <comment ref="E33" authorId="0">
      <text>
        <r>
          <rPr>
            <b val="true"/>
            <sz val="8"/>
            <color rgb="FF000000"/>
            <rFont val="Tahoma"/>
            <family val="0"/>
          </rPr>
          <t xml:space="preserve">Daren Farmer:
</t>
        </r>
        <r>
          <rPr>
            <sz val="8"/>
            <color rgb="FF000000"/>
            <rFont val="Tahoma"/>
            <family val="0"/>
          </rPr>
          <t xml:space="preserve">#94058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16</xdr:colOff>
                <xdr:row>31</xdr:row>
                <xdr:rowOff>8</xdr:rowOff>
              </xdr:from>
              <xdr:to>
                <xdr:col>6</xdr:col>
                <xdr:colOff>63</xdr:colOff>
                <xdr:row>35</xdr:row>
                <xdr:rowOff>11</xdr:rowOff>
              </xdr:to>
            </anchor>
          </commentPr>
        </mc:Choice>
        <mc:Fallback/>
      </mc:AlternateContent>
    </comment>
    <comment ref="E34" authorId="0">
      <text>
        <r>
          <rPr>
            <b val="true"/>
            <sz val="8"/>
            <color rgb="FF000000"/>
            <rFont val="Tahoma"/>
            <family val="0"/>
          </rPr>
          <t xml:space="preserve">Daren Farmer:
</t>
        </r>
        <r>
          <rPr>
            <sz val="8"/>
            <color rgb="FF000000"/>
            <rFont val="Tahoma"/>
            <family val="0"/>
          </rPr>
          <t xml:space="preserve">92880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16</xdr:colOff>
                <xdr:row>32</xdr:row>
                <xdr:rowOff>8</xdr:rowOff>
              </xdr:from>
              <xdr:to>
                <xdr:col>6</xdr:col>
                <xdr:colOff>63</xdr:colOff>
                <xdr:row>36</xdr:row>
                <xdr:rowOff>11</xdr:rowOff>
              </xdr:to>
            </anchor>
          </commentPr>
        </mc:Choice>
        <mc:Fallback/>
      </mc:AlternateContent>
    </comment>
    <comment ref="E35" authorId="0">
      <text>
        <r>
          <rPr>
            <b val="true"/>
            <sz val="8"/>
            <color rgb="FF000000"/>
            <rFont val="Tahoma"/>
            <family val="0"/>
          </rPr>
          <t xml:space="preserve">Daren Farmer:
</t>
        </r>
        <r>
          <rPr>
            <sz val="8"/>
            <color rgb="FF000000"/>
            <rFont val="Tahoma"/>
            <family val="0"/>
          </rPr>
          <t xml:space="preserve">125038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16</xdr:colOff>
                <xdr:row>33</xdr:row>
                <xdr:rowOff>8</xdr:rowOff>
              </xdr:from>
              <xdr:to>
                <xdr:col>6</xdr:col>
                <xdr:colOff>63</xdr:colOff>
                <xdr:row>37</xdr:row>
                <xdr:rowOff>11</xdr:rowOff>
              </xdr:to>
            </anchor>
          </commentPr>
        </mc:Choice>
        <mc:Fallback/>
      </mc:AlternateContent>
    </comment>
    <comment ref="E36" authorId="0">
      <text>
        <r>
          <rPr>
            <b val="true"/>
            <sz val="8"/>
            <color rgb="FF000000"/>
            <rFont val="Tahoma"/>
            <family val="0"/>
          </rPr>
          <t xml:space="preserve">Daren Farmer:
</t>
        </r>
        <r>
          <rPr>
            <sz val="8"/>
            <color rgb="FF000000"/>
            <rFont val="Tahoma"/>
            <family val="0"/>
          </rPr>
          <t xml:space="preserve">92827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16</xdr:colOff>
                <xdr:row>34</xdr:row>
                <xdr:rowOff>8</xdr:rowOff>
              </xdr:from>
              <xdr:to>
                <xdr:col>6</xdr:col>
                <xdr:colOff>63</xdr:colOff>
                <xdr:row>38</xdr:row>
                <xdr:rowOff>11</xdr:rowOff>
              </xdr:to>
            </anchor>
          </commentPr>
        </mc:Choice>
        <mc:Fallback/>
      </mc:AlternateContent>
    </comment>
    <comment ref="I33" authorId="0">
      <text>
        <r>
          <rPr>
            <b val="true"/>
            <sz val="8"/>
            <color rgb="FF000000"/>
            <rFont val="Tahoma"/>
            <family val="0"/>
          </rPr>
          <t xml:space="preserve">Daren Farmer:
</t>
        </r>
        <r>
          <rPr>
            <sz val="8"/>
            <color rgb="FFFF0000"/>
            <rFont val="Tahoma"/>
            <family val="2"/>
          </rPr>
          <t xml:space="preserve">7.5 Forest Term
20Aquila Term
15 Aquila Base
15 Aquila Base
15  KN
5 TET
5 TET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5</xdr:colOff>
                <xdr:row>20</xdr:row>
                <xdr:rowOff>10</xdr:rowOff>
              </xdr:from>
              <xdr:to>
                <xdr:col>11</xdr:col>
                <xdr:colOff>67</xdr:colOff>
                <xdr:row>31</xdr:row>
                <xdr:rowOff>4</xdr:rowOff>
              </xdr:to>
            </anchor>
          </commentPr>
        </mc:Choice>
        <mc:Fallback/>
      </mc:AlternateContent>
    </comment>
    <comment ref="I38" authorId="0">
      <text>
        <r>
          <rPr>
            <b val="true"/>
            <sz val="8"/>
            <color rgb="FF000000"/>
            <rFont val="Tahoma"/>
            <family val="0"/>
          </rPr>
          <t xml:space="preserve">Daren Farmer:
</t>
        </r>
        <r>
          <rPr>
            <sz val="8"/>
            <color rgb="FF000000"/>
            <rFont val="Tahoma"/>
            <family val="0"/>
          </rPr>
          <t xml:space="preserve">5 E-Prime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16</xdr:colOff>
                <xdr:row>36</xdr:row>
                <xdr:rowOff>8</xdr:rowOff>
              </xdr:from>
              <xdr:to>
                <xdr:col>10</xdr:col>
                <xdr:colOff>85</xdr:colOff>
                <xdr:row>40</xdr:row>
                <xdr:rowOff>11</xdr:rowOff>
              </xdr:to>
            </anchor>
          </commentPr>
        </mc:Choice>
        <mc:Fallback/>
      </mc:AlternateContent>
    </comment>
    <comment ref="I40" authorId="0">
      <text>
        <r>
          <rPr>
            <b val="true"/>
            <sz val="8"/>
            <color rgb="FF000000"/>
            <rFont val="Tahoma"/>
            <family val="0"/>
          </rPr>
          <t xml:space="preserve">Daren Farmer:
</t>
        </r>
        <r>
          <rPr>
            <sz val="8"/>
            <color rgb="FF000000"/>
            <rFont val="Tahoma"/>
            <family val="0"/>
          </rPr>
          <t xml:space="preserve">20 Western
</t>
        </r>
        <r>
          <rPr>
            <sz val="8"/>
            <color rgb="FFFF0000"/>
            <rFont val="Tahoma"/>
            <family val="2"/>
          </rPr>
          <t xml:space="preserve">10  E-prime Term
10 E-Prime Base
20 Aquila
20 Aquila
10 Encore 
25 E-Prime 
(15) Reliant Oasis Midcon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51</xdr:colOff>
                <xdr:row>33</xdr:row>
                <xdr:rowOff>13</xdr:rowOff>
              </xdr:from>
              <xdr:to>
                <xdr:col>8</xdr:col>
                <xdr:colOff>57</xdr:colOff>
                <xdr:row>40</xdr:row>
                <xdr:rowOff>6</xdr:rowOff>
              </xdr:to>
            </anchor>
          </commentPr>
        </mc:Choice>
        <mc:Fallback/>
      </mc:AlternateContent>
    </comment>
    <comment ref="I48" authorId="0">
      <text>
        <r>
          <rPr>
            <b val="true"/>
            <sz val="8"/>
            <color rgb="FF000000"/>
            <rFont val="Tahoma"/>
            <family val="0"/>
          </rPr>
          <t xml:space="preserve">Daren Farmer:
</t>
        </r>
        <r>
          <rPr>
            <sz val="8"/>
            <color rgb="FF000000"/>
            <rFont val="Tahoma"/>
            <family val="0"/>
          </rPr>
          <t xml:space="preserve">11/30/00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16</xdr:colOff>
                <xdr:row>46</xdr:row>
                <xdr:rowOff>4</xdr:rowOff>
              </xdr:from>
              <xdr:to>
                <xdr:col>10</xdr:col>
                <xdr:colOff>85</xdr:colOff>
                <xdr:row>51</xdr:row>
                <xdr:rowOff>1</xdr:rowOff>
              </xdr:to>
            </anchor>
          </commentPr>
        </mc:Choice>
        <mc:Fallback/>
      </mc:AlternateContent>
    </comment>
    <comment ref="I49" authorId="0">
      <text>
        <r>
          <rPr>
            <b val="true"/>
            <sz val="8"/>
            <color rgb="FF000000"/>
            <rFont val="Tahoma"/>
            <family val="0"/>
          </rPr>
          <t xml:space="preserve">Daren Farmer:
</t>
        </r>
        <r>
          <rPr>
            <sz val="8"/>
            <color rgb="FF000000"/>
            <rFont val="Tahoma"/>
            <family val="0"/>
          </rPr>
          <t xml:space="preserve">4/1/00-3/31/02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16</xdr:colOff>
                <xdr:row>47</xdr:row>
                <xdr:rowOff>6</xdr:rowOff>
              </xdr:from>
              <xdr:to>
                <xdr:col>10</xdr:col>
                <xdr:colOff>85</xdr:colOff>
                <xdr:row>51</xdr:row>
                <xdr:rowOff>15</xdr:rowOff>
              </xdr:to>
            </anchor>
          </commentPr>
        </mc:Choice>
        <mc:Fallback/>
      </mc:AlternateContent>
    </comment>
    <comment ref="I50" authorId="0">
      <text>
        <r>
          <rPr>
            <b val="true"/>
            <sz val="8"/>
            <color rgb="FF000000"/>
            <rFont val="Tahoma"/>
            <family val="0"/>
          </rPr>
          <t xml:space="preserve">Daren Farmer:
</t>
        </r>
        <r>
          <rPr>
            <sz val="8"/>
            <color rgb="FF000000"/>
            <rFont val="Tahoma"/>
            <family val="0"/>
          </rPr>
          <t xml:space="preserve">2/1/00-1/31/01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14</xdr:colOff>
                <xdr:row>49</xdr:row>
                <xdr:rowOff>3</xdr:rowOff>
              </xdr:from>
              <xdr:to>
                <xdr:col>10</xdr:col>
                <xdr:colOff>82</xdr:colOff>
                <xdr:row>53</xdr:row>
                <xdr:rowOff>13</xdr:rowOff>
              </xdr:to>
            </anchor>
          </commentPr>
        </mc:Choice>
        <mc:Fallback/>
      </mc:AlternateContent>
    </comment>
    <comment ref="I51" authorId="0">
      <text>
        <r>
          <rPr>
            <b val="true"/>
            <sz val="8"/>
            <color rgb="FF000000"/>
            <rFont val="Tahoma"/>
            <family val="0"/>
          </rPr>
          <t xml:space="preserve">Daren Farmer:
</t>
        </r>
        <r>
          <rPr>
            <sz val="8"/>
            <color rgb="FF000000"/>
            <rFont val="Tahoma"/>
            <family val="0"/>
          </rPr>
          <t xml:space="preserve">4/1/00-10/31/00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16</xdr:colOff>
                <xdr:row>49</xdr:row>
                <xdr:rowOff>4</xdr:rowOff>
              </xdr:from>
              <xdr:to>
                <xdr:col>10</xdr:col>
                <xdr:colOff>85</xdr:colOff>
                <xdr:row>53</xdr:row>
                <xdr:rowOff>13</xdr:rowOff>
              </xdr:to>
            </anchor>
          </commentPr>
        </mc:Choice>
        <mc:Fallback/>
      </mc:AlternateContent>
    </comment>
    <comment ref="I52" authorId="0">
      <text>
        <r>
          <rPr>
            <b val="true"/>
            <sz val="8"/>
            <color rgb="FF000000"/>
            <rFont val="Tahoma"/>
            <family val="0"/>
          </rPr>
          <t xml:space="preserve">Daren Farmer:
</t>
        </r>
        <r>
          <rPr>
            <sz val="8"/>
            <color rgb="FF000000"/>
            <rFont val="Tahoma"/>
            <family val="0"/>
          </rPr>
          <t xml:space="preserve">1/1/00-12/31/00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16</xdr:colOff>
                <xdr:row>51</xdr:row>
                <xdr:rowOff>3</xdr:rowOff>
              </xdr:from>
              <xdr:to>
                <xdr:col>10</xdr:col>
                <xdr:colOff>85</xdr:colOff>
                <xdr:row>55</xdr:row>
                <xdr:rowOff>13</xdr:rowOff>
              </xdr:to>
            </anchor>
          </commentPr>
        </mc:Choice>
        <mc:Fallback/>
      </mc:AlternateContent>
    </comment>
    <comment ref="I53" authorId="0">
      <text>
        <r>
          <rPr>
            <b val="true"/>
            <sz val="8"/>
            <color rgb="FF000000"/>
            <rFont val="Tahoma"/>
            <family val="0"/>
          </rPr>
          <t xml:space="preserve">Daren Farmer:
</t>
        </r>
        <r>
          <rPr>
            <sz val="8"/>
            <color rgb="FF000000"/>
            <rFont val="Tahoma"/>
            <family val="0"/>
          </rPr>
          <t xml:space="preserve">4/1/00-10/31/00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16</xdr:colOff>
                <xdr:row>51</xdr:row>
                <xdr:rowOff>6</xdr:rowOff>
              </xdr:from>
              <xdr:to>
                <xdr:col>10</xdr:col>
                <xdr:colOff>85</xdr:colOff>
                <xdr:row>55</xdr:row>
                <xdr:rowOff>15</xdr:rowOff>
              </xdr:to>
            </anchor>
          </commentPr>
        </mc:Choice>
        <mc:Fallback/>
      </mc:AlternateContent>
    </comment>
    <comment ref="I54" authorId="0">
      <text>
        <r>
          <rPr>
            <b val="true"/>
            <sz val="8"/>
            <color rgb="FF000000"/>
            <rFont val="Tahoma"/>
            <family val="0"/>
          </rPr>
          <t xml:space="preserve">Daren Farmer:
</t>
        </r>
        <r>
          <rPr>
            <sz val="8"/>
            <color rgb="FF000000"/>
            <rFont val="Tahoma"/>
            <family val="0"/>
          </rPr>
          <t xml:space="preserve">4/1/00-10/31/00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16</xdr:colOff>
                <xdr:row>52</xdr:row>
                <xdr:rowOff>5</xdr:rowOff>
              </xdr:from>
              <xdr:to>
                <xdr:col>10</xdr:col>
                <xdr:colOff>85</xdr:colOff>
                <xdr:row>56</xdr:row>
                <xdr:rowOff>14</xdr:rowOff>
              </xdr:to>
            </anchor>
          </commentPr>
        </mc:Choice>
        <mc:Fallback/>
      </mc:AlternateContent>
    </comment>
    <comment ref="I55" authorId="0">
      <text>
        <r>
          <rPr>
            <b val="true"/>
            <sz val="8"/>
            <color rgb="FF000000"/>
            <rFont val="Tahoma"/>
            <family val="0"/>
          </rPr>
          <t xml:space="preserve">Daren Farmer:
</t>
        </r>
        <r>
          <rPr>
            <sz val="8"/>
            <color rgb="FF000000"/>
            <rFont val="Tahoma"/>
            <family val="0"/>
          </rPr>
          <t xml:space="preserve">4/1/00-10/31/00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16</xdr:colOff>
                <xdr:row>53</xdr:row>
                <xdr:rowOff>4</xdr:rowOff>
              </xdr:from>
              <xdr:to>
                <xdr:col>10</xdr:col>
                <xdr:colOff>85</xdr:colOff>
                <xdr:row>57</xdr:row>
                <xdr:rowOff>13</xdr:rowOff>
              </xdr:to>
            </anchor>
          </commentPr>
        </mc:Choice>
        <mc:Fallback/>
      </mc:AlternateContent>
    </comment>
    <comment ref="I59" authorId="0">
      <text>
        <r>
          <rPr>
            <b val="true"/>
            <sz val="8"/>
            <color rgb="FF000000"/>
            <rFont val="Tahoma"/>
            <family val="0"/>
          </rPr>
          <t xml:space="preserve">Daren Farmer:
</t>
        </r>
        <r>
          <rPr>
            <sz val="8"/>
            <color rgb="FF000000"/>
            <rFont val="Tahoma"/>
            <family val="0"/>
          </rPr>
          <t xml:space="preserve">4/1/00-10/31/00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16</xdr:colOff>
                <xdr:row>57</xdr:row>
                <xdr:rowOff>6</xdr:rowOff>
              </xdr:from>
              <xdr:to>
                <xdr:col>10</xdr:col>
                <xdr:colOff>85</xdr:colOff>
                <xdr:row>61</xdr:row>
                <xdr:rowOff>15</xdr:rowOff>
              </xdr:to>
            </anchor>
          </commentPr>
        </mc:Choice>
        <mc:Fallback/>
      </mc:AlternateContent>
    </comment>
    <comment ref="I60" authorId="0">
      <text>
        <r>
          <rPr>
            <b val="true"/>
            <sz val="8"/>
            <color rgb="FF000000"/>
            <rFont val="Tahoma"/>
            <family val="0"/>
          </rPr>
          <t xml:space="preserve">Daren Farmer:
</t>
        </r>
        <r>
          <rPr>
            <sz val="8"/>
            <color rgb="FF000000"/>
            <rFont val="Tahoma"/>
            <family val="0"/>
          </rPr>
          <t xml:space="preserve">12/1/99-10/31/00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16</xdr:colOff>
                <xdr:row>58</xdr:row>
                <xdr:rowOff>4</xdr:rowOff>
              </xdr:from>
              <xdr:to>
                <xdr:col>10</xdr:col>
                <xdr:colOff>85</xdr:colOff>
                <xdr:row>62</xdr:row>
                <xdr:rowOff>13</xdr:rowOff>
              </xdr:to>
            </anchor>
          </commentPr>
        </mc:Choice>
        <mc:Fallback/>
      </mc:AlternateContent>
    </comment>
    <comment ref="J28" authorId="0">
      <text>
        <r>
          <rPr>
            <b val="true"/>
            <sz val="8"/>
            <color rgb="FF000000"/>
            <rFont val="Tahoma"/>
            <family val="0"/>
          </rPr>
          <t xml:space="preserve">Daren Farmer:
</t>
        </r>
        <r>
          <rPr>
            <sz val="8"/>
            <color rgb="FF000000"/>
            <rFont val="Tahoma"/>
            <family val="0"/>
          </rPr>
          <t xml:space="preserve">10 R Lacy
88.340 CES
-20 Koch swap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16</xdr:colOff>
                <xdr:row>25</xdr:row>
                <xdr:rowOff>14</xdr:rowOff>
              </xdr:from>
              <xdr:to>
                <xdr:col>11</xdr:col>
                <xdr:colOff>63</xdr:colOff>
                <xdr:row>30</xdr:row>
                <xdr:rowOff>18</xdr:rowOff>
              </xdr:to>
            </anchor>
          </commentPr>
        </mc:Choice>
        <mc:Fallback/>
      </mc:AlternateContent>
    </comment>
    <comment ref="J33" authorId="0">
      <text>
        <r>
          <rPr>
            <b val="true"/>
            <sz val="8"/>
            <color rgb="FF000000"/>
            <rFont val="Tahoma"/>
            <family val="0"/>
          </rPr>
          <t xml:space="preserve">Daren Farmer:
</t>
        </r>
        <r>
          <rPr>
            <sz val="8"/>
            <color rgb="FFFF0000"/>
            <rFont val="Tahoma"/>
            <family val="2"/>
          </rPr>
          <t xml:space="preserve">15 EGM
</t>
        </r>
        <r>
          <rPr>
            <sz val="8"/>
            <color rgb="FF000000"/>
            <rFont val="Tahoma"/>
            <family val="0"/>
          </rPr>
          <t xml:space="preserve">15 Texaco Base
15  El Paso 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14</xdr:colOff>
                <xdr:row>32</xdr:row>
                <xdr:rowOff>14</xdr:rowOff>
              </xdr:from>
              <xdr:to>
                <xdr:col>12</xdr:col>
                <xdr:colOff>19</xdr:colOff>
                <xdr:row>42</xdr:row>
                <xdr:rowOff>3</xdr:rowOff>
              </xdr:to>
            </anchor>
          </commentPr>
        </mc:Choice>
        <mc:Fallback/>
      </mc:AlternateContent>
    </comment>
    <comment ref="J38" authorId="0">
      <text>
        <r>
          <rPr>
            <b val="true"/>
            <sz val="8"/>
            <color rgb="FF000000"/>
            <rFont val="Tahoma"/>
            <family val="0"/>
          </rPr>
          <t xml:space="preserve">Daren Farmer:
</t>
        </r>
        <r>
          <rPr>
            <sz val="8"/>
            <color rgb="FF000000"/>
            <rFont val="Tahoma"/>
            <family val="0"/>
          </rPr>
          <t xml:space="preserve">-30 Tufco
20 Richardson
10 Burlington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40</xdr:colOff>
                <xdr:row>28</xdr:row>
                <xdr:rowOff>3</xdr:rowOff>
              </xdr:from>
              <xdr:to>
                <xdr:col>8</xdr:col>
                <xdr:colOff>1</xdr:colOff>
                <xdr:row>32</xdr:row>
                <xdr:rowOff>14</xdr:rowOff>
              </xdr:to>
            </anchor>
          </commentPr>
        </mc:Choice>
        <mc:Fallback/>
      </mc:AlternateContent>
    </comment>
    <comment ref="J44" authorId="0">
      <text>
        <r>
          <rPr>
            <b val="true"/>
            <sz val="8"/>
            <color rgb="FF000000"/>
            <rFont val="Tahoma"/>
            <family val="0"/>
          </rPr>
          <t xml:space="preserve">Daren Farmer:
</t>
        </r>
        <r>
          <rPr>
            <sz val="8"/>
            <color rgb="FF000000"/>
            <rFont val="Tahoma"/>
            <family val="0"/>
          </rPr>
          <t xml:space="preserve">15 North Central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14</xdr:colOff>
                <xdr:row>43</xdr:row>
                <xdr:rowOff>14</xdr:rowOff>
              </xdr:from>
              <xdr:to>
                <xdr:col>11</xdr:col>
                <xdr:colOff>61</xdr:colOff>
                <xdr:row>47</xdr:row>
                <xdr:rowOff>13</xdr:rowOff>
              </xdr:to>
            </anchor>
          </commentPr>
        </mc:Choice>
        <mc:Fallback/>
      </mc:AlternateContent>
    </comment>
  </commentList>
</comments>
</file>

<file path=xl/comments9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C48" authorId="0">
      <text>
        <r>
          <rPr>
            <b val="true"/>
            <sz val="8"/>
            <color rgb="FF000000"/>
            <rFont val="Tahoma"/>
            <family val="0"/>
          </rPr>
          <t xml:space="preserve">Daren Farmer:
</t>
        </r>
        <r>
          <rPr>
            <sz val="8"/>
            <color rgb="FF000000"/>
            <rFont val="Tahoma"/>
            <family val="0"/>
          </rPr>
          <t xml:space="preserve">6/1-7/31/00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46</xdr:row>
                <xdr:rowOff>6</xdr:rowOff>
              </xdr:from>
              <xdr:to>
                <xdr:col>4</xdr:col>
                <xdr:colOff>63</xdr:colOff>
                <xdr:row>50</xdr:row>
                <xdr:rowOff>15</xdr:rowOff>
              </xdr:to>
            </anchor>
          </commentPr>
        </mc:Choice>
        <mc:Fallback/>
      </mc:AlternateContent>
    </comment>
    <comment ref="C49" authorId="0">
      <text>
        <r>
          <rPr>
            <b val="true"/>
            <sz val="8"/>
            <color rgb="FF000000"/>
            <rFont val="Tahoma"/>
            <family val="0"/>
          </rPr>
          <t xml:space="preserve">Daren Farmer:
</t>
        </r>
        <r>
          <rPr>
            <sz val="8"/>
            <color rgb="FF000000"/>
            <rFont val="Tahoma"/>
            <family val="0"/>
          </rPr>
          <t xml:space="preserve">5/1/00-10/31/00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47</xdr:row>
                <xdr:rowOff>6</xdr:rowOff>
              </xdr:from>
              <xdr:to>
                <xdr:col>4</xdr:col>
                <xdr:colOff>63</xdr:colOff>
                <xdr:row>51</xdr:row>
                <xdr:rowOff>15</xdr:rowOff>
              </xdr:to>
            </anchor>
          </commentPr>
        </mc:Choice>
        <mc:Fallback/>
      </mc:AlternateContent>
    </comment>
    <comment ref="C50" authorId="0">
      <text>
        <r>
          <rPr>
            <b val="true"/>
            <sz val="8"/>
            <color rgb="FF000000"/>
            <rFont val="Tahoma"/>
            <family val="0"/>
          </rPr>
          <t xml:space="preserve">Daren Farmer:
</t>
        </r>
        <r>
          <rPr>
            <sz val="8"/>
            <color rgb="FF000000"/>
            <rFont val="Tahoma"/>
            <family val="0"/>
          </rPr>
          <t xml:space="preserve">4/1/00-10/31/00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48</xdr:row>
                <xdr:rowOff>4</xdr:rowOff>
              </xdr:from>
              <xdr:to>
                <xdr:col>4</xdr:col>
                <xdr:colOff>63</xdr:colOff>
                <xdr:row>52</xdr:row>
                <xdr:rowOff>13</xdr:rowOff>
              </xdr:to>
            </anchor>
          </commentPr>
        </mc:Choice>
        <mc:Fallback/>
      </mc:AlternateContent>
    </comment>
    <comment ref="C51" authorId="0">
      <text>
        <r>
          <rPr>
            <b val="true"/>
            <sz val="8"/>
            <color rgb="FF000000"/>
            <rFont val="Tahoma"/>
            <family val="0"/>
          </rPr>
          <t xml:space="preserve">Daren Farmer:
</t>
        </r>
        <r>
          <rPr>
            <sz val="8"/>
            <color rgb="FF000000"/>
            <rFont val="Tahoma"/>
            <family val="0"/>
          </rPr>
          <t xml:space="preserve">6/1-5/31/01  ENA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49</xdr:row>
                <xdr:rowOff>6</xdr:rowOff>
              </xdr:from>
              <xdr:to>
                <xdr:col>4</xdr:col>
                <xdr:colOff>63</xdr:colOff>
                <xdr:row>53</xdr:row>
                <xdr:rowOff>15</xdr:rowOff>
              </xdr:to>
            </anchor>
          </commentPr>
        </mc:Choice>
        <mc:Fallback/>
      </mc:AlternateContent>
    </comment>
    <comment ref="C52" authorId="0">
      <text>
        <r>
          <rPr>
            <b val="true"/>
            <sz val="8"/>
            <color rgb="FF000000"/>
            <rFont val="Tahoma"/>
            <family val="0"/>
          </rPr>
          <t xml:space="preserve">Daren Farmer:
</t>
        </r>
        <r>
          <rPr>
            <sz val="8"/>
            <color rgb="FF000000"/>
            <rFont val="Tahoma"/>
            <family val="0"/>
          </rPr>
          <t xml:space="preserve">6/1/00-10/31/00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50</xdr:row>
                <xdr:rowOff>6</xdr:rowOff>
              </xdr:from>
              <xdr:to>
                <xdr:col>4</xdr:col>
                <xdr:colOff>63</xdr:colOff>
                <xdr:row>54</xdr:row>
                <xdr:rowOff>15</xdr:rowOff>
              </xdr:to>
            </anchor>
          </commentPr>
        </mc:Choice>
        <mc:Fallback/>
      </mc:AlternateContent>
    </comment>
    <comment ref="C54" authorId="0">
      <text>
        <r>
          <rPr>
            <b val="true"/>
            <sz val="8"/>
            <color rgb="FF000000"/>
            <rFont val="Tahoma"/>
            <family val="0"/>
          </rPr>
          <t xml:space="preserve">Daren Farmer:
</t>
        </r>
        <r>
          <rPr>
            <sz val="8"/>
            <color rgb="FF000000"/>
            <rFont val="Tahoma"/>
            <family val="0"/>
          </rPr>
          <t xml:space="preserve">6/1/00-10/31/00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52</xdr:row>
                <xdr:rowOff>6</xdr:rowOff>
              </xdr:from>
              <xdr:to>
                <xdr:col>4</xdr:col>
                <xdr:colOff>63</xdr:colOff>
                <xdr:row>56</xdr:row>
                <xdr:rowOff>15</xdr:rowOff>
              </xdr:to>
            </anchor>
          </commentPr>
        </mc:Choice>
        <mc:Fallback/>
      </mc:AlternateContent>
    </comment>
    <comment ref="C55" authorId="0">
      <text>
        <r>
          <rPr>
            <b val="true"/>
            <sz val="8"/>
            <color rgb="FF000000"/>
            <rFont val="Tahoma"/>
            <family val="0"/>
          </rPr>
          <t xml:space="preserve">Daren Farmer:
</t>
        </r>
        <r>
          <rPr>
            <sz val="8"/>
            <color rgb="FF000000"/>
            <rFont val="Tahoma"/>
            <family val="0"/>
          </rPr>
          <t xml:space="preserve">6/1/00-5/31/01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53</xdr:row>
                <xdr:rowOff>6</xdr:rowOff>
              </xdr:from>
              <xdr:to>
                <xdr:col>4</xdr:col>
                <xdr:colOff>63</xdr:colOff>
                <xdr:row>57</xdr:row>
                <xdr:rowOff>15</xdr:rowOff>
              </xdr:to>
            </anchor>
          </commentPr>
        </mc:Choice>
        <mc:Fallback/>
      </mc:AlternateContent>
    </comment>
    <comment ref="D9" authorId="0">
      <text>
        <r>
          <rPr>
            <b val="true"/>
            <sz val="8"/>
            <color rgb="FF000000"/>
            <rFont val="Tahoma"/>
            <family val="0"/>
          </rPr>
          <t xml:space="preserve">Daren Farmer:
</t>
        </r>
        <r>
          <rPr>
            <sz val="8"/>
            <color rgb="FF000000"/>
            <rFont val="Tahoma"/>
            <family val="0"/>
          </rPr>
          <t xml:space="preserve">10,000 5/1-9/30 ENA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16</xdr:colOff>
                <xdr:row>7</xdr:row>
                <xdr:rowOff>8</xdr:rowOff>
              </xdr:from>
              <xdr:to>
                <xdr:col>5</xdr:col>
                <xdr:colOff>65</xdr:colOff>
                <xdr:row>11</xdr:row>
                <xdr:rowOff>11</xdr:rowOff>
              </xdr:to>
            </anchor>
          </commentPr>
        </mc:Choice>
        <mc:Fallback/>
      </mc:AlternateContent>
    </comment>
    <comment ref="D42" authorId="0">
      <text>
        <r>
          <rPr>
            <b val="true"/>
            <sz val="8"/>
            <color rgb="FF000000"/>
            <rFont val="Tahoma"/>
            <family val="0"/>
          </rPr>
          <t xml:space="preserve">Daren Farmer:
</t>
        </r>
        <r>
          <rPr>
            <sz val="8"/>
            <color rgb="FF000000"/>
            <rFont val="Tahoma"/>
            <family val="0"/>
          </rPr>
          <t xml:space="preserve">-51.927+42.8 Adj for Coastal
+9 Unocal (Vance nom'd 5)
+4  Saxet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0</xdr:col>
                <xdr:colOff>74</xdr:colOff>
                <xdr:row>34</xdr:row>
                <xdr:rowOff>4</xdr:rowOff>
              </xdr:from>
              <xdr:to>
                <xdr:col>4</xdr:col>
                <xdr:colOff>9</xdr:colOff>
                <xdr:row>38</xdr:row>
                <xdr:rowOff>10</xdr:rowOff>
              </xdr:to>
            </anchor>
          </commentPr>
        </mc:Choice>
        <mc:Fallback/>
      </mc:AlternateContent>
    </comment>
    <comment ref="D53" authorId="0">
      <text>
        <r>
          <rPr>
            <b val="true"/>
            <sz val="8"/>
            <color rgb="FF000000"/>
            <rFont val="Tahoma"/>
            <family val="0"/>
          </rPr>
          <t xml:space="preserve">Daren Farmer:
</t>
        </r>
        <r>
          <rPr>
            <sz val="8"/>
            <color rgb="FF000000"/>
            <rFont val="Tahoma"/>
            <family val="0"/>
          </rPr>
          <t xml:space="preserve">6/1/00-11/30/00  ENA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16</xdr:colOff>
                <xdr:row>51</xdr:row>
                <xdr:rowOff>6</xdr:rowOff>
              </xdr:from>
              <xdr:to>
                <xdr:col>5</xdr:col>
                <xdr:colOff>65</xdr:colOff>
                <xdr:row>55</xdr:row>
                <xdr:rowOff>15</xdr:rowOff>
              </xdr:to>
            </anchor>
          </commentPr>
        </mc:Choice>
        <mc:Fallback/>
      </mc:AlternateContent>
    </comment>
    <comment ref="E34" authorId="0">
      <text>
        <r>
          <rPr>
            <b val="true"/>
            <sz val="8"/>
            <color rgb="FF000000"/>
            <rFont val="Tahoma"/>
            <family val="0"/>
          </rPr>
          <t xml:space="preserve">Daren Farmer:
</t>
        </r>
        <r>
          <rPr>
            <sz val="8"/>
            <color rgb="FF000000"/>
            <rFont val="Tahoma"/>
            <family val="0"/>
          </rPr>
          <t xml:space="preserve">157572  10,000
165369  10,000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32</xdr:colOff>
                <xdr:row>33</xdr:row>
                <xdr:rowOff>0</xdr:rowOff>
              </xdr:from>
              <xdr:to>
                <xdr:col>3</xdr:col>
                <xdr:colOff>82</xdr:colOff>
                <xdr:row>37</xdr:row>
                <xdr:rowOff>11</xdr:rowOff>
              </xdr:to>
            </anchor>
          </commentPr>
        </mc:Choice>
        <mc:Fallback/>
      </mc:AlternateContent>
    </comment>
    <comment ref="I33" authorId="0">
      <text>
        <r>
          <rPr>
            <b val="true"/>
            <sz val="8"/>
            <color rgb="FF000000"/>
            <rFont val="Tahoma"/>
            <family val="0"/>
          </rPr>
          <t xml:space="preserve">Daren Farmer:
</t>
        </r>
        <r>
          <rPr>
            <sz val="8"/>
            <color rgb="FFFF0000"/>
            <rFont val="Tahoma"/>
            <family val="2"/>
          </rPr>
          <t xml:space="preserve">7.5 Forest Term
20Aquila Term
5 Aquila Term
5 Aquila Term
10 Oneok Term
20 Mitchell
10 TET
25 Pan E Exch
-20 American Central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5</xdr:colOff>
                <xdr:row>20</xdr:row>
                <xdr:rowOff>10</xdr:rowOff>
              </xdr:from>
              <xdr:to>
                <xdr:col>11</xdr:col>
                <xdr:colOff>67</xdr:colOff>
                <xdr:row>31</xdr:row>
                <xdr:rowOff>4</xdr:rowOff>
              </xdr:to>
            </anchor>
          </commentPr>
        </mc:Choice>
        <mc:Fallback/>
      </mc:AlternateContent>
    </comment>
    <comment ref="I38" authorId="0">
      <text>
        <r>
          <rPr>
            <b val="true"/>
            <sz val="8"/>
            <color rgb="FF000000"/>
            <rFont val="Tahoma"/>
            <family val="0"/>
          </rPr>
          <t xml:space="preserve">Daren Farmer:
</t>
        </r>
        <r>
          <rPr>
            <sz val="8"/>
            <color rgb="FF000000"/>
            <rFont val="Tahoma"/>
            <family val="0"/>
          </rPr>
          <t xml:space="preserve">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16</xdr:colOff>
                <xdr:row>36</xdr:row>
                <xdr:rowOff>8</xdr:rowOff>
              </xdr:from>
              <xdr:to>
                <xdr:col>10</xdr:col>
                <xdr:colOff>85</xdr:colOff>
                <xdr:row>40</xdr:row>
                <xdr:rowOff>11</xdr:rowOff>
              </xdr:to>
            </anchor>
          </commentPr>
        </mc:Choice>
        <mc:Fallback/>
      </mc:AlternateContent>
    </comment>
    <comment ref="I40" authorId="0">
      <text>
        <r>
          <rPr>
            <b val="true"/>
            <sz val="8"/>
            <color rgb="FF000000"/>
            <rFont val="Tahoma"/>
            <family val="0"/>
          </rPr>
          <t xml:space="preserve">Daren Farmer:
</t>
        </r>
        <r>
          <rPr>
            <sz val="8"/>
            <color rgb="FF000000"/>
            <rFont val="Tahoma"/>
            <family val="0"/>
          </rPr>
          <t xml:space="preserve">20 Western
</t>
        </r>
        <r>
          <rPr>
            <sz val="8"/>
            <color rgb="FFFF0000"/>
            <rFont val="Tahoma"/>
            <family val="2"/>
          </rPr>
          <t xml:space="preserve">20 Aquila
10 E-Prime
20 Aquila
10 Encore 
5 Tenaska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82</xdr:colOff>
                <xdr:row>35</xdr:row>
                <xdr:rowOff>16</xdr:rowOff>
              </xdr:from>
              <xdr:to>
                <xdr:col>8</xdr:col>
                <xdr:colOff>3</xdr:colOff>
                <xdr:row>42</xdr:row>
                <xdr:rowOff>9</xdr:rowOff>
              </xdr:to>
            </anchor>
          </commentPr>
        </mc:Choice>
        <mc:Fallback/>
      </mc:AlternateContent>
    </comment>
    <comment ref="I48" authorId="0">
      <text>
        <r>
          <rPr>
            <b val="true"/>
            <sz val="8"/>
            <color rgb="FF000000"/>
            <rFont val="Tahoma"/>
            <family val="0"/>
          </rPr>
          <t xml:space="preserve">Daren Farmer:
</t>
        </r>
        <r>
          <rPr>
            <sz val="8"/>
            <color rgb="FF000000"/>
            <rFont val="Tahoma"/>
            <family val="0"/>
          </rPr>
          <t xml:space="preserve">11/30/00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16</xdr:colOff>
                <xdr:row>46</xdr:row>
                <xdr:rowOff>4</xdr:rowOff>
              </xdr:from>
              <xdr:to>
                <xdr:col>10</xdr:col>
                <xdr:colOff>85</xdr:colOff>
                <xdr:row>51</xdr:row>
                <xdr:rowOff>1</xdr:rowOff>
              </xdr:to>
            </anchor>
          </commentPr>
        </mc:Choice>
        <mc:Fallback/>
      </mc:AlternateContent>
    </comment>
    <comment ref="I49" authorId="0">
      <text>
        <r>
          <rPr>
            <b val="true"/>
            <sz val="8"/>
            <color rgb="FF000000"/>
            <rFont val="Tahoma"/>
            <family val="0"/>
          </rPr>
          <t xml:space="preserve">Daren Farmer:
</t>
        </r>
        <r>
          <rPr>
            <sz val="8"/>
            <color rgb="FF000000"/>
            <rFont val="Tahoma"/>
            <family val="0"/>
          </rPr>
          <t xml:space="preserve">4/1/00-3/31/02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16</xdr:colOff>
                <xdr:row>47</xdr:row>
                <xdr:rowOff>6</xdr:rowOff>
              </xdr:from>
              <xdr:to>
                <xdr:col>10</xdr:col>
                <xdr:colOff>85</xdr:colOff>
                <xdr:row>51</xdr:row>
                <xdr:rowOff>15</xdr:rowOff>
              </xdr:to>
            </anchor>
          </commentPr>
        </mc:Choice>
        <mc:Fallback/>
      </mc:AlternateContent>
    </comment>
    <comment ref="I50" authorId="0">
      <text>
        <r>
          <rPr>
            <b val="true"/>
            <sz val="8"/>
            <color rgb="FF000000"/>
            <rFont val="Tahoma"/>
            <family val="0"/>
          </rPr>
          <t xml:space="preserve">Daren Farmer:
</t>
        </r>
        <r>
          <rPr>
            <sz val="8"/>
            <color rgb="FF000000"/>
            <rFont val="Tahoma"/>
            <family val="0"/>
          </rPr>
          <t xml:space="preserve">2/1/00-1/31/01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14</xdr:colOff>
                <xdr:row>49</xdr:row>
                <xdr:rowOff>3</xdr:rowOff>
              </xdr:from>
              <xdr:to>
                <xdr:col>10</xdr:col>
                <xdr:colOff>82</xdr:colOff>
                <xdr:row>53</xdr:row>
                <xdr:rowOff>13</xdr:rowOff>
              </xdr:to>
            </anchor>
          </commentPr>
        </mc:Choice>
        <mc:Fallback/>
      </mc:AlternateContent>
    </comment>
    <comment ref="I51" authorId="0">
      <text>
        <r>
          <rPr>
            <b val="true"/>
            <sz val="8"/>
            <color rgb="FF000000"/>
            <rFont val="Tahoma"/>
            <family val="0"/>
          </rPr>
          <t xml:space="preserve">Daren Farmer:
</t>
        </r>
        <r>
          <rPr>
            <sz val="8"/>
            <color rgb="FF000000"/>
            <rFont val="Tahoma"/>
            <family val="0"/>
          </rPr>
          <t xml:space="preserve">4/1/00-10/31/00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16</xdr:colOff>
                <xdr:row>49</xdr:row>
                <xdr:rowOff>4</xdr:rowOff>
              </xdr:from>
              <xdr:to>
                <xdr:col>10</xdr:col>
                <xdr:colOff>85</xdr:colOff>
                <xdr:row>53</xdr:row>
                <xdr:rowOff>13</xdr:rowOff>
              </xdr:to>
            </anchor>
          </commentPr>
        </mc:Choice>
        <mc:Fallback/>
      </mc:AlternateContent>
    </comment>
    <comment ref="I52" authorId="0">
      <text>
        <r>
          <rPr>
            <b val="true"/>
            <sz val="8"/>
            <color rgb="FF000000"/>
            <rFont val="Tahoma"/>
            <family val="0"/>
          </rPr>
          <t xml:space="preserve">Daren Farmer:
</t>
        </r>
        <r>
          <rPr>
            <sz val="8"/>
            <color rgb="FF000000"/>
            <rFont val="Tahoma"/>
            <family val="0"/>
          </rPr>
          <t xml:space="preserve">1/1/00-12/31/00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16</xdr:colOff>
                <xdr:row>51</xdr:row>
                <xdr:rowOff>3</xdr:rowOff>
              </xdr:from>
              <xdr:to>
                <xdr:col>10</xdr:col>
                <xdr:colOff>85</xdr:colOff>
                <xdr:row>55</xdr:row>
                <xdr:rowOff>13</xdr:rowOff>
              </xdr:to>
            </anchor>
          </commentPr>
        </mc:Choice>
        <mc:Fallback/>
      </mc:AlternateContent>
    </comment>
    <comment ref="I53" authorId="0">
      <text>
        <r>
          <rPr>
            <b val="true"/>
            <sz val="8"/>
            <color rgb="FF000000"/>
            <rFont val="Tahoma"/>
            <family val="0"/>
          </rPr>
          <t xml:space="preserve">Daren Farmer:
</t>
        </r>
        <r>
          <rPr>
            <sz val="8"/>
            <color rgb="FF000000"/>
            <rFont val="Tahoma"/>
            <family val="0"/>
          </rPr>
          <t xml:space="preserve">5/1/00-10/31/00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16</xdr:colOff>
                <xdr:row>51</xdr:row>
                <xdr:rowOff>6</xdr:rowOff>
              </xdr:from>
              <xdr:to>
                <xdr:col>10</xdr:col>
                <xdr:colOff>85</xdr:colOff>
                <xdr:row>55</xdr:row>
                <xdr:rowOff>15</xdr:rowOff>
              </xdr:to>
            </anchor>
          </commentPr>
        </mc:Choice>
        <mc:Fallback/>
      </mc:AlternateContent>
    </comment>
    <comment ref="I54" authorId="0">
      <text>
        <r>
          <rPr>
            <b val="true"/>
            <sz val="8"/>
            <color rgb="FF000000"/>
            <rFont val="Tahoma"/>
            <family val="0"/>
          </rPr>
          <t xml:space="preserve">Daren Farmer:
</t>
        </r>
        <r>
          <rPr>
            <sz val="8"/>
            <color rgb="FF000000"/>
            <rFont val="Tahoma"/>
            <family val="0"/>
          </rPr>
          <t xml:space="preserve">6/1/00-10/31/00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16</xdr:colOff>
                <xdr:row>52</xdr:row>
                <xdr:rowOff>6</xdr:rowOff>
              </xdr:from>
              <xdr:to>
                <xdr:col>10</xdr:col>
                <xdr:colOff>85</xdr:colOff>
                <xdr:row>56</xdr:row>
                <xdr:rowOff>15</xdr:rowOff>
              </xdr:to>
            </anchor>
          </commentPr>
        </mc:Choice>
        <mc:Fallback/>
      </mc:AlternateContent>
    </comment>
    <comment ref="I56" authorId="0">
      <text>
        <r>
          <rPr>
            <b val="true"/>
            <sz val="8"/>
            <color rgb="FF000000"/>
            <rFont val="Tahoma"/>
            <family val="0"/>
          </rPr>
          <t xml:space="preserve">Daren Farmer:
</t>
        </r>
        <r>
          <rPr>
            <sz val="8"/>
            <color rgb="FF000000"/>
            <rFont val="Tahoma"/>
            <family val="0"/>
          </rPr>
          <t xml:space="preserve">4/1/00-10/31/00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16</xdr:colOff>
                <xdr:row>54</xdr:row>
                <xdr:rowOff>6</xdr:rowOff>
              </xdr:from>
              <xdr:to>
                <xdr:col>10</xdr:col>
                <xdr:colOff>85</xdr:colOff>
                <xdr:row>58</xdr:row>
                <xdr:rowOff>15</xdr:rowOff>
              </xdr:to>
            </anchor>
          </commentPr>
        </mc:Choice>
        <mc:Fallback/>
      </mc:AlternateContent>
    </comment>
    <comment ref="I57" authorId="0">
      <text>
        <r>
          <rPr>
            <b val="true"/>
            <sz val="8"/>
            <color rgb="FF000000"/>
            <rFont val="Tahoma"/>
            <family val="0"/>
          </rPr>
          <t xml:space="preserve">Daren Farmer:
</t>
        </r>
        <r>
          <rPr>
            <sz val="8"/>
            <color rgb="FF000000"/>
            <rFont val="Tahoma"/>
            <family val="0"/>
          </rPr>
          <t xml:space="preserve">4/1/00-10/31/00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16</xdr:colOff>
                <xdr:row>55</xdr:row>
                <xdr:rowOff>5</xdr:rowOff>
              </xdr:from>
              <xdr:to>
                <xdr:col>10</xdr:col>
                <xdr:colOff>85</xdr:colOff>
                <xdr:row>59</xdr:row>
                <xdr:rowOff>14</xdr:rowOff>
              </xdr:to>
            </anchor>
          </commentPr>
        </mc:Choice>
        <mc:Fallback/>
      </mc:AlternateContent>
    </comment>
    <comment ref="I58" authorId="0">
      <text>
        <r>
          <rPr>
            <b val="true"/>
            <sz val="8"/>
            <color rgb="FF000000"/>
            <rFont val="Tahoma"/>
            <family val="0"/>
          </rPr>
          <t xml:space="preserve">Daren Farmer:
</t>
        </r>
        <r>
          <rPr>
            <sz val="8"/>
            <color rgb="FF000000"/>
            <rFont val="Tahoma"/>
            <family val="0"/>
          </rPr>
          <t xml:space="preserve">4/1/00-10/31/00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16</xdr:colOff>
                <xdr:row>56</xdr:row>
                <xdr:rowOff>4</xdr:rowOff>
              </xdr:from>
              <xdr:to>
                <xdr:col>10</xdr:col>
                <xdr:colOff>85</xdr:colOff>
                <xdr:row>60</xdr:row>
                <xdr:rowOff>13</xdr:rowOff>
              </xdr:to>
            </anchor>
          </commentPr>
        </mc:Choice>
        <mc:Fallback/>
      </mc:AlternateContent>
    </comment>
    <comment ref="I61" authorId="0">
      <text>
        <r>
          <rPr>
            <b val="true"/>
            <sz val="8"/>
            <color rgb="FF000000"/>
            <rFont val="Tahoma"/>
            <family val="0"/>
          </rPr>
          <t xml:space="preserve">Daren Farmer:
</t>
        </r>
        <r>
          <rPr>
            <sz val="8"/>
            <color rgb="FF000000"/>
            <rFont val="Tahoma"/>
            <family val="0"/>
          </rPr>
          <t xml:space="preserve">6/1/00-10/31/00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16</xdr:colOff>
                <xdr:row>59</xdr:row>
                <xdr:rowOff>6</xdr:rowOff>
              </xdr:from>
              <xdr:to>
                <xdr:col>10</xdr:col>
                <xdr:colOff>85</xdr:colOff>
                <xdr:row>63</xdr:row>
                <xdr:rowOff>15</xdr:rowOff>
              </xdr:to>
            </anchor>
          </commentPr>
        </mc:Choice>
        <mc:Fallback/>
      </mc:AlternateContent>
    </comment>
    <comment ref="I63" authorId="0">
      <text>
        <r>
          <rPr>
            <b val="true"/>
            <sz val="8"/>
            <color rgb="FF000000"/>
            <rFont val="Tahoma"/>
            <family val="0"/>
          </rPr>
          <t xml:space="preserve">Daren Farmer:
</t>
        </r>
        <r>
          <rPr>
            <sz val="8"/>
            <color rgb="FF000000"/>
            <rFont val="Tahoma"/>
            <family val="0"/>
          </rPr>
          <t xml:space="preserve">4/1/00-10/31/00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16</xdr:colOff>
                <xdr:row>61</xdr:row>
                <xdr:rowOff>6</xdr:rowOff>
              </xdr:from>
              <xdr:to>
                <xdr:col>10</xdr:col>
                <xdr:colOff>85</xdr:colOff>
                <xdr:row>65</xdr:row>
                <xdr:rowOff>15</xdr:rowOff>
              </xdr:to>
            </anchor>
          </commentPr>
        </mc:Choice>
        <mc:Fallback/>
      </mc:AlternateContent>
    </comment>
    <comment ref="I64" authorId="0">
      <text>
        <r>
          <rPr>
            <b val="true"/>
            <sz val="8"/>
            <color rgb="FF000000"/>
            <rFont val="Tahoma"/>
            <family val="0"/>
          </rPr>
          <t xml:space="preserve">Daren Farmer:
</t>
        </r>
        <r>
          <rPr>
            <sz val="8"/>
            <color rgb="FF000000"/>
            <rFont val="Tahoma"/>
            <family val="0"/>
          </rPr>
          <t xml:space="preserve">12/1/99-10/31/00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16</xdr:colOff>
                <xdr:row>62</xdr:row>
                <xdr:rowOff>4</xdr:rowOff>
              </xdr:from>
              <xdr:to>
                <xdr:col>10</xdr:col>
                <xdr:colOff>85</xdr:colOff>
                <xdr:row>66</xdr:row>
                <xdr:rowOff>13</xdr:rowOff>
              </xdr:to>
            </anchor>
          </commentPr>
        </mc:Choice>
        <mc:Fallback/>
      </mc:AlternateContent>
    </comment>
    <comment ref="J28" authorId="0">
      <text>
        <r>
          <rPr>
            <b val="true"/>
            <sz val="8"/>
            <color rgb="FF000000"/>
            <rFont val="Tahoma"/>
            <family val="0"/>
          </rPr>
          <t xml:space="preserve">Daren Farmer:
</t>
        </r>
        <r>
          <rPr>
            <sz val="8"/>
            <color rgb="FF000000"/>
            <rFont val="Tahoma"/>
            <family val="0"/>
          </rPr>
          <t xml:space="preserve">10 R Lacy
88.340 CES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12</xdr:colOff>
                <xdr:row>19</xdr:row>
                <xdr:rowOff>13</xdr:rowOff>
              </xdr:from>
              <xdr:to>
                <xdr:col>9</xdr:col>
                <xdr:colOff>59</xdr:colOff>
                <xdr:row>24</xdr:row>
                <xdr:rowOff>3</xdr:rowOff>
              </xdr:to>
            </anchor>
          </commentPr>
        </mc:Choice>
        <mc:Fallback/>
      </mc:AlternateContent>
    </comment>
    <comment ref="J33" authorId="0">
      <text>
        <r>
          <rPr>
            <b val="true"/>
            <sz val="8"/>
            <color rgb="FF000000"/>
            <rFont val="Tahoma"/>
            <family val="0"/>
          </rPr>
          <t xml:space="preserve">Daren Farmer:
</t>
        </r>
        <r>
          <rPr>
            <sz val="8"/>
            <color rgb="FF000000"/>
            <rFont val="Tahoma"/>
            <family val="0"/>
          </rPr>
          <t xml:space="preserve">5 Oneok
5 Oneok
2 TET
5 Oneok
10 Alltrade
5 Aquila
5 Cokinos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14</xdr:colOff>
                <xdr:row>32</xdr:row>
                <xdr:rowOff>14</xdr:rowOff>
              </xdr:from>
              <xdr:to>
                <xdr:col>12</xdr:col>
                <xdr:colOff>19</xdr:colOff>
                <xdr:row>42</xdr:row>
                <xdr:rowOff>3</xdr:rowOff>
              </xdr:to>
            </anchor>
          </commentPr>
        </mc:Choice>
        <mc:Fallback/>
      </mc:AlternateContent>
    </comment>
    <comment ref="J38" authorId="0">
      <text>
        <r>
          <rPr>
            <b val="true"/>
            <sz val="8"/>
            <color rgb="FF000000"/>
            <rFont val="Tahoma"/>
            <family val="0"/>
          </rPr>
          <t xml:space="preserve">Daren Farmer:
</t>
        </r>
        <r>
          <rPr>
            <sz val="8"/>
            <color rgb="FF000000"/>
            <rFont val="Tahoma"/>
            <family val="0"/>
          </rPr>
          <t xml:space="preserve">-30 Tufco
10 Richardson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40</xdr:colOff>
                <xdr:row>28</xdr:row>
                <xdr:rowOff>3</xdr:rowOff>
              </xdr:from>
              <xdr:to>
                <xdr:col>8</xdr:col>
                <xdr:colOff>1</xdr:colOff>
                <xdr:row>32</xdr:row>
                <xdr:rowOff>14</xdr:rowOff>
              </xdr:to>
            </anchor>
          </commentPr>
        </mc:Choice>
        <mc:Fallback/>
      </mc:AlternateContent>
    </comment>
    <comment ref="J44" authorId="0">
      <text>
        <r>
          <rPr>
            <b val="true"/>
            <sz val="8"/>
            <color rgb="FF000000"/>
            <rFont val="Tahoma"/>
            <family val="0"/>
          </rPr>
          <t xml:space="preserve">Daren Farmer:
</t>
        </r>
        <r>
          <rPr>
            <sz val="8"/>
            <color rgb="FF000000"/>
            <rFont val="Tahoma"/>
            <family val="0"/>
          </rPr>
          <t xml:space="preserve">15 North Central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14</xdr:colOff>
                <xdr:row>43</xdr:row>
                <xdr:rowOff>14</xdr:rowOff>
              </xdr:from>
              <xdr:to>
                <xdr:col>11</xdr:col>
                <xdr:colOff>61</xdr:colOff>
                <xdr:row>47</xdr:row>
                <xdr:rowOff>13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<sst xmlns="http://schemas.openxmlformats.org/spreadsheetml/2006/main" count="4118" uniqueCount="542">
  <si>
    <t xml:space="preserve">Texas Desk Bid Plan</t>
  </si>
  <si>
    <t xml:space="preserve">January</t>
  </si>
  <si>
    <t xml:space="preserve">00</t>
  </si>
  <si>
    <t xml:space="preserve">December</t>
  </si>
  <si>
    <t xml:space="preserve">PLAN</t>
  </si>
  <si>
    <t xml:space="preserve">PEAK</t>
  </si>
  <si>
    <t xml:space="preserve">LOW</t>
  </si>
  <si>
    <t xml:space="preserve">Large Industrials</t>
  </si>
  <si>
    <t xml:space="preserve">INDUSTRIALS</t>
  </si>
  <si>
    <t xml:space="preserve">Air Products</t>
  </si>
  <si>
    <t xml:space="preserve">Calpine Cogen    65.7 - Cl Lk,   96 - Tx City</t>
  </si>
  <si>
    <t xml:space="preserve">Alcoa</t>
  </si>
  <si>
    <t xml:space="preserve">CP&amp;L </t>
  </si>
  <si>
    <t xml:space="preserve">Beau Meth</t>
  </si>
  <si>
    <t xml:space="preserve">HL&amp;P </t>
  </si>
  <si>
    <t xml:space="preserve">Brandywine</t>
  </si>
  <si>
    <t xml:space="preserve">MOBIL- excl 10 EOGM transport</t>
  </si>
  <si>
    <t xml:space="preserve">Crown Cent</t>
  </si>
  <si>
    <t xml:space="preserve">SHELL</t>
  </si>
  <si>
    <t xml:space="preserve">Equistar</t>
  </si>
  <si>
    <t xml:space="preserve">TUFCO</t>
  </si>
  <si>
    <t xml:space="preserve">Enron Meth</t>
  </si>
  <si>
    <t xml:space="preserve">MISC ELEC &amp; LDC'S</t>
  </si>
  <si>
    <t xml:space="preserve">Formosa</t>
  </si>
  <si>
    <t xml:space="preserve">ENTEX </t>
  </si>
  <si>
    <t xml:space="preserve">Lyondell Cit</t>
  </si>
  <si>
    <t xml:space="preserve">Base &amp; Spot Sales</t>
  </si>
  <si>
    <t xml:space="preserve">Qualitech</t>
  </si>
  <si>
    <t xml:space="preserve">TOTAL SALES</t>
  </si>
  <si>
    <t xml:space="preserve">Sterling </t>
  </si>
  <si>
    <t xml:space="preserve">STORAGE</t>
  </si>
  <si>
    <t xml:space="preserve">Temple Inland</t>
  </si>
  <si>
    <t xml:space="preserve">SWIFT SHRINKAGE</t>
  </si>
  <si>
    <t xml:space="preserve">Valero  **</t>
  </si>
  <si>
    <t xml:space="preserve">Total Required</t>
  </si>
  <si>
    <t xml:space="preserve">BASE SUPPLY </t>
  </si>
  <si>
    <t xml:space="preserve">Physical Inj/(WD)</t>
  </si>
  <si>
    <t xml:space="preserve">CES Position</t>
  </si>
  <si>
    <t xml:space="preserve">Gas Daily</t>
  </si>
  <si>
    <t xml:space="preserve">Net Position</t>
  </si>
  <si>
    <t xml:space="preserve">Storage</t>
  </si>
  <si>
    <t xml:space="preserve">TERMINATED DEALS</t>
  </si>
  <si>
    <t xml:space="preserve">Katy Tailgate</t>
  </si>
  <si>
    <t xml:space="preserve">STORAGE INJECT / (WITHDRAW)</t>
  </si>
  <si>
    <t xml:space="preserve">Sales</t>
  </si>
  <si>
    <t xml:space="preserve">Purchases</t>
  </si>
  <si>
    <t xml:space="preserve">Buy</t>
  </si>
  <si>
    <t xml:space="preserve">Sell</t>
  </si>
  <si>
    <t xml:space="preserve">   Bammel</t>
  </si>
  <si>
    <t xml:space="preserve">/ month</t>
  </si>
  <si>
    <t xml:space="preserve">Enron Methonal</t>
  </si>
  <si>
    <t xml:space="preserve">Coral 4120</t>
  </si>
  <si>
    <t xml:space="preserve">   Centana</t>
  </si>
  <si>
    <t xml:space="preserve">EGP Fuels</t>
  </si>
  <si>
    <t xml:space="preserve">Cokinos/9676</t>
  </si>
  <si>
    <t xml:space="preserve">NET  TG</t>
  </si>
  <si>
    <t xml:space="preserve">Lyon Citgo</t>
  </si>
  <si>
    <t xml:space="preserve">Midcoast/5097</t>
  </si>
  <si>
    <t xml:space="preserve">Dixie Chem</t>
  </si>
  <si>
    <t xml:space="preserve">United O&amp;M/5053</t>
  </si>
  <si>
    <t xml:space="preserve">Overall Katy</t>
  </si>
  <si>
    <t xml:space="preserve">Supply</t>
  </si>
  <si>
    <t xml:space="preserve">Hampshire</t>
  </si>
  <si>
    <t xml:space="preserve">Vintage/2540</t>
  </si>
  <si>
    <t xml:space="preserve">WGR</t>
  </si>
  <si>
    <t xml:space="preserve">LS</t>
  </si>
  <si>
    <t xml:space="preserve">Geon</t>
  </si>
  <si>
    <t xml:space="preserve">BASE SUPPLY</t>
  </si>
  <si>
    <t xml:space="preserve">Oasis</t>
  </si>
  <si>
    <t xml:space="preserve">Teco</t>
  </si>
  <si>
    <t xml:space="preserve">BASELOAD PURCHASES</t>
  </si>
  <si>
    <t xml:space="preserve">PLUS EOG &amp; ZILKA GASBANK BTB</t>
  </si>
  <si>
    <t xml:space="preserve">TOT</t>
  </si>
  <si>
    <t xml:space="preserve">HPLC NET SUPPLY- est</t>
  </si>
  <si>
    <t xml:space="preserve">Valero Texoma</t>
  </si>
  <si>
    <t xml:space="preserve">Base Supply for</t>
  </si>
  <si>
    <t xml:space="preserve">    TOTAL</t>
  </si>
  <si>
    <t xml:space="preserve">SALES</t>
  </si>
  <si>
    <t xml:space="preserve">SUPPLY</t>
  </si>
  <si>
    <t xml:space="preserve">Possible Producer Serv</t>
  </si>
  <si>
    <t xml:space="preserve">Electrics/LDCs</t>
  </si>
  <si>
    <t xml:space="preserve">Term</t>
  </si>
  <si>
    <t xml:space="preserve">Base</t>
  </si>
  <si>
    <t xml:space="preserve">Dallas</t>
  </si>
  <si>
    <t xml:space="preserve">Air Liquide</t>
  </si>
  <si>
    <t xml:space="preserve">AEP / 6351</t>
  </si>
  <si>
    <t xml:space="preserve">Albmarle</t>
  </si>
  <si>
    <t xml:space="preserve">Amoco</t>
  </si>
  <si>
    <t xml:space="preserve">Aquila</t>
  </si>
  <si>
    <t xml:space="preserve">City of Brazoria</t>
  </si>
  <si>
    <t xml:space="preserve">Cilco</t>
  </si>
  <si>
    <t xml:space="preserve">Aquila / OK</t>
  </si>
  <si>
    <t xml:space="preserve">D&amp;H Gas </t>
  </si>
  <si>
    <t xml:space="preserve">Entex Gas Mktg</t>
  </si>
  <si>
    <t xml:space="preserve">Aquila / TG</t>
  </si>
  <si>
    <t xml:space="preserve">Richardson</t>
  </si>
  <si>
    <t xml:space="preserve">Gulf Gas Util</t>
  </si>
  <si>
    <t xml:space="preserve">Cerrito</t>
  </si>
  <si>
    <t xml:space="preserve">Exxon Chem</t>
  </si>
  <si>
    <t xml:space="preserve">Coral</t>
  </si>
  <si>
    <t xml:space="preserve">TET</t>
  </si>
  <si>
    <t xml:space="preserve">Markham</t>
  </si>
  <si>
    <t xml:space="preserve">Cornerstone</t>
  </si>
  <si>
    <t xml:space="preserve">EGP Fuels AVG</t>
  </si>
  <si>
    <t xml:space="preserve">Goldston/Tex</t>
  </si>
  <si>
    <t xml:space="preserve">Mercado</t>
  </si>
  <si>
    <t xml:space="preserve">Cokinos</t>
  </si>
  <si>
    <t xml:space="preserve">North Central</t>
  </si>
  <si>
    <t xml:space="preserve">Rlacy</t>
  </si>
  <si>
    <t xml:space="preserve">Southern Union</t>
  </si>
  <si>
    <t xml:space="preserve">Entex Gas Mkt</t>
  </si>
  <si>
    <t xml:space="preserve">Koch</t>
  </si>
  <si>
    <t xml:space="preserve">PG&amp;E</t>
  </si>
  <si>
    <t xml:space="preserve">Conoco</t>
  </si>
  <si>
    <t xml:space="preserve">Unit</t>
  </si>
  <si>
    <t xml:space="preserve">Shell Western</t>
  </si>
  <si>
    <t xml:space="preserve">EEX</t>
  </si>
  <si>
    <t xml:space="preserve">Swift</t>
  </si>
  <si>
    <t xml:space="preserve">Vintage</t>
  </si>
  <si>
    <t xml:space="preserve">Petrofina</t>
  </si>
  <si>
    <t xml:space="preserve">Bayer 13</t>
  </si>
  <si>
    <t xml:space="preserve">Western</t>
  </si>
  <si>
    <t xml:space="preserve">Wag Brwm</t>
  </si>
  <si>
    <t xml:space="preserve">Reliant Entex</t>
  </si>
  <si>
    <t xml:space="preserve">Occident 5</t>
  </si>
  <si>
    <t xml:space="preserve">Solutia</t>
  </si>
  <si>
    <t xml:space="preserve">R&amp;H  17</t>
  </si>
  <si>
    <t xml:space="preserve">Adams</t>
  </si>
  <si>
    <t xml:space="preserve">Titan Tire</t>
  </si>
  <si>
    <t xml:space="preserve">Waha</t>
  </si>
  <si>
    <t xml:space="preserve">Empire</t>
  </si>
  <si>
    <t xml:space="preserve">TXU</t>
  </si>
  <si>
    <t xml:space="preserve">Dynegy</t>
  </si>
  <si>
    <t xml:space="preserve">LCRA</t>
  </si>
  <si>
    <t xml:space="preserve">Arco</t>
  </si>
  <si>
    <t xml:space="preserve">Exxon</t>
  </si>
  <si>
    <t xml:space="preserve">Lois Drey</t>
  </si>
  <si>
    <t xml:space="preserve">SUBTOTAL</t>
  </si>
  <si>
    <t xml:space="preserve">TOTAL</t>
  </si>
  <si>
    <t xml:space="preserve">SUMMER PRICE</t>
  </si>
  <si>
    <t xml:space="preserve">ZONE</t>
  </si>
  <si>
    <t xml:space="preserve">COMPRESSOR</t>
  </si>
  <si>
    <t xml:space="preserve">THRUPUT FUEL %</t>
  </si>
  <si>
    <t xml:space="preserve">% GAS THRUPUT</t>
  </si>
  <si>
    <t xml:space="preserve">CALC FUEL %</t>
  </si>
  <si>
    <t xml:space="preserve">$/MMBTU @</t>
  </si>
  <si>
    <t xml:space="preserve">EDNA</t>
  </si>
  <si>
    <t xml:space="preserve">NEEDVILLE</t>
  </si>
  <si>
    <t xml:space="preserve">MANVEL</t>
  </si>
  <si>
    <t xml:space="preserve">VICTORIA</t>
  </si>
  <si>
    <t xml:space="preserve">MISSION VALLEY</t>
  </si>
  <si>
    <t xml:space="preserve">SOUTH TX</t>
  </si>
  <si>
    <t xml:space="preserve">THOMPSONVILLE</t>
  </si>
  <si>
    <t xml:space="preserve">NUECES</t>
  </si>
  <si>
    <t xml:space="preserve">ODEM</t>
  </si>
  <si>
    <t xml:space="preserve">ENCINAL</t>
  </si>
  <si>
    <t xml:space="preserve">TOTAL DOWNSTREAM OF THOMPSONVILLE</t>
  </si>
  <si>
    <t xml:space="preserve">TOTAL UPSTREAM OF THOMPSONVILLE</t>
  </si>
  <si>
    <t xml:space="preserve">ROBSTOWN</t>
  </si>
  <si>
    <t xml:space="preserve">CORPUS</t>
  </si>
  <si>
    <t xml:space="preserve">GREGORY</t>
  </si>
  <si>
    <t xml:space="preserve">A/S SOUTH</t>
  </si>
  <si>
    <t xml:space="preserve">STA 800</t>
  </si>
  <si>
    <t xml:space="preserve">AGUA DULCE (INCLUDED IN ROBSTOWN)</t>
  </si>
  <si>
    <t xml:space="preserve">STA 806</t>
  </si>
  <si>
    <t xml:space="preserve">PORT LAVACA</t>
  </si>
  <si>
    <t xml:space="preserve">STA 809</t>
  </si>
  <si>
    <t xml:space="preserve">BAY CITY</t>
  </si>
  <si>
    <t xml:space="preserve">A/S SHIP CHANNEL</t>
  </si>
  <si>
    <t xml:space="preserve">STA 812</t>
  </si>
  <si>
    <t xml:space="preserve">SHIP CHANNEL</t>
  </si>
  <si>
    <t xml:space="preserve">A/S EAST</t>
  </si>
  <si>
    <t xml:space="preserve">STA 816</t>
  </si>
  <si>
    <t xml:space="preserve">SABINE</t>
  </si>
  <si>
    <t xml:space="preserve">Industrials</t>
  </si>
  <si>
    <t xml:space="preserve">Oct</t>
  </si>
  <si>
    <t xml:space="preserve">sale</t>
  </si>
  <si>
    <t xml:space="preserve">Co 016</t>
  </si>
  <si>
    <t xml:space="preserve">Corpus Christi</t>
  </si>
  <si>
    <t xml:space="preserve">Ace</t>
  </si>
  <si>
    <t xml:space="preserve">central desk</t>
  </si>
  <si>
    <t xml:space="preserve">Merit</t>
  </si>
  <si>
    <t xml:space="preserve">Amerada Hess</t>
  </si>
  <si>
    <t xml:space="preserve">Praxair</t>
  </si>
  <si>
    <t xml:space="preserve">hplr</t>
  </si>
  <si>
    <t xml:space="preserve">Union Carbide</t>
  </si>
  <si>
    <t xml:space="preserve">lamay</t>
  </si>
  <si>
    <t xml:space="preserve">Co 078</t>
  </si>
  <si>
    <t xml:space="preserve">Engineered Carbons</t>
  </si>
  <si>
    <t xml:space="preserve">Blackstone</t>
  </si>
  <si>
    <t xml:space="preserve">pioneer</t>
  </si>
  <si>
    <t xml:space="preserve">Bristol</t>
  </si>
  <si>
    <t xml:space="preserve">Buyback</t>
  </si>
  <si>
    <t xml:space="preserve">Cactus-swift</t>
  </si>
  <si>
    <t xml:space="preserve">Schenectady</t>
  </si>
  <si>
    <t xml:space="preserve">Cima</t>
  </si>
  <si>
    <t xml:space="preserve">Co 012</t>
  </si>
  <si>
    <t xml:space="preserve">Advanced Aromatics</t>
  </si>
  <si>
    <t xml:space="preserve">Cody</t>
  </si>
  <si>
    <t xml:space="preserve">Base mtm</t>
  </si>
  <si>
    <t xml:space="preserve">cokinos/6835</t>
  </si>
  <si>
    <t xml:space="preserve">cokinos/4286</t>
  </si>
  <si>
    <t xml:space="preserve">cokinos/9676</t>
  </si>
  <si>
    <t xml:space="preserve">&lt;-----------------</t>
  </si>
  <si>
    <t xml:space="preserve">Amoco chem</t>
  </si>
  <si>
    <t xml:space="preserve">Cokinos/6551</t>
  </si>
  <si>
    <t xml:space="preserve">Aristech</t>
  </si>
  <si>
    <t xml:space="preserve">cokinos</t>
  </si>
  <si>
    <t xml:space="preserve">BASF</t>
  </si>
  <si>
    <t xml:space="preserve">conoco</t>
  </si>
  <si>
    <t xml:space="preserve">coral</t>
  </si>
  <si>
    <t xml:space="preserve">Beaum Meth</t>
  </si>
  <si>
    <t xml:space="preserve">Core Explor</t>
  </si>
  <si>
    <t xml:space="preserve">BP</t>
  </si>
  <si>
    <t xml:space="preserve">cox&amp;perkins exploration</t>
  </si>
  <si>
    <t xml:space="preserve">crosstex</t>
  </si>
  <si>
    <t xml:space="preserve">Calgon</t>
  </si>
  <si>
    <t xml:space="preserve">dale </t>
  </si>
  <si>
    <t xml:space="preserve">Chemicals</t>
  </si>
  <si>
    <t xml:space="preserve">dallas</t>
  </si>
  <si>
    <t xml:space="preserve">Chevron</t>
  </si>
  <si>
    <t xml:space="preserve">dan a hughes</t>
  </si>
  <si>
    <t xml:space="preserve">Chusei</t>
  </si>
  <si>
    <t xml:space="preserve">Decker</t>
  </si>
  <si>
    <t xml:space="preserve">&lt;-------------</t>
  </si>
  <si>
    <t xml:space="preserve">Cgen Lyon</t>
  </si>
  <si>
    <t xml:space="preserve">Duke Energy</t>
  </si>
  <si>
    <t xml:space="preserve">Crown Central</t>
  </si>
  <si>
    <t xml:space="preserve">Diamond Shamrock</t>
  </si>
  <si>
    <t xml:space="preserve">Dianal</t>
  </si>
  <si>
    <t xml:space="preserve">Dixie</t>
  </si>
  <si>
    <t xml:space="preserve">embassy</t>
  </si>
  <si>
    <t xml:space="preserve">Dresser</t>
  </si>
  <si>
    <t xml:space="preserve">encina/6392</t>
  </si>
  <si>
    <t xml:space="preserve">EOG</t>
  </si>
  <si>
    <t xml:space="preserve">Duke Energy Field</t>
  </si>
  <si>
    <t xml:space="preserve">Fischer</t>
  </si>
  <si>
    <t xml:space="preserve">Enichem</t>
  </si>
  <si>
    <t xml:space="preserve">forest/4132</t>
  </si>
  <si>
    <t xml:space="preserve">four sq</t>
  </si>
  <si>
    <t xml:space="preserve">9705,6599,6844,1560</t>
  </si>
  <si>
    <t xml:space="preserve">freeman/3405</t>
  </si>
  <si>
    <t xml:space="preserve">Eurecat</t>
  </si>
  <si>
    <t xml:space="preserve">GSF</t>
  </si>
  <si>
    <t xml:space="preserve">Exxon chem</t>
  </si>
  <si>
    <t xml:space="preserve">Highland Energy</t>
  </si>
  <si>
    <t xml:space="preserve">hilcorp energy LP</t>
  </si>
  <si>
    <t xml:space="preserve">Jay Mgmt</t>
  </si>
  <si>
    <t xml:space="preserve">1-63</t>
  </si>
  <si>
    <t xml:space="preserve">Loius Dreyfuw</t>
  </si>
  <si>
    <t xml:space="preserve">Global Octanes</t>
  </si>
  <si>
    <t xml:space="preserve">Marathon</t>
  </si>
  <si>
    <t xml:space="preserve">Griffin</t>
  </si>
  <si>
    <t xml:space="preserve">mcbee</t>
  </si>
  <si>
    <t xml:space="preserve">Haldor Topsoe</t>
  </si>
  <si>
    <t xml:space="preserve">midcoast</t>
  </si>
  <si>
    <t xml:space="preserve">pan grande</t>
  </si>
  <si>
    <t xml:space="preserve">6673,6674</t>
  </si>
  <si>
    <t xml:space="preserve">In Prod serv nom.</t>
  </si>
  <si>
    <t xml:space="preserve">Hess</t>
  </si>
  <si>
    <t xml:space="preserve">Pecos</t>
  </si>
  <si>
    <t xml:space="preserve">Kaneka</t>
  </si>
  <si>
    <t xml:space="preserve">phillips</t>
  </si>
  <si>
    <t xml:space="preserve">Lonza</t>
  </si>
  <si>
    <t xml:space="preserve">pioneer/5310</t>
  </si>
  <si>
    <t xml:space="preserve">Lousiana-Pacific</t>
  </si>
  <si>
    <t xml:space="preserve">Prefferred PL</t>
  </si>
  <si>
    <t xml:space="preserve">Lubrizol</t>
  </si>
  <si>
    <t xml:space="preserve">Prize</t>
  </si>
  <si>
    <t xml:space="preserve">5767,6675</t>
  </si>
  <si>
    <t xml:space="preserve">Lyon-Citgo</t>
  </si>
  <si>
    <t xml:space="preserve">pioneer res/6534</t>
  </si>
  <si>
    <t xml:space="preserve">Marathon Ashland</t>
  </si>
  <si>
    <t xml:space="preserve">pioneer res/6614</t>
  </si>
  <si>
    <t xml:space="preserve">McNic</t>
  </si>
  <si>
    <t xml:space="preserve">Primeenergy</t>
  </si>
  <si>
    <t xml:space="preserve">Mobil Chem</t>
  </si>
  <si>
    <t xml:space="preserve">REH/5310</t>
  </si>
  <si>
    <t xml:space="preserve">Nisseki</t>
  </si>
  <si>
    <t xml:space="preserve">royal</t>
  </si>
  <si>
    <t xml:space="preserve">Nova Molecular</t>
  </si>
  <si>
    <t xml:space="preserve">Seagull/1713</t>
  </si>
  <si>
    <t xml:space="preserve">Seagull/6387</t>
  </si>
  <si>
    <t xml:space="preserve">Phillips</t>
  </si>
  <si>
    <t xml:space="preserve">Seagull Mktg/4132</t>
  </si>
  <si>
    <t xml:space="preserve">Seagull Mktg/2356</t>
  </si>
  <si>
    <t xml:space="preserve">Roche</t>
  </si>
  <si>
    <t xml:space="preserve">Seagull Mktg/990</t>
  </si>
  <si>
    <t xml:space="preserve">Rhom and Haas</t>
  </si>
  <si>
    <t xml:space="preserve">Shoreline/7211</t>
  </si>
  <si>
    <t xml:space="preserve">San Jacinto Industrial</t>
  </si>
  <si>
    <t xml:space="preserve">Shoreline/6722</t>
  </si>
  <si>
    <t xml:space="preserve">Shell Chem</t>
  </si>
  <si>
    <t xml:space="preserve">Sonat/308</t>
  </si>
  <si>
    <t xml:space="preserve">STB</t>
  </si>
  <si>
    <t xml:space="preserve">Solvay</t>
  </si>
  <si>
    <t xml:space="preserve">Tejones</t>
  </si>
  <si>
    <t xml:space="preserve">Southern Ionics</t>
  </si>
  <si>
    <t xml:space="preserve">Texlan</t>
  </si>
  <si>
    <t xml:space="preserve">Sterling</t>
  </si>
  <si>
    <t xml:space="preserve">The Houston Exploration</t>
  </si>
  <si>
    <t xml:space="preserve">Triad</t>
  </si>
  <si>
    <t xml:space="preserve">Texas Industries</t>
  </si>
  <si>
    <t xml:space="preserve">Tribo</t>
  </si>
  <si>
    <t xml:space="preserve">United Minerals</t>
  </si>
  <si>
    <t xml:space="preserve">United Salt</t>
  </si>
  <si>
    <t xml:space="preserve">Upstream</t>
  </si>
  <si>
    <t xml:space="preserve">4548,5155,6763</t>
  </si>
  <si>
    <t xml:space="preserve">Valero </t>
  </si>
  <si>
    <t xml:space="preserve">Valence/4132</t>
  </si>
  <si>
    <t xml:space="preserve">Velsicol</t>
  </si>
  <si>
    <t xml:space="preserve">Williams</t>
  </si>
  <si>
    <t xml:space="preserve">Vintage PL</t>
  </si>
  <si>
    <t xml:space="preserve">Wyman Gordan</t>
  </si>
  <si>
    <t xml:space="preserve">Zeneca</t>
  </si>
  <si>
    <t xml:space="preserve">Wagner Brown</t>
  </si>
  <si>
    <t xml:space="preserve">Western Gulf</t>
  </si>
  <si>
    <t xml:space="preserve">Occidental</t>
  </si>
  <si>
    <t xml:space="preserve">Zachry</t>
  </si>
  <si>
    <t xml:space="preserve">Rhodia</t>
  </si>
  <si>
    <t xml:space="preserve">Re-negotiating</t>
  </si>
  <si>
    <t xml:space="preserve">yates</t>
  </si>
  <si>
    <t xml:space="preserve">Rhone Poulenc</t>
  </si>
  <si>
    <t xml:space="preserve">Beam Meth</t>
  </si>
  <si>
    <t xml:space="preserve">gd</t>
  </si>
  <si>
    <t xml:space="preserve">10 gd</t>
  </si>
  <si>
    <t xml:space="preserve">Adjustments</t>
  </si>
  <si>
    <t xml:space="preserve">Marathon </t>
  </si>
  <si>
    <t xml:space="preserve">5 gd</t>
  </si>
  <si>
    <t xml:space="preserve">Valero</t>
  </si>
  <si>
    <t xml:space="preserve">Total Adjustments</t>
  </si>
  <si>
    <t xml:space="preserve">Base Supply</t>
  </si>
  <si>
    <t xml:space="preserve">HPLC Base</t>
  </si>
  <si>
    <t xml:space="preserve">Gulf Energy</t>
  </si>
  <si>
    <t xml:space="preserve">Unify</t>
  </si>
  <si>
    <t xml:space="preserve">Unocal</t>
  </si>
  <si>
    <t xml:space="preserve">Cliffwood</t>
  </si>
  <si>
    <t xml:space="preserve">Coastal</t>
  </si>
  <si>
    <t xml:space="preserve">Saxet</t>
  </si>
  <si>
    <t xml:space="preserve">O'conner&amp;Hewwitt</t>
  </si>
  <si>
    <t xml:space="preserve">Cody/Wagner Oil</t>
  </si>
  <si>
    <t xml:space="preserve">Usage/Sales</t>
  </si>
  <si>
    <t xml:space="preserve">Bellweather</t>
  </si>
  <si>
    <t xml:space="preserve">Sitara HPLC Balance</t>
  </si>
  <si>
    <t xml:space="preserve">Blackhawk</t>
  </si>
  <si>
    <t xml:space="preserve">D&amp;P</t>
  </si>
  <si>
    <t xml:space="preserve">Eog</t>
  </si>
  <si>
    <t xml:space="preserve">Geo</t>
  </si>
  <si>
    <t xml:space="preserve">after usage</t>
  </si>
  <si>
    <t xml:space="preserve">Shrink 3 rivers</t>
  </si>
  <si>
    <t xml:space="preserve">States</t>
  </si>
  <si>
    <t xml:space="preserve">Wagner</t>
  </si>
  <si>
    <t xml:space="preserve">usage</t>
  </si>
  <si>
    <t xml:space="preserve">Usage in Sitara</t>
  </si>
  <si>
    <t xml:space="preserve">Danex</t>
  </si>
  <si>
    <t xml:space="preserve">Not in Sitara</t>
  </si>
  <si>
    <t xml:space="preserve">Central</t>
  </si>
  <si>
    <t xml:space="preserve">Christeve</t>
  </si>
  <si>
    <t xml:space="preserve">Adjusted Base Supply</t>
  </si>
  <si>
    <t xml:space="preserve">Exxon/KR</t>
  </si>
  <si>
    <t xml:space="preserve">Gaither</t>
  </si>
  <si>
    <t xml:space="preserve">H&amp;D</t>
  </si>
  <si>
    <t xml:space="preserve">Lamay</t>
  </si>
  <si>
    <t xml:space="preserve">Prefered Pipe</t>
  </si>
  <si>
    <t xml:space="preserve">Entex</t>
  </si>
  <si>
    <t xml:space="preserve">Texaco</t>
  </si>
  <si>
    <t xml:space="preserve">Operational</t>
  </si>
  <si>
    <t xml:space="preserve">EOG/9788</t>
  </si>
  <si>
    <t xml:space="preserve">Feb</t>
  </si>
  <si>
    <t xml:space="preserve">Jan</t>
  </si>
  <si>
    <t xml:space="preserve">ENTEX TOTAL</t>
  </si>
  <si>
    <t xml:space="preserve">ENTEX  - Residential</t>
  </si>
  <si>
    <t xml:space="preserve">ENTEX  - H,W,C</t>
  </si>
  <si>
    <t xml:space="preserve">ENTEX  - Industrial</t>
  </si>
  <si>
    <t xml:space="preserve">EGP Fuels </t>
  </si>
  <si>
    <t xml:space="preserve">Calpine Cogen    70 - Cl Lk,   90 - Tx City</t>
  </si>
  <si>
    <t xml:space="preserve">Texas Desk Storage</t>
  </si>
  <si>
    <t xml:space="preserve">Cima/6284</t>
  </si>
  <si>
    <t xml:space="preserve">Cerrito/1558</t>
  </si>
  <si>
    <t xml:space="preserve">Wyman-Gordan</t>
  </si>
  <si>
    <t xml:space="preserve">Bayer</t>
  </si>
  <si>
    <t xml:space="preserve">City of Garland</t>
  </si>
  <si>
    <t xml:space="preserve">Am Coastal</t>
  </si>
  <si>
    <t xml:space="preserve">Aquarius</t>
  </si>
  <si>
    <t xml:space="preserve">Exxon </t>
  </si>
  <si>
    <t xml:space="preserve">Burlington</t>
  </si>
  <si>
    <t xml:space="preserve">Lyondell Citgo</t>
  </si>
  <si>
    <t xml:space="preserve">Duke</t>
  </si>
  <si>
    <t xml:space="preserve">Engage </t>
  </si>
  <si>
    <t xml:space="preserve">Rhom &amp; Haas</t>
  </si>
  <si>
    <t xml:space="preserve">Exxxon</t>
  </si>
  <si>
    <t xml:space="preserve">Highland</t>
  </si>
  <si>
    <t xml:space="preserve">JC energy</t>
  </si>
  <si>
    <t xml:space="preserve">Houston Expl</t>
  </si>
  <si>
    <t xml:space="preserve">AEP</t>
  </si>
  <si>
    <t xml:space="preserve">LD</t>
  </si>
  <si>
    <t xml:space="preserve">Brandywine </t>
  </si>
  <si>
    <t xml:space="preserve">Mitchel</t>
  </si>
  <si>
    <t xml:space="preserve">Petrocom</t>
  </si>
  <si>
    <t xml:space="preserve">Occident </t>
  </si>
  <si>
    <t xml:space="preserve">PGE</t>
  </si>
  <si>
    <t xml:space="preserve">East Desk</t>
  </si>
  <si>
    <t xml:space="preserve">Tx Energy Tran</t>
  </si>
  <si>
    <t xml:space="preserve">KN</t>
  </si>
  <si>
    <t xml:space="preserve">Encina</t>
  </si>
  <si>
    <t xml:space="preserve">Titan</t>
  </si>
  <si>
    <t xml:space="preserve">** Valero Bayport down for first 6 days (35,000/d)</t>
  </si>
  <si>
    <t xml:space="preserve">Coastal purch increase mid-month by 20,000.  Our call to accept.  Impacts King Ranch.</t>
  </si>
  <si>
    <t xml:space="preserve">    Global Octanes from -0- to 11,000 on 2/19.</t>
  </si>
  <si>
    <t xml:space="preserve">Costilla purch expected to increase by 7,000 mid-month (Gas Daily)</t>
  </si>
  <si>
    <t xml:space="preserve">Enron Reserve Acq</t>
  </si>
  <si>
    <t xml:space="preserve">cokinos/6480</t>
  </si>
  <si>
    <t xml:space="preserve">Cologne</t>
  </si>
  <si>
    <t xml:space="preserve">avg</t>
  </si>
  <si>
    <t xml:space="preserve">11/day 2/19-29</t>
  </si>
  <si>
    <t xml:space="preserve">6673</t>
  </si>
  <si>
    <t xml:space="preserve">6675</t>
  </si>
  <si>
    <t xml:space="preserve">3405/9643</t>
  </si>
  <si>
    <t xml:space="preserve">5155,6763</t>
  </si>
  <si>
    <t xml:space="preserve">Mar</t>
  </si>
  <si>
    <t xml:space="preserve">El Paso</t>
  </si>
  <si>
    <t xml:space="preserve">Calpine Cogen    73 - Cl Lk,   80 - Tx City</t>
  </si>
  <si>
    <t xml:space="preserve">Air Products/Laport</t>
  </si>
  <si>
    <t xml:space="preserve">Gulf Gas Utilities</t>
  </si>
  <si>
    <t xml:space="preserve">Phillips Sweeney</t>
  </si>
  <si>
    <t xml:space="preserve">Aquila/EOL</t>
  </si>
  <si>
    <t xml:space="preserve">EGM</t>
  </si>
  <si>
    <t xml:space="preserve">North Central/71</t>
  </si>
  <si>
    <t xml:space="preserve">El Paso/EOL</t>
  </si>
  <si>
    <t xml:space="preserve">Engage</t>
  </si>
  <si>
    <t xml:space="preserve">Exxon/Cl Lk</t>
  </si>
  <si>
    <t xml:space="preserve">Louis Dreyfus</t>
  </si>
  <si>
    <t xml:space="preserve">Goldston</t>
  </si>
  <si>
    <t xml:space="preserve">Mitchell</t>
  </si>
  <si>
    <t xml:space="preserve">CP&amp;L</t>
  </si>
  <si>
    <t xml:space="preserve">JC Energy</t>
  </si>
  <si>
    <t xml:space="preserve">Loius Dreyfus</t>
  </si>
  <si>
    <t xml:space="preserve">ICC</t>
  </si>
  <si>
    <t xml:space="preserve">Saxet-Osprey #3   8,000/day at Gas Daily</t>
  </si>
  <si>
    <t xml:space="preserve">Wellhead Sales</t>
  </si>
  <si>
    <t xml:space="preserve">w</t>
  </si>
  <si>
    <t xml:space="preserve">1-10  zero, 11-31  33/d</t>
  </si>
  <si>
    <t xml:space="preserve">Terminates 4/1/00</t>
  </si>
  <si>
    <t xml:space="preserve">Apr</t>
  </si>
  <si>
    <t xml:space="preserve">Booked</t>
  </si>
  <si>
    <t xml:space="preserve">HPLR Liqs Shrinkage</t>
  </si>
  <si>
    <t xml:space="preserve">AEP/6351</t>
  </si>
  <si>
    <t xml:space="preserve">Louis-Pacific</t>
  </si>
  <si>
    <t xml:space="preserve">Koch/Waha</t>
  </si>
  <si>
    <t xml:space="preserve">Conoco/Waha</t>
  </si>
  <si>
    <t xml:space="preserve">TXU/Waha</t>
  </si>
  <si>
    <t xml:space="preserve">Burlington / LS</t>
  </si>
  <si>
    <t xml:space="preserve">Entex Gas Mktg / 1370</t>
  </si>
  <si>
    <t xml:space="preserve">Aquila-EOL</t>
  </si>
  <si>
    <t xml:space="preserve">Philips / CL</t>
  </si>
  <si>
    <t xml:space="preserve">Encore Acq</t>
  </si>
  <si>
    <t xml:space="preserve">Phillips CL</t>
  </si>
  <si>
    <t xml:space="preserve">E-Prime</t>
  </si>
  <si>
    <t xml:space="preserve">Western-EOL</t>
  </si>
  <si>
    <t xml:space="preserve">El Paso </t>
  </si>
  <si>
    <t xml:space="preserve">E-Prime-EOL</t>
  </si>
  <si>
    <t xml:space="preserve">Texaco-EOL</t>
  </si>
  <si>
    <t xml:space="preserve">Southern</t>
  </si>
  <si>
    <t xml:space="preserve">Tejas</t>
  </si>
  <si>
    <t xml:space="preserve">Altrade</t>
  </si>
  <si>
    <t xml:space="preserve">American Central Energy</t>
  </si>
  <si>
    <t xml:space="preserve">Wagner &amp; Brown</t>
  </si>
  <si>
    <t xml:space="preserve">Oxy Viyls</t>
  </si>
  <si>
    <t xml:space="preserve">Oneok</t>
  </si>
  <si>
    <t xml:space="preserve">Minerals Mgmt</t>
  </si>
  <si>
    <t xml:space="preserve">tx</t>
  </si>
  <si>
    <t xml:space="preserve">wh 4/1/00</t>
  </si>
  <si>
    <t xml:space="preserve"> </t>
  </si>
  <si>
    <t xml:space="preserve">Terminated 3/31/00</t>
  </si>
  <si>
    <t xml:space="preserve">PH</t>
  </si>
  <si>
    <t xml:space="preserve">6838</t>
  </si>
  <si>
    <t xml:space="preserve">terminated 3/31/00</t>
  </si>
  <si>
    <t xml:space="preserve">Avg 29.167 at Bayport.  -0- 4/1-5</t>
  </si>
  <si>
    <t xml:space="preserve">change from mar</t>
  </si>
  <si>
    <t xml:space="preserve">May</t>
  </si>
  <si>
    <t xml:space="preserve">Calpine Cogen    73 - Cl Lk,   85 - Tx City</t>
  </si>
  <si>
    <t xml:space="preserve">75 into Midcon</t>
  </si>
  <si>
    <t xml:space="preserve">Carthage</t>
  </si>
  <si>
    <t xml:space="preserve">El Paso Merchant</t>
  </si>
  <si>
    <t xml:space="preserve">Chevron **</t>
  </si>
  <si>
    <t xml:space="preserve">Reliant</t>
  </si>
  <si>
    <t xml:space="preserve">Texla</t>
  </si>
  <si>
    <t xml:space="preserve">Shoreham</t>
  </si>
  <si>
    <t xml:space="preserve">Phillips / CL</t>
  </si>
  <si>
    <t xml:space="preserve">R Lacy</t>
  </si>
  <si>
    <t xml:space="preserve">CSW</t>
  </si>
  <si>
    <t xml:space="preserve">Exxon Mobil</t>
  </si>
  <si>
    <t xml:space="preserve">JC</t>
  </si>
  <si>
    <t xml:space="preserve">Oxy Vinyls</t>
  </si>
  <si>
    <t xml:space="preserve">American Central</t>
  </si>
  <si>
    <t xml:space="preserve">Tufco</t>
  </si>
  <si>
    <t xml:space="preserve">West</t>
  </si>
  <si>
    <t xml:space="preserve">USGT</t>
  </si>
  <si>
    <t xml:space="preserve">OneOk</t>
  </si>
  <si>
    <t xml:space="preserve">20,000 with Equistar is to be delivered off Tejas or Channel</t>
  </si>
  <si>
    <t xml:space="preserve">Aspect</t>
  </si>
  <si>
    <t xml:space="preserve">Gulf Coast</t>
  </si>
  <si>
    <t xml:space="preserve">Baroid/Dresser</t>
  </si>
  <si>
    <t xml:space="preserve">Cogen Lyon</t>
  </si>
  <si>
    <t xml:space="preserve">May be Wellhead ----&gt;</t>
  </si>
  <si>
    <t xml:space="preserve">Gas Solutions</t>
  </si>
  <si>
    <t xml:space="preserve">Hilcorp</t>
  </si>
  <si>
    <t xml:space="preserve">Roberson/Pecos</t>
  </si>
  <si>
    <t xml:space="preserve">6782, BM</t>
  </si>
  <si>
    <t xml:space="preserve">El Paso / Sonat</t>
  </si>
  <si>
    <t xml:space="preserve">South Hampton</t>
  </si>
  <si>
    <t xml:space="preserve">Torch-Rally</t>
  </si>
  <si>
    <t xml:space="preserve">June</t>
  </si>
  <si>
    <t xml:space="preserve">65 HPLR, 40 WB</t>
  </si>
  <si>
    <t xml:space="preserve">95 into Midcon</t>
  </si>
  <si>
    <t xml:space="preserve">Aquila / EOL</t>
  </si>
  <si>
    <t xml:space="preserve">Hl&amp;p</t>
  </si>
  <si>
    <t xml:space="preserve">E-Prim EOL</t>
  </si>
  <si>
    <t xml:space="preserve">Micnic</t>
  </si>
  <si>
    <t xml:space="preserve">Cannon Interests</t>
  </si>
  <si>
    <t xml:space="preserve">Mitchell TG</t>
  </si>
  <si>
    <t xml:space="preserve">Oneok / TG</t>
  </si>
  <si>
    <t xml:space="preserve">Tenaska / OK</t>
  </si>
  <si>
    <t xml:space="preserve">Rohm &amp; Haas</t>
  </si>
  <si>
    <t xml:space="preserve">Wag Brown</t>
  </si>
  <si>
    <t xml:space="preserve">Dynegy EOL</t>
  </si>
  <si>
    <t xml:space="preserve">ABB</t>
  </si>
  <si>
    <t xml:space="preserve">Alltrade</t>
  </si>
  <si>
    <t xml:space="preserve">Aquila EOL</t>
  </si>
  <si>
    <t xml:space="preserve">Tufco/SDS</t>
  </si>
  <si>
    <t xml:space="preserve">Richardson EOL</t>
  </si>
  <si>
    <t xml:space="preserve">Aquila EOL 4.095</t>
  </si>
  <si>
    <t xml:space="preserve">USGT EOL </t>
  </si>
  <si>
    <t xml:space="preserve">USGT EOL 4.08</t>
  </si>
  <si>
    <t xml:space="preserve">Southern </t>
  </si>
  <si>
    <t xml:space="preserve">Southern EOL</t>
  </si>
  <si>
    <t xml:space="preserve">Tenaska EOL</t>
  </si>
  <si>
    <t xml:space="preserve">USGT EOL</t>
  </si>
  <si>
    <t xml:space="preserve">Ames</t>
  </si>
  <si>
    <t xml:space="preserve">hpl</t>
  </si>
  <si>
    <t xml:space="preserve">WH</t>
  </si>
  <si>
    <t xml:space="preserve">Seminole PL</t>
  </si>
</sst>
</file>

<file path=xl/styles.xml><?xml version="1.0" encoding="utf-8"?>
<styleSheet xmlns="http://schemas.openxmlformats.org/spreadsheetml/2006/main">
  <numFmts count="108">
    <numFmt numFmtId="164" formatCode="General"/>
    <numFmt numFmtId="165" formatCode="#,###___);\(#,##0\);&quot; - &quot;__"/>
    <numFmt numFmtId="166" formatCode="#,##0.00__;;"/>
    <numFmt numFmtId="167" formatCode="#,##0.00000___;;;"/>
    <numFmt numFmtId="168" formatCode="#,##0_);\(#,##0\);&quot; -    &quot;"/>
    <numFmt numFmtId="169" formatCode="[$-409]#,##0_);[RED]\(#,##0\)"/>
    <numFmt numFmtId="170" formatCode="\$#,##0_);[RED]&quot;($&quot;#,##0\)"/>
    <numFmt numFmtId="171" formatCode="&quot;$         &quot;#,###.00_);&quot;$         (&quot;#,###.00\);&quot;$               -&quot;"/>
    <numFmt numFmtId="172" formatCode="&quot;$         &quot;#,###.00_);&quot;$         (&quot;#,###.00\);&quot;$              -&quot;"/>
    <numFmt numFmtId="173" formatCode="#,##0.0_______);\(#,##0.0\);______&quot; -  &quot;"/>
    <numFmt numFmtId="174" formatCode="#,##0.00__\);\(#,##0.00\);__&quot;  -&quot;"/>
    <numFmt numFmtId="175" formatCode="#,##0___);\(#,##0\)_;&quot; -&quot;__&quot;  &quot;"/>
    <numFmt numFmtId="176" formatCode="0.0%&quot; )&quot;"/>
    <numFmt numFmtId="177" formatCode="\£#,##0.00;&quot;-£&quot;#,##0.00"/>
    <numFmt numFmtId="178" formatCode="\$#,##0;&quot;-$&quot;#,##0"/>
    <numFmt numFmtId="179" formatCode="[$-409]#,##0.00_);[RED]\(#,##0.00\)"/>
    <numFmt numFmtId="180" formatCode="\$#,##0.00_);[RED]&quot;($&quot;#,##0.00\)"/>
    <numFmt numFmtId="181" formatCode="&quot;$         &quot;#,###.00_);&quot;$         (&quot;#,###.00\);&quot;$                -&quot;"/>
    <numFmt numFmtId="182" formatCode="#,##0.00___);\(#,##0.00\);___ &quot; -&quot;"/>
    <numFmt numFmtId="183" formatCode="&quot;$   &quot;#,##0.00_);&quot;($   &quot;#,##0.00\);&quot;$          -&quot;"/>
    <numFmt numFmtId="184" formatCode="_(##0_);\(##0\)_1;\-_)_ _ "/>
    <numFmt numFmtId="185" formatCode="_(* #,##0_);_(* \(#,##0\);_(* \-_);_(@_)"/>
    <numFmt numFmtId="186" formatCode="_-* #,##0_-;\-* #,##0_-;_-* \-_-;_-@_-"/>
    <numFmt numFmtId="187" formatCode="\$#,##0.0_);[RED]&quot;($&quot;#,##0.0\)"/>
    <numFmt numFmtId="188" formatCode="#,##0_________);\(#,##0\);_________-&quot;  &quot;"/>
    <numFmt numFmtId="189" formatCode="&quot;$  &quot;#,##0.0_);[RED]&quot;($  &quot;#,##0.0\)"/>
    <numFmt numFmtId="190" formatCode="#,##0.0000_);\(#,##0.0000\);_ &quot;-  &quot;"/>
    <numFmt numFmtId="191" formatCode="#,##0_)_ ;\(#,##0&quot;) &quot;;\-_)_ _ "/>
    <numFmt numFmtId="192" formatCode="0.0%\);\(0.0\)%;&quot; -&quot;"/>
    <numFmt numFmtId="193" formatCode="0.000"/>
    <numFmt numFmtId="194" formatCode="#,##0_);\(#,##0&quot;)-&quot;"/>
    <numFmt numFmtId="195" formatCode="_(* #,##0.00_);_(* \(#,##0.00\);_(* \-??_);_(@_)"/>
    <numFmt numFmtId="196" formatCode="_-* #,##0.00_-;\-* #,##0.00_-;_-* \-??_-;_-@_-"/>
    <numFmt numFmtId="197" formatCode="#,##0.00"/>
    <numFmt numFmtId="198" formatCode="_-\£* #,##0_-;&quot;-£&quot;* #,##0_-;_-\£* \-_-;_-@_-"/>
    <numFmt numFmtId="199" formatCode="#,##0.0_);[RED]\(#,##0.0\);\-"/>
    <numFmt numFmtId="200" formatCode="#,###_);\(#,##0\);&quot; -&quot;_ "/>
    <numFmt numFmtId="201" formatCode="0.0%_;\(0\.0\)%;&quot; -   &quot;"/>
    <numFmt numFmtId="202" formatCode="_##,##0_);\(#,##0&quot;) &quot;;\-_)_ _ "/>
    <numFmt numFmtId="203" formatCode="0.0%\ ;\(0.0\)%\ ;&quot;-   &quot;"/>
    <numFmt numFmtId="204" formatCode="0.000%"/>
    <numFmt numFmtId="205" formatCode="_(\$* #,##0_);_(\$* \(#,##0\);_(\$* \-_);_(@_)"/>
    <numFmt numFmtId="206" formatCode="_-\$* #,##0_-;&quot;-$&quot;* #,##0_-;_-\$* \-_-;_-@_-"/>
    <numFmt numFmtId="207" formatCode="#,##0.0________\);\(#,##0.0\);________&quot; -  &quot;"/>
    <numFmt numFmtId="208" formatCode="\$#,##0;[RED]&quot;-$&quot;#,##0"/>
    <numFmt numFmtId="209" formatCode="###,###"/>
    <numFmt numFmtId="210" formatCode="&quot;$   &quot;#,##0_);[RED]&quot;$   (&quot;#,##0\);&quot;$         -&quot;"/>
    <numFmt numFmtId="211" formatCode="#,##0.000_);\(#,##0.000\);&quot; -  &quot;"/>
    <numFmt numFmtId="212" formatCode="#,##0.000_);\(#,##0.000\)"/>
    <numFmt numFmtId="213" formatCode="&quot;$        &quot;#,###.00_);&quot;$        (&quot;#,###.00\);&quot;$                -&quot;"/>
    <numFmt numFmtId="214" formatCode="\£#,##0;[RED]&quot;-£&quot;#,##0"/>
    <numFmt numFmtId="215" formatCode="#,##0.00_);\(#,##0.00\);&quot;-  &quot;"/>
    <numFmt numFmtId="216" formatCode="#,##0.0_________);\(#,##0.0\);________&quot; -  &quot;"/>
    <numFmt numFmtId="217" formatCode="#,###.0_);\(#,##0.0\);&quot; - &quot;_ "/>
    <numFmt numFmtId="218" formatCode="#,##0___);\(#,##0\);&quot; -&quot;__&quot;  &quot;"/>
    <numFmt numFmtId="219" formatCode="_(* #,##0.0_);_(* \(#,##0.0\);_(* \-_);_(@_)"/>
    <numFmt numFmtId="220" formatCode="#,##0___);\(#,##0\);&quot; - &quot;__"/>
    <numFmt numFmtId="221" formatCode="#,##0_);[RED]\(#,##0\);\-"/>
    <numFmt numFmtId="222" formatCode="#,##0.0_);\(#,##0.0\);_ &quot; -&quot;"/>
    <numFmt numFmtId="223" formatCode="&quot;$  &quot;#,##0_);[RED]&quot;($  &quot;#,##0\)"/>
    <numFmt numFmtId="224" formatCode="0.0%_);\(0.0\)%;&quot; -&quot;"/>
    <numFmt numFmtId="225" formatCode="#,##0_)_ ;\(#,##0&quot;) &quot;;&quot; -&quot;_ _)"/>
    <numFmt numFmtId="226" formatCode="_-\£* #,##0.00_-;&quot;-£&quot;* #,##0.00_-;_-\£* \-??_-;_-@_-"/>
    <numFmt numFmtId="227" formatCode="0.0"/>
    <numFmt numFmtId="228" formatCode="0.0%;\(0.0\)%;&quot; -  &quot;"/>
    <numFmt numFmtId="229" formatCode="#.0,,;[RED]\(#.0,,\)"/>
    <numFmt numFmtId="230" formatCode="_(\$* #,##0.00_);_(\$* \(#,##0.00\);_(\$* \-??_);_(@_)"/>
    <numFmt numFmtId="231" formatCode="_-\$* #,##0.00_-;&quot;-$&quot;* #,##0.00_-;_-\$* \-??_-;_-@_-"/>
    <numFmt numFmtId="232" formatCode="\$#,##0.00;[RED]&quot;-$&quot;#,##0.00"/>
    <numFmt numFmtId="233" formatCode="#,##0.000_);[RED]\(#,##0.000\)"/>
    <numFmt numFmtId="234" formatCode="&quot;$   &quot;#,##0_);[RED]&quot;$   (&quot;#,##0\);&quot;$            -&quot;"/>
    <numFmt numFmtId="235" formatCode="###0"/>
    <numFmt numFmtId="236" formatCode="\£#,##0.00;[RED]&quot;-£&quot;#,##0.00"/>
    <numFmt numFmtId="237" formatCode="&quot;$         &quot;#,###.00_);&quot;$       (&quot;#,###.00\);&quot;$                -&quot;"/>
    <numFmt numFmtId="238" formatCode="#,##0_);\(#,##0\);&quot;-  &quot;"/>
    <numFmt numFmtId="239" formatCode="#,##0.0_________);\(#,##0.0\);&quot; -  &quot;"/>
    <numFmt numFmtId="240" formatCode="0.0_;;;"/>
    <numFmt numFmtId="241" formatCode="#,##0___);\(#,##0\)___;&quot; -&quot;__&quot;  &quot;"/>
    <numFmt numFmtId="242" formatCode="0.0_%;\(0.0\)%;&quot; -   &quot;"/>
    <numFmt numFmtId="243" formatCode="&quot;$  &quot;#,##0.00_);[RED]&quot;($  &quot;#,##0.00\)"/>
    <numFmt numFmtId="244" formatCode="#,##0_);\(#,##0&quot;) &quot;;\-_)_ _ "/>
    <numFmt numFmtId="245" formatCode="#,##0.0________\);\(#,##0.0\);_______ &quot;-  &quot;"/>
    <numFmt numFmtId="246" formatCode="0.00"/>
    <numFmt numFmtId="247" formatCode="#,###_)_ "/>
    <numFmt numFmtId="248" formatCode="_##,##0_);\(#,##0\);\-_)_ _ "/>
    <numFmt numFmtId="249" formatCode="#,##0_);\(#,##0\);\-_)_ _ "/>
    <numFmt numFmtId="250" formatCode="#,##0.00000_);\(#,##0.00000\)"/>
    <numFmt numFmtId="251" formatCode="#,##0_);\(#,##0\);\-"/>
    <numFmt numFmtId="252" formatCode="#,###_)"/>
    <numFmt numFmtId="253" formatCode="[$-409]#,##0_);\(#,##0\)"/>
    <numFmt numFmtId="254" formatCode="0.00_)"/>
    <numFmt numFmtId="255" formatCode=".0000%"/>
    <numFmt numFmtId="256" formatCode="#,##0.0_);\(#,##0.0\)"/>
    <numFmt numFmtId="257" formatCode="#,##0"/>
    <numFmt numFmtId="258" formatCode="#,##0.0000_);[RED]\(#,##0.0000\)"/>
    <numFmt numFmtId="259" formatCode="0"/>
    <numFmt numFmtId="260" formatCode="0.00%"/>
    <numFmt numFmtId="261" formatCode="0%"/>
    <numFmt numFmtId="262" formatCode="General_)"/>
    <numFmt numFmtId="263" formatCode="dd\-mmm_)"/>
    <numFmt numFmtId="264" formatCode="hh:mm\ AM/PM_)"/>
    <numFmt numFmtId="265" formatCode="0.0_)"/>
    <numFmt numFmtId="266" formatCode="_(* #,##0.00000_);_(* \(#,##0.00000\);_(* \-??_);_(@_)"/>
    <numFmt numFmtId="267" formatCode="_(* #,##0_);_(* \(#,##0\);_(* \-??_);_(@_)"/>
    <numFmt numFmtId="268" formatCode="[$-409]#,##0.00_);\(#,##0.00\)"/>
    <numFmt numFmtId="269" formatCode="[$-409]m/d/yyyy"/>
    <numFmt numFmtId="270" formatCode="[$-409]d\-mmm"/>
    <numFmt numFmtId="271" formatCode="[$-409]mmm\-yy"/>
  </numFmts>
  <fonts count="9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MS Sans Serif"/>
      <family val="2"/>
    </font>
    <font>
      <sz val="12"/>
      <name val="???"/>
      <family val="3"/>
      <charset val="129"/>
    </font>
    <font>
      <sz val="12"/>
      <name val="???"/>
      <family val="1"/>
      <charset val="129"/>
    </font>
    <font>
      <sz val="10"/>
      <name val="???"/>
      <family val="3"/>
      <charset val="129"/>
    </font>
    <font>
      <sz val="11"/>
      <name val="??"/>
      <family val="3"/>
      <charset val="129"/>
    </font>
    <font>
      <sz val="10"/>
      <name val="Arial"/>
      <family val="2"/>
    </font>
    <font>
      <sz val="11"/>
      <name val="???"/>
      <family val="1"/>
      <charset val="129"/>
    </font>
    <font>
      <sz val="11"/>
      <name val="???"/>
      <family val="3"/>
      <charset val="129"/>
    </font>
    <font>
      <b val="true"/>
      <sz val="9.5"/>
      <name val="Courier New"/>
      <family val="0"/>
    </font>
    <font>
      <sz val="10"/>
      <name val="MS Sans Serif"/>
      <family val="0"/>
    </font>
    <font>
      <b val="true"/>
      <sz val="9.85"/>
      <name val="Times New Roman"/>
      <family val="0"/>
    </font>
    <font>
      <b val="true"/>
      <sz val="12"/>
      <name val="Times New Roman"/>
      <family val="0"/>
    </font>
    <font>
      <sz val="8"/>
      <name val="Arial"/>
      <family val="2"/>
    </font>
    <font>
      <b val="true"/>
      <u val="single"/>
      <sz val="11"/>
      <color rgb="FF800000"/>
      <name val="Arial"/>
      <family val="2"/>
    </font>
    <font>
      <b val="true"/>
      <sz val="12"/>
      <name val="Arial"/>
      <family val="2"/>
    </font>
    <font>
      <b val="true"/>
      <sz val="12"/>
      <name val="Arial"/>
      <family val="0"/>
    </font>
    <font>
      <sz val="10"/>
      <color rgb="FF0000FF"/>
      <name val="Arial"/>
      <family val="2"/>
    </font>
    <font>
      <sz val="7"/>
      <name val="Small Fonts"/>
      <family val="0"/>
    </font>
    <font>
      <b val="true"/>
      <i val="true"/>
      <sz val="16"/>
      <name val="Arial"/>
      <family val="0"/>
    </font>
    <font>
      <sz val="12"/>
      <name val="Arial"/>
      <family val="0"/>
    </font>
    <font>
      <sz val="8"/>
      <name val="Times New Roman"/>
      <family val="0"/>
    </font>
    <font>
      <sz val="8"/>
      <name val="Arial"/>
      <family val="0"/>
    </font>
    <font>
      <sz val="12"/>
      <name val="Arial"/>
      <family val="2"/>
    </font>
    <font>
      <sz val="10"/>
      <name val="Times New Roman"/>
      <family val="0"/>
    </font>
    <font>
      <sz val="10"/>
      <name val="Courier New"/>
      <family val="0"/>
    </font>
    <font>
      <sz val="8"/>
      <name val="SWISS"/>
      <family val="0"/>
    </font>
    <font>
      <sz val="12"/>
      <name val="Courier New"/>
      <family val="3"/>
    </font>
    <font>
      <sz val="8"/>
      <name val="Courier New"/>
      <family val="3"/>
    </font>
    <font>
      <sz val="10"/>
      <name val="Geneva"/>
      <family val="2"/>
    </font>
    <font>
      <sz val="9"/>
      <name val="Times New Roman"/>
      <family val="0"/>
    </font>
    <font>
      <sz val="10"/>
      <name val="Book Antiqua"/>
      <family val="0"/>
    </font>
    <font>
      <sz val="10"/>
      <name val="Book Antiqua"/>
      <family val="1"/>
    </font>
    <font>
      <sz val="10"/>
      <name val="Times New Roman"/>
      <family val="1"/>
    </font>
    <font>
      <sz val="8"/>
      <name val=""/>
      <family val="0"/>
    </font>
    <font>
      <sz val="11"/>
      <name val="Arial"/>
      <family val="0"/>
    </font>
    <font>
      <sz val="12"/>
      <name val="Comic Sans MS"/>
      <family val="0"/>
    </font>
    <font>
      <sz val="8"/>
      <name val="MS Sans Serif"/>
      <family val="2"/>
    </font>
    <font>
      <sz val="9"/>
      <name val="Arial"/>
      <family val="0"/>
    </font>
    <font>
      <sz val="12"/>
      <name val="Century Schoolbook"/>
      <family val="0"/>
    </font>
    <font>
      <sz val="12"/>
      <name val="Times New Roman"/>
      <family val="1"/>
    </font>
    <font>
      <sz val="10"/>
      <name val="Courier New"/>
      <family val="3"/>
    </font>
    <font>
      <sz val="10"/>
      <name val="Univers (W1)"/>
      <family val="0"/>
    </font>
    <font>
      <sz val="12"/>
      <name val="Times New Roman"/>
      <family val="0"/>
    </font>
    <font>
      <sz val="10"/>
      <name val="Univers (W1)"/>
      <family val="2"/>
    </font>
    <font>
      <b val="true"/>
      <sz val="14"/>
      <name val="Times New Roman"/>
      <family val="1"/>
    </font>
    <font>
      <b val="true"/>
      <sz val="14"/>
      <name val="Times New Roman"/>
      <family val="0"/>
    </font>
    <font>
      <sz val="10"/>
      <name val="Geneva"/>
      <family val="0"/>
    </font>
    <font>
      <sz val="14"/>
      <name val="AngsanaUPC"/>
      <family val="1"/>
    </font>
    <font>
      <sz val="9"/>
      <name val="Arial Narrow"/>
      <family val="2"/>
    </font>
    <font>
      <sz val="7"/>
      <name val="Arial"/>
      <family val="2"/>
    </font>
    <font>
      <sz val="7"/>
      <name val="Arial"/>
      <family val="0"/>
    </font>
    <font>
      <sz val="12"/>
      <name val="EucrosiaUPC"/>
      <family val="1"/>
    </font>
    <font>
      <sz val="14"/>
      <name val="CordiaUPC"/>
      <family val="1"/>
    </font>
    <font>
      <sz val="10"/>
      <name val="Advisor SSi"/>
      <family val="1"/>
    </font>
    <font>
      <sz val="14"/>
      <name val="FreesiaUPC"/>
      <family val="1"/>
    </font>
    <font>
      <sz val="12"/>
      <name val="PathWay Access 3.0"/>
      <family val="3"/>
    </font>
    <font>
      <sz val="8.5"/>
      <name val="MS Sans Serif"/>
      <family val="2"/>
    </font>
    <font>
      <sz val="12"/>
      <name val="SWISS"/>
      <family val="0"/>
    </font>
    <font>
      <sz val="10"/>
      <name val="Century Gothic"/>
      <family val="0"/>
    </font>
    <font>
      <sz val="10"/>
      <name val="SWISS"/>
      <family val="0"/>
    </font>
    <font>
      <sz val="10"/>
      <name val="Arial Narrow"/>
      <family val="2"/>
    </font>
    <font>
      <sz val="10"/>
      <color rgb="FF000000"/>
      <name val="MS Sans Serif"/>
      <family val="0"/>
    </font>
    <font>
      <sz val="11"/>
      <name val="Book Antiqua"/>
      <family val="1"/>
    </font>
    <font>
      <sz val="10"/>
      <name val="TimesNewRomanPS"/>
      <family val="1"/>
    </font>
    <font>
      <sz val="8"/>
      <name val="Times New Roman"/>
      <family val="1"/>
    </font>
    <font>
      <sz val="9.85"/>
      <name val="Times New Roman"/>
      <family val="0"/>
    </font>
    <font>
      <sz val="8"/>
      <color rgb="FF0000FF"/>
      <name val="Arial"/>
      <family val="2"/>
    </font>
    <font>
      <b val="true"/>
      <sz val="10"/>
      <color rgb="FF0000FF"/>
      <name val="Arial"/>
      <family val="0"/>
    </font>
    <font>
      <b val="true"/>
      <sz val="10"/>
      <name val="Arial"/>
      <family val="0"/>
    </font>
    <font>
      <b val="true"/>
      <sz val="10"/>
      <name val="Arial"/>
      <family val="2"/>
    </font>
    <font>
      <sz val="10"/>
      <color rgb="FF0000FF"/>
      <name val="Arial"/>
      <family val="0"/>
    </font>
    <font>
      <sz val="9"/>
      <color rgb="FF0000FF"/>
      <name val="Arial"/>
      <family val="2"/>
    </font>
    <font>
      <b val="true"/>
      <sz val="9"/>
      <name val="Arial"/>
      <family val="2"/>
    </font>
    <font>
      <sz val="10"/>
      <color rgb="FFFF0000"/>
      <name val="Arial"/>
      <family val="0"/>
    </font>
    <font>
      <b val="true"/>
      <sz val="9"/>
      <name val="Arial"/>
      <family val="0"/>
    </font>
    <font>
      <sz val="9"/>
      <color rgb="FF0000FF"/>
      <name val="Arial"/>
      <family val="0"/>
    </font>
    <font>
      <sz val="9"/>
      <color rgb="FFFF0000"/>
      <name val="Arial"/>
      <family val="0"/>
    </font>
    <font>
      <i val="true"/>
      <sz val="10"/>
      <color rgb="FF0000FF"/>
      <name val="Arial"/>
      <family val="0"/>
    </font>
    <font>
      <sz val="9"/>
      <color rgb="FFFF0000"/>
      <name val="Arial"/>
      <family val="2"/>
    </font>
    <font>
      <sz val="9"/>
      <color rgb="FF99CC00"/>
      <name val="Arial"/>
      <family val="2"/>
    </font>
    <font>
      <b val="true"/>
      <sz val="9"/>
      <color rgb="FFFF0000"/>
      <name val="Arial"/>
      <family val="2"/>
    </font>
    <font>
      <sz val="10"/>
      <color rgb="FFFF0000"/>
      <name val="Arial"/>
      <family val="2"/>
    </font>
    <font>
      <b val="true"/>
      <sz val="10"/>
      <color rgb="FFFF0000"/>
      <name val="Arial"/>
      <family val="2"/>
    </font>
    <font>
      <b val="true"/>
      <sz val="9"/>
      <color rgb="FF0000FF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sz val="9"/>
      <name val="Arial"/>
      <family val="2"/>
    </font>
    <font>
      <sz val="8"/>
      <color rgb="FFFF0000"/>
      <name val="Tahoma"/>
      <family val="2"/>
    </font>
    <font>
      <sz val="9"/>
      <color rgb="FFFFFFFF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rgb="FF99CCFF"/>
        <bgColor rgb="FFCCCCFF"/>
      </patternFill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rgb="FFFF00FF"/>
        <bgColor rgb="FFFF00FF"/>
      </patternFill>
    </fill>
    <fill>
      <patternFill patternType="solid">
        <fgColor rgb="FF008080"/>
        <bgColor rgb="FF008080"/>
      </patternFill>
    </fill>
    <fill>
      <patternFill patternType="solid">
        <fgColor rgb="FF99CC00"/>
        <bgColor rgb="FFFFCC00"/>
      </patternFill>
    </fill>
    <fill>
      <patternFill patternType="solid">
        <fgColor rgb="FFFFCC00"/>
        <bgColor rgb="FFFFFF00"/>
      </patternFill>
    </fill>
    <fill>
      <patternFill patternType="solid">
        <fgColor rgb="FFFFFF00"/>
        <bgColor rgb="FFFFFF00"/>
      </patternFill>
    </fill>
    <fill>
      <patternFill patternType="solid">
        <fgColor rgb="FFCCFFCC"/>
        <bgColor rgb="FFCCFFFF"/>
      </patternFill>
    </fill>
    <fill>
      <patternFill patternType="solid">
        <fgColor rgb="FF808080"/>
        <bgColor rgb="FF969696"/>
      </patternFill>
    </fill>
    <fill>
      <patternFill patternType="solid">
        <fgColor rgb="FFCC99FF"/>
        <bgColor rgb="FF9999FF"/>
      </patternFill>
    </fill>
    <fill>
      <patternFill patternType="solid">
        <fgColor rgb="FFFF99CC"/>
        <bgColor rgb="FFFF8080"/>
      </patternFill>
    </fill>
    <fill>
      <patternFill patternType="solid">
        <fgColor rgb="FFFF0000"/>
        <bgColor rgb="FF993300"/>
      </patternFill>
    </fill>
    <fill>
      <patternFill patternType="solid">
        <fgColor rgb="FF339966"/>
        <bgColor rgb="FF008080"/>
      </patternFill>
    </fill>
    <fill>
      <patternFill patternType="solid">
        <fgColor rgb="FFFFCC99"/>
        <bgColor rgb="FFC0C0C0"/>
      </patternFill>
    </fill>
    <fill>
      <patternFill patternType="solid">
        <fgColor rgb="FFFF9900"/>
        <bgColor rgb="FFFFCC00"/>
      </patternFill>
    </fill>
    <fill>
      <patternFill patternType="solid">
        <fgColor rgb="FF00CCFF"/>
        <bgColor rgb="FF33CCCC"/>
      </patternFill>
    </fill>
  </fills>
  <borders count="56">
    <border diagonalUp="false" diagonalDown="false">
      <left/>
      <right/>
      <top/>
      <bottom/>
      <diagonal/>
    </border>
    <border diagonalUp="false" diagonalDown="false">
      <left style="double"/>
      <right/>
      <top/>
      <bottom style="hair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 style="double"/>
      <right style="double"/>
      <top style="double"/>
      <bottom style="double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/>
      <top/>
      <bottom style="medium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 style="dotted"/>
      <top/>
      <bottom style="thin"/>
      <diagonal/>
    </border>
    <border diagonalUp="false" diagonalDown="false">
      <left style="medium"/>
      <right style="dotted"/>
      <top/>
      <bottom/>
      <diagonal/>
    </border>
    <border diagonalUp="false" diagonalDown="false">
      <left/>
      <right style="dotted"/>
      <top/>
      <bottom/>
      <diagonal/>
    </border>
    <border diagonalUp="false" diagonalDown="false">
      <left style="thin"/>
      <right style="dotted"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dotted"/>
      <top/>
      <bottom/>
      <diagonal/>
    </border>
    <border diagonalUp="false" diagonalDown="false">
      <left style="medium"/>
      <right style="dotted"/>
      <top/>
      <bottom style="thin"/>
      <diagonal/>
    </border>
    <border diagonalUp="false" diagonalDown="false">
      <left style="thin"/>
      <right style="dotted"/>
      <top/>
      <bottom style="thin"/>
      <diagonal/>
    </border>
    <border diagonalUp="false" diagonalDown="false">
      <left/>
      <right style="medium"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double"/>
      <diagonal/>
    </border>
    <border diagonalUp="false" diagonalDown="false">
      <left style="medium"/>
      <right style="medium"/>
      <top style="thin"/>
      <bottom/>
      <diagonal/>
    </border>
  </borders>
  <cellStyleXfs count="1556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0" fillId="0" borderId="0" applyFont="true" applyBorder="false" applyAlignment="false" applyProtection="false"/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false" applyAlignment="false" applyProtection="false"/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false" applyAlignment="false" applyProtection="false"/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0" fillId="0" borderId="0" applyFont="true" applyBorder="false" applyAlignment="false" applyProtection="false"/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0" fillId="2" borderId="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84" fontId="0" fillId="0" borderId="0" applyFont="true" applyBorder="false" applyAlignment="false" applyProtection="true">
      <protection locked="true" hidden="false"/>
    </xf>
    <xf numFmtId="174" fontId="0" fillId="0" borderId="0" applyFont="true" applyBorder="false" applyAlignment="false" applyProtection="true">
      <protection locked="true" hidden="false"/>
    </xf>
    <xf numFmtId="184" fontId="0" fillId="0" borderId="0" applyFont="true" applyBorder="false" applyAlignment="false" applyProtection="true">
      <protection locked="true" hidden="false"/>
    </xf>
    <xf numFmtId="174" fontId="0" fillId="0" borderId="0" applyFont="true" applyBorder="false" applyAlignment="false" applyProtection="true">
      <protection locked="true" hidden="false"/>
    </xf>
    <xf numFmtId="185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8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93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98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69" fontId="4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64" fontId="14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20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218" fontId="0" fillId="0" borderId="0" applyFont="true" applyBorder="false" applyAlignment="false" applyProtection="false"/>
    <xf numFmtId="218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20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222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23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23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223" fontId="0" fillId="0" borderId="0" applyFont="true" applyBorder="false" applyAlignment="false" applyProtection="false"/>
    <xf numFmtId="223" fontId="0" fillId="0" borderId="0" applyFont="true" applyBorder="false" applyAlignment="false" applyProtection="false"/>
    <xf numFmtId="22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24" fontId="0" fillId="0" borderId="0" applyFont="true" applyBorder="false" applyAlignment="false" applyProtection="false"/>
    <xf numFmtId="224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25" fontId="0" fillId="0" borderId="0" applyFont="true" applyBorder="false" applyAlignment="false" applyProtection="false"/>
    <xf numFmtId="22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24" fontId="0" fillId="0" borderId="0" applyFont="true" applyBorder="false" applyAlignment="false" applyProtection="false"/>
    <xf numFmtId="224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20" fontId="0" fillId="0" borderId="0" applyFont="true" applyBorder="false" applyAlignment="false" applyProtection="false"/>
    <xf numFmtId="225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24" fontId="0" fillId="0" borderId="0" applyFont="true" applyBorder="false" applyAlignment="false" applyProtection="false"/>
    <xf numFmtId="218" fontId="0" fillId="0" borderId="0" applyFont="true" applyBorder="false" applyAlignment="false" applyProtection="false"/>
    <xf numFmtId="218" fontId="0" fillId="0" borderId="0" applyFont="true" applyBorder="false" applyAlignment="false" applyProtection="false"/>
    <xf numFmtId="224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27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227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20" fontId="0" fillId="0" borderId="0" applyFont="true" applyBorder="false" applyAlignment="false" applyProtection="false"/>
    <xf numFmtId="225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24" fontId="0" fillId="0" borderId="0" applyFont="true" applyBorder="false" applyAlignment="false" applyProtection="false"/>
    <xf numFmtId="218" fontId="0" fillId="0" borderId="0" applyFont="true" applyBorder="false" applyAlignment="false" applyProtection="false"/>
    <xf numFmtId="218" fontId="0" fillId="0" borderId="0" applyFont="true" applyBorder="false" applyAlignment="false" applyProtection="false"/>
    <xf numFmtId="224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2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29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228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164" fontId="15" fillId="0" border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231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33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34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34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34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34" fontId="0" fillId="0" borderId="0" applyFont="true" applyBorder="false" applyAlignment="false" applyProtection="false"/>
    <xf numFmtId="235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3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33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6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3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233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3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3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36" fontId="0" fillId="0" borderId="0" applyFont="true" applyBorder="false" applyAlignment="false" applyProtection="false"/>
    <xf numFmtId="238" fontId="0" fillId="0" borderId="0" applyFont="true" applyBorder="false" applyAlignment="false" applyProtection="false"/>
    <xf numFmtId="238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26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2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39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39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39" fontId="0" fillId="0" borderId="0" applyFont="true" applyBorder="false" applyAlignment="false" applyProtection="false"/>
    <xf numFmtId="240" fontId="0" fillId="0" borderId="0" applyFont="true" applyBorder="false" applyAlignment="false" applyProtection="false"/>
    <xf numFmtId="241" fontId="0" fillId="0" borderId="0" applyFont="true" applyBorder="false" applyAlignment="false" applyProtection="false"/>
    <xf numFmtId="241" fontId="0" fillId="0" borderId="0" applyFont="true" applyBorder="false" applyAlignment="false" applyProtection="false"/>
    <xf numFmtId="242" fontId="0" fillId="0" borderId="0" applyFont="true" applyBorder="false" applyAlignment="false" applyProtection="false"/>
    <xf numFmtId="218" fontId="0" fillId="0" borderId="0" applyFont="true" applyBorder="false" applyAlignment="false" applyProtection="false"/>
    <xf numFmtId="239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40" fontId="0" fillId="0" borderId="0" applyFont="true" applyBorder="false" applyAlignment="false" applyProtection="false"/>
    <xf numFmtId="223" fontId="0" fillId="0" borderId="0" applyFont="true" applyBorder="false" applyAlignment="false" applyProtection="false"/>
    <xf numFmtId="226" fontId="0" fillId="0" borderId="0" applyFont="true" applyBorder="false" applyAlignment="false" applyProtection="false"/>
    <xf numFmtId="240" fontId="0" fillId="0" borderId="0" applyFont="true" applyBorder="false" applyAlignment="false" applyProtection="false"/>
    <xf numFmtId="240" fontId="0" fillId="0" borderId="0" applyFont="true" applyBorder="false" applyAlignment="false" applyProtection="false"/>
    <xf numFmtId="226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39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43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43" fontId="0" fillId="0" borderId="0" applyFont="true" applyBorder="false" applyAlignment="false" applyProtection="false"/>
    <xf numFmtId="242" fontId="0" fillId="0" borderId="0" applyFont="true" applyBorder="false" applyAlignment="false" applyProtection="false"/>
    <xf numFmtId="223" fontId="0" fillId="0" borderId="0" applyFont="true" applyBorder="false" applyAlignment="false" applyProtection="false"/>
    <xf numFmtId="243" fontId="0" fillId="0" borderId="0" applyFont="true" applyBorder="false" applyAlignment="false" applyProtection="false"/>
    <xf numFmtId="243" fontId="0" fillId="0" borderId="0" applyFont="true" applyBorder="false" applyAlignment="false" applyProtection="false"/>
    <xf numFmtId="218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3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42" fontId="0" fillId="0" borderId="0" applyFont="true" applyBorder="false" applyAlignment="false" applyProtection="false"/>
    <xf numFmtId="244" fontId="0" fillId="0" borderId="0" applyFont="true" applyBorder="false" applyAlignment="false" applyProtection="false"/>
    <xf numFmtId="24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44" fontId="0" fillId="0" borderId="0" applyFont="true" applyBorder="false" applyAlignment="false" applyProtection="false"/>
    <xf numFmtId="24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39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3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3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42" fontId="0" fillId="0" borderId="0" applyFont="true" applyBorder="false" applyAlignment="false" applyProtection="false"/>
    <xf numFmtId="218" fontId="0" fillId="0" borderId="0" applyFont="true" applyBorder="false" applyAlignment="false" applyProtection="false"/>
    <xf numFmtId="244" fontId="0" fillId="0" borderId="0" applyFont="true" applyBorder="false" applyAlignment="false" applyProtection="false"/>
    <xf numFmtId="239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41" fontId="0" fillId="0" borderId="0" applyFont="true" applyBorder="false" applyAlignment="false" applyProtection="false"/>
    <xf numFmtId="241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247" fontId="0" fillId="0" borderId="0" applyFont="true" applyBorder="false" applyAlignment="false" applyProtection="false"/>
    <xf numFmtId="248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49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249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239" fontId="0" fillId="0" borderId="0" applyFont="true" applyBorder="false" applyAlignment="false" applyProtection="false"/>
    <xf numFmtId="226" fontId="0" fillId="0" borderId="0" applyFont="true" applyBorder="false" applyAlignment="false" applyProtection="false"/>
    <xf numFmtId="250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6" fontId="0" fillId="0" borderId="0" applyFont="true" applyBorder="false" applyAlignment="false" applyProtection="false"/>
    <xf numFmtId="236" fontId="0" fillId="0" borderId="0" applyFont="true" applyBorder="false" applyAlignment="false" applyProtection="false"/>
    <xf numFmtId="236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3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51" fontId="0" fillId="0" borderId="0" applyFont="true" applyBorder="false" applyAlignment="false" applyProtection="false"/>
    <xf numFmtId="226" fontId="0" fillId="0" borderId="0" applyFont="true" applyBorder="false" applyAlignment="false" applyProtection="false"/>
    <xf numFmtId="235" fontId="0" fillId="0" borderId="0" applyFont="true" applyBorder="false" applyAlignment="false" applyProtection="false"/>
    <xf numFmtId="235" fontId="0" fillId="0" borderId="0" applyFont="true" applyBorder="false" applyAlignment="false" applyProtection="false"/>
    <xf numFmtId="235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36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2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40" fontId="0" fillId="0" borderId="0" applyFont="true" applyBorder="false" applyAlignment="false" applyProtection="false"/>
    <xf numFmtId="24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36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33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36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36" fontId="0" fillId="0" borderId="0" applyFont="true" applyBorder="false" applyAlignment="false" applyProtection="false"/>
    <xf numFmtId="23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3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170" fontId="8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90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3" borderId="0" applyFont="true" applyBorder="false" applyAlignment="false" applyProtection="false"/>
    <xf numFmtId="164" fontId="17" fillId="0" borderId="0" applyFont="true" applyBorder="false" applyAlignment="false" applyProtection="false"/>
    <xf numFmtId="164" fontId="18" fillId="0" borderId="2" applyFont="true" applyBorder="true" applyAlignment="false" applyProtection="false"/>
    <xf numFmtId="164" fontId="19" fillId="0" borderId="2" applyFont="true" applyBorder="true" applyAlignment="false" applyProtection="false"/>
    <xf numFmtId="164" fontId="19" fillId="0" borderId="2" applyFont="true" applyBorder="true" applyAlignment="false" applyProtection="false"/>
    <xf numFmtId="164" fontId="18" fillId="0" borderId="3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9" fillId="0" borderId="3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9" fillId="0" borderId="3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252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252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20" fillId="0" borderId="4" applyFont="true" applyBorder="true" applyAlignment="false" applyProtection="false"/>
    <xf numFmtId="164" fontId="16" fillId="4" borderId="0" applyFont="true" applyBorder="false" applyAlignment="false" applyProtection="false"/>
    <xf numFmtId="253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4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0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6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6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6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6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6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3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6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0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0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6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6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6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6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6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3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3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3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6" fontId="2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3" fontId="3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3" fontId="3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false" applyProtection="false"/>
    <xf numFmtId="164" fontId="3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false" applyProtection="false"/>
    <xf numFmtId="253" fontId="25" fillId="0" borderId="0" applyFont="true" applyBorder="false" applyAlignment="false" applyProtection="false"/>
    <xf numFmtId="256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6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3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7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7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7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7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7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7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7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6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6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6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6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6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3" fontId="3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6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3" fontId="3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39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62" fontId="19" fillId="3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63" fontId="0" fillId="0" borderId="6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64" fontId="0" fillId="0" borderId="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262" fontId="0" fillId="0" borderId="1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1" fillId="3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2" fillId="3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62" fontId="72" fillId="3" borderId="1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62" fontId="72" fillId="3" borderId="1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62" fontId="72" fillId="3" borderId="1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62" fontId="71" fillId="3" borderId="1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62" fontId="72" fillId="3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62" fontId="72" fillId="3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62" fontId="72" fillId="3" borderId="1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62" fontId="72" fillId="3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62" fontId="72" fillId="3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62" fontId="72" fillId="3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3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62" fontId="41" fillId="0" borderId="1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256" fontId="74" fillId="0" borderId="2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256" fontId="74" fillId="0" borderId="2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265" fontId="74" fillId="0" borderId="2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265" fontId="74" fillId="0" borderId="8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256" fontId="74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75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62" fontId="0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256" fontId="74" fillId="6" borderId="2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256" fontId="74" fillId="0" borderId="2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265" fontId="74" fillId="0" borderId="2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75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5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27" fontId="75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56" fontId="77" fillId="0" borderId="2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256" fontId="4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56" fontId="0" fillId="3" borderId="26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265" fontId="0" fillId="3" borderId="27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56" fontId="0" fillId="0" borderId="2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256" fontId="0" fillId="0" borderId="28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256" fontId="0" fillId="0" borderId="2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265" fontId="0" fillId="0" borderId="2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265" fontId="0" fillId="0" borderId="8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265" fontId="0" fillId="0" borderId="2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75" fillId="0" borderId="3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5" fillId="0" borderId="3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62" fontId="72" fillId="0" borderId="23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256" fontId="0" fillId="3" borderId="27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256" fontId="74" fillId="0" borderId="2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256" fontId="0" fillId="0" borderId="2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265" fontId="0" fillId="0" borderId="27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3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62" fontId="72" fillId="0" borderId="3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256" fontId="0" fillId="3" borderId="3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62" fontId="72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256" fontId="0" fillId="0" borderId="1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256" fontId="0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256" fontId="0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72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256" fontId="0" fillId="0" borderId="8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7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3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62" fontId="72" fillId="3" borderId="2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256" fontId="0" fillId="3" borderId="3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4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1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62" fontId="72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56" fontId="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62" fontId="0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257" fontId="0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4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2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62" fontId="72" fillId="3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2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12" fontId="0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72" fillId="3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8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8" fillId="3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12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79" fillId="3" borderId="1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265" fontId="79" fillId="3" borderId="8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256" fontId="79" fillId="0" borderId="1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256" fontId="79" fillId="0" borderId="8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0" fillId="0" borderId="3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53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12" fontId="0" fillId="0" borderId="8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256" fontId="79" fillId="3" borderId="1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256" fontId="79" fillId="3" borderId="8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72" fillId="0" borderId="2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256" fontId="78" fillId="3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62" fontId="41" fillId="0" borderId="3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256" fontId="0" fillId="0" borderId="2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7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62" fontId="0" fillId="3" borderId="1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56" fontId="0" fillId="3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262" fontId="72" fillId="0" borderId="2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62" fontId="79" fillId="0" borderId="1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265" fontId="79" fillId="0" borderId="8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256" fontId="80" fillId="0" borderId="1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256" fontId="80" fillId="0" borderId="8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256" fontId="0" fillId="0" borderId="8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9" fillId="0" borderId="3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67" fontId="20" fillId="0" borderId="2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8" fontId="0" fillId="0" borderId="8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78" fillId="3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62" fontId="0" fillId="0" borderId="1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265" fontId="0" fillId="0" borderId="8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0" fillId="0" borderId="3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56" fontId="74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72" fillId="0" borderId="3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256" fontId="81" fillId="0" borderId="8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262" fontId="0" fillId="0" borderId="2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262" fontId="0" fillId="0" borderId="2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256" fontId="0" fillId="3" borderId="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256" fontId="72" fillId="0" borderId="3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78" fillId="3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1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1" fillId="3" borderId="3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1" fillId="2" borderId="3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1" fillId="2" borderId="3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1" fillId="2" borderId="3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1" fillId="2" borderId="4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5" fillId="0" borderId="4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5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5" fillId="0" borderId="4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5" fillId="0" borderId="4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2" fillId="0" borderId="4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2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5" fillId="0" borderId="4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5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5" fillId="0" borderId="4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59" fontId="75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69" fontId="75" fillId="0" borderId="4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5" fillId="7" borderId="4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5" fillId="7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70" fontId="75" fillId="8" borderId="4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5" fillId="8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1" fillId="0" borderId="4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1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4" fillId="3" borderId="4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1" fillId="3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2" fillId="3" borderId="4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2" fillId="3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5" fillId="3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5" fillId="3" borderId="4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5" fillId="3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2" fillId="0" borderId="4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1" fillId="0" borderId="4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1" fillId="0" borderId="4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1" fillId="0" borderId="3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1" fillId="0" borderId="4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5" fillId="0" borderId="4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5" fillId="0" borderId="3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5" fillId="0" borderId="4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5" fillId="0" borderId="3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1" fillId="0" borderId="1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1" fillId="0" borderId="4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1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1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1" fillId="0" borderId="4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1" fillId="0" borderId="3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1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1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1" fillId="0" borderId="2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1" fillId="3" borderId="3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8" fillId="3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23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233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3" fillId="2" borderId="4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71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5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5" fillId="9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59" fontId="20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57" fontId="4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71" fontId="4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5" fillId="1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67" fontId="4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6" fillId="11" borderId="5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6" fillId="11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6" fillId="11" borderId="5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1" fillId="0" borderId="5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6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1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1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267" fontId="0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7" fontId="1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5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7" fontId="41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7" fontId="41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67" fontId="4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67" fontId="41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67" fontId="75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267" fontId="75" fillId="1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1" fillId="0" borderId="5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1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67" fontId="87" fillId="0" borderId="5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1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2" fillId="12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62" fontId="72" fillId="12" borderId="1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62" fontId="72" fillId="12" borderId="1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62" fontId="71" fillId="12" borderId="1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62" fontId="72" fillId="1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62" fontId="72" fillId="12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62" fontId="72" fillId="12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62" fontId="72" fillId="12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62" fontId="72" fillId="12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56" fontId="74" fillId="12" borderId="2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265" fontId="74" fillId="12" borderId="2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265" fontId="74" fillId="12" borderId="8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256" fontId="74" fillId="12" borderId="2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265" fontId="74" fillId="12" borderId="2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256" fontId="0" fillId="0" borderId="26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256" fontId="0" fillId="12" borderId="26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265" fontId="0" fillId="12" borderId="27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256" fontId="0" fillId="12" borderId="2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265" fontId="0" fillId="12" borderId="2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265" fontId="0" fillId="12" borderId="8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265" fontId="0" fillId="12" borderId="2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256" fontId="0" fillId="12" borderId="27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256" fontId="74" fillId="12" borderId="2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256" fontId="0" fillId="12" borderId="2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256" fontId="0" fillId="0" borderId="3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256" fontId="0" fillId="12" borderId="3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212" fontId="0" fillId="0" borderId="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262" fontId="79" fillId="0" borderId="1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265" fontId="79" fillId="0" borderId="8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0" fillId="12" borderId="3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12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12" borderId="3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67" fontId="20" fillId="12" borderId="2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12" borderId="3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1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56" fontId="74" fillId="0" borderId="8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256" fontId="74" fillId="13" borderId="2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256" fontId="74" fillId="0" borderId="5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256" fontId="0" fillId="0" borderId="5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265" fontId="0" fillId="0" borderId="48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262" fontId="78" fillId="0" borderId="1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2" fillId="3" borderId="2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3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56" fontId="74" fillId="13" borderId="8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72" fillId="3" borderId="3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5" fillId="13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5" fillId="13" borderId="4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5" fillId="13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59" fontId="75" fillId="13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27" fontId="75" fillId="13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5" fillId="1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5" fillId="13" borderId="3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3" fillId="2" borderId="5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3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3" fillId="2" borderId="5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1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5" fillId="1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5" fillId="1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59" fontId="20" fillId="1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1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1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5" fillId="1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1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1" fillId="1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56" fontId="74" fillId="12" borderId="2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256" fontId="0" fillId="12" borderId="28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256" fontId="74" fillId="12" borderId="5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256" fontId="0" fillId="12" borderId="5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265" fontId="0" fillId="12" borderId="48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227" fontId="75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1" fillId="0" borderId="3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56" fontId="74" fillId="16" borderId="2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256" fontId="74" fillId="16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256" fontId="81" fillId="17" borderId="8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256" fontId="7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5" fillId="16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5" fillId="16" borderId="4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5" fillId="16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59" fontId="75" fillId="16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27" fontId="75" fillId="16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70" fontId="75" fillId="2" borderId="4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5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5" fillId="16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1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5" fillId="1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59" fontId="20" fillId="1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9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1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1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18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1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267" fontId="7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5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5" fillId="1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70" fontId="75" fillId="8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70" fontId="75" fillId="0" borderId="4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59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2" fillId="1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1" fillId="1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1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56" fontId="74" fillId="10" borderId="2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41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1" fillId="0" borderId="3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54" fontId="79" fillId="0" borderId="8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256" fontId="74" fillId="1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75" fillId="1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5" fillId="10" borderId="4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59" fontId="75" fillId="1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3" fontId="75" fillId="1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0" fillId="1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5" fillId="18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5" fillId="18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5" fillId="19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5" fillId="8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1" fillId="18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59" fontId="20" fillId="1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2" fillId="8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56" fontId="74" fillId="8" borderId="2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227" fontId="79" fillId="0" borderId="8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256" fontId="74" fillId="8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75" fillId="8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5" fillId="8" borderId="4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69" fontId="90" fillId="0" borderId="4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0" fillId="8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59" fontId="75" fillId="8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3" fontId="75" fillId="8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69" fontId="92" fillId="0" borderId="4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2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0" fillId="8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5" fillId="8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2" fillId="0" borderId="4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0" fillId="8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0" fillId="0" borderId="4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4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5" fillId="0" borderId="4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5" fillId="0" borderId="3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5" fillId="0" borderId="4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5" fillId="0" borderId="3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1" fillId="8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234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?? [0]_94???" xfId="20"/>
    <cellStyle name="?? [0]_94???_demand analysisrevised" xfId="21"/>
    <cellStyle name="?? [0]_??" xfId="22"/>
    <cellStyle name="?? [0]_???" xfId="23"/>
    <cellStyle name="?? [0]_?????" xfId="24"/>
    <cellStyle name="?? [0]_?????_???" xfId="25"/>
    <cellStyle name="?? [0]_?????_???_demand analysisrevised" xfId="26"/>
    <cellStyle name="?? [0]_?????_demand analysisrevised" xfId="27"/>
    <cellStyle name="?? [0]_???_demand analysisrevised" xfId="28"/>
    <cellStyle name="?? [0]_??_demand analysisrevised" xfId="29"/>
    <cellStyle name="?? [0]_dimon" xfId="30"/>
    <cellStyle name="?? [0]_form" xfId="31"/>
    <cellStyle name="?? [0]_form_demand analysisrevised" xfId="32"/>
    <cellStyle name="?? [0]_laroux" xfId="33"/>
    <cellStyle name="?? [0]_laroux_1" xfId="34"/>
    <cellStyle name="?? [0]_laroux_1_demand analysisrevised" xfId="35"/>
    <cellStyle name="?? [0]_laroux_2" xfId="36"/>
    <cellStyle name="?? [0]_laroux_demand analysisrevised" xfId="37"/>
    <cellStyle name="?? [0]_PERSONAL" xfId="38"/>
    <cellStyle name="?? [0]_PERSONAL_1" xfId="39"/>
    <cellStyle name="?? [0]_PERSONAL_1_demand analysisrevised" xfId="40"/>
    <cellStyle name="?? [0]_PERSONAL_2" xfId="41"/>
    <cellStyle name="?? [0]_PERSONAL_2_demand analysisrevised" xfId="42"/>
    <cellStyle name="?? [0]_PERSONAL_3" xfId="43"/>
    <cellStyle name="?? [0]_PERSONAL_demand analysisrevised" xfId="44"/>
    <cellStyle name="?? [0]_Sheet2" xfId="45"/>
    <cellStyle name="??_94???" xfId="46"/>
    <cellStyle name="??_94???_demand analysisrevised" xfId="47"/>
    <cellStyle name="??_970120" xfId="48"/>
    <cellStyle name="??_97???" xfId="49"/>
    <cellStyle name="??_?.????" xfId="50"/>
    <cellStyle name="??_??" xfId="51"/>
    <cellStyle name="??_???" xfId="52"/>
    <cellStyle name="??_????" xfId="53"/>
    <cellStyle name="??_?????" xfId="54"/>
    <cellStyle name="??_?????_1" xfId="55"/>
    <cellStyle name="??_?????_2" xfId="56"/>
    <cellStyle name="??_?????_???" xfId="57"/>
    <cellStyle name="??_?????_???_demand analysisrevised" xfId="58"/>
    <cellStyle name="??_?????_???_demand analysisrevised_1" xfId="59"/>
    <cellStyle name="??_?????_demand analysisrevised" xfId="60"/>
    <cellStyle name="??_?????_demand analysisrevised_1" xfId="61"/>
    <cellStyle name="??_????_1" xfId="62"/>
    <cellStyle name="??_???_demand analysisrevised" xfId="63"/>
    <cellStyle name="??_???_demand analysisrevised_1" xfId="64"/>
    <cellStyle name="??_??_1" xfId="65"/>
    <cellStyle name="??_??_????" xfId="66"/>
    <cellStyle name="??_??_????_demand analysisrevised" xfId="67"/>
    <cellStyle name="??_??_demand analysisrevised" xfId="68"/>
    <cellStyle name="??_??_demand analysisrevised_1" xfId="69"/>
    <cellStyle name="??_??_demand analysisrevised_2" xfId="70"/>
    <cellStyle name="??_BEBU_GI" xfId="71"/>
    <cellStyle name="??_dimon" xfId="72"/>
    <cellStyle name="??_dimon_demand analysisrevised" xfId="73"/>
    <cellStyle name="??_form" xfId="74"/>
    <cellStyle name="??_form_demand analysisrevised" xfId="75"/>
    <cellStyle name="??_form_demand analysisrevised_1" xfId="76"/>
    <cellStyle name="??_ga_PB" xfId="77"/>
    <cellStyle name="??_laroux" xfId="78"/>
    <cellStyle name="??_laroux_1" xfId="79"/>
    <cellStyle name="??_laroux_1_demand analysisrevised" xfId="80"/>
    <cellStyle name="??_laroux_1_demand analysisrevised_1" xfId="81"/>
    <cellStyle name="??_laroux_2" xfId="82"/>
    <cellStyle name="??_laroux_2_demand analysisrevised" xfId="83"/>
    <cellStyle name="??_laroux_3" xfId="84"/>
    <cellStyle name="??_laroux_4" xfId="85"/>
    <cellStyle name="??_laroux_5" xfId="86"/>
    <cellStyle name="??_laroux_6" xfId="87"/>
    <cellStyle name="??_laroux_7" xfId="88"/>
    <cellStyle name="??_laroux_8" xfId="89"/>
    <cellStyle name="??_laroux_demand analysisrevised" xfId="90"/>
    <cellStyle name="??_laroux_demand analysisrevised_1" xfId="91"/>
    <cellStyle name="??_PERSONAL" xfId="92"/>
    <cellStyle name="??_PERSONAL_1" xfId="93"/>
    <cellStyle name="??_PERSONAL_1_demand analysisrevised" xfId="94"/>
    <cellStyle name="??_PERSONAL_1_demand analysisrevised_1" xfId="95"/>
    <cellStyle name="??_PERSONAL_2" xfId="96"/>
    <cellStyle name="??_PERSONAL_2_demand analysisrevised" xfId="97"/>
    <cellStyle name="??_PERSONAL_2_demand analysisrevised_1" xfId="98"/>
    <cellStyle name="??_PERSONAL_3" xfId="99"/>
    <cellStyle name="??_PERSONAL_3_demand analysisrevised" xfId="100"/>
    <cellStyle name="??_PERSONAL_4" xfId="101"/>
    <cellStyle name="??_PERSONAL_demand analysisrevised" xfId="102"/>
    <cellStyle name="??_PERSONAL_demand analysisrevised_1" xfId="103"/>
    <cellStyle name="??_Query11" xfId="104"/>
    <cellStyle name="??_Sheet1" xfId="105"/>
    <cellStyle name="??_Sheet1 (2)" xfId="106"/>
    <cellStyle name="??_Sheet2" xfId="107"/>
    <cellStyle name="??_Sheet2_demand analysisrevised" xfId="108"/>
    <cellStyle name="Actual Date" xfId="109"/>
    <cellStyle name="Calc Currency (0)" xfId="110"/>
    <cellStyle name="Calc Currency (0)_dimon" xfId="111"/>
    <cellStyle name="Calc Currency (0)_~0022862" xfId="112"/>
    <cellStyle name="Calc Currency (0)_~0022862_dimon" xfId="113"/>
    <cellStyle name="Comma [0]_1162" xfId="114"/>
    <cellStyle name="Comma [0]_12matrix" xfId="115"/>
    <cellStyle name="Comma [0]_12~3SO2" xfId="116"/>
    <cellStyle name="Comma [0]_1995" xfId="117"/>
    <cellStyle name="Comma [0]_1997" xfId="118"/>
    <cellStyle name="Comma [0]_29" xfId="119"/>
    <cellStyle name="Comma [0]_A" xfId="120"/>
    <cellStyle name="Comma [0]_A_dimon" xfId="121"/>
    <cellStyle name="Comma [0]_ACTUAL" xfId="122"/>
    <cellStyle name="Comma [0]_ACTUAL NA -OBU" xfId="123"/>
    <cellStyle name="Comma [0]_Actual vs." xfId="124"/>
    <cellStyle name="Comma [0]_algasdefault" xfId="125"/>
    <cellStyle name="Comma [0]_Alternative1" xfId="126"/>
    <cellStyle name="Comma [0]_Alternative1_1" xfId="127"/>
    <cellStyle name="Comma [0]_App E" xfId="128"/>
    <cellStyle name="Comma [0]_Apr" xfId="129"/>
    <cellStyle name="Comma [0]_Arapahoe" xfId="130"/>
    <cellStyle name="Comma [0]_Assumptions" xfId="131"/>
    <cellStyle name="Comma [0]_Assumptions_dimon" xfId="132"/>
    <cellStyle name="Comma [0]_bahiadefault" xfId="133"/>
    <cellStyle name="Comma [0]_Book3" xfId="134"/>
    <cellStyle name="Comma [0]_BOP" xfId="135"/>
    <cellStyle name="Comma [0]_BOPBAL1" xfId="136"/>
    <cellStyle name="Comma [0]_BOPCBU" xfId="137"/>
    <cellStyle name="Comma [0]_BOPCBU (2)" xfId="138"/>
    <cellStyle name="Comma [0]_BOPCBU96" xfId="139"/>
    <cellStyle name="Comma [0]_BSAPPE.XLS" xfId="140"/>
    <cellStyle name="Comma [0]_Calculations" xfId="141"/>
    <cellStyle name="Comma [0]_Calculations (2)" xfId="142"/>
    <cellStyle name="Comma [0]_Calculations (2)_dimon" xfId="143"/>
    <cellStyle name="Comma [0]_Calculations II" xfId="144"/>
    <cellStyle name="Comma [0]_Calculations II_dimon" xfId="145"/>
    <cellStyle name="Comma [0]_Calculations III" xfId="146"/>
    <cellStyle name="Comma [0]_Calculations III_dimon" xfId="147"/>
    <cellStyle name="Comma [0]_Calculations_1" xfId="148"/>
    <cellStyle name="Comma [0]_Calculations_dimon" xfId="149"/>
    <cellStyle name="Comma [0]_CAPEX" xfId="150"/>
    <cellStyle name="Comma [0]_CAPEX94" xfId="151"/>
    <cellStyle name="Comma [0]_CBU BOX CHART V PLAN" xfId="152"/>
    <cellStyle name="Comma [0]_CCA" xfId="153"/>
    <cellStyle name="Comma [0]_CCOCPX" xfId="154"/>
    <cellStyle name="Comma [0]_CHANGES.XLS" xfId="155"/>
    <cellStyle name="Comma [0]_Channel Table" xfId="156"/>
    <cellStyle name="Comma [0]_Charts" xfId="157"/>
    <cellStyle name="Comma [0]_Comm File" xfId="158"/>
    <cellStyle name="Comma [0]_coperdefault" xfId="159"/>
    <cellStyle name="Comma [0]_Corp method" xfId="160"/>
    <cellStyle name="Comma [0]_CTCUR" xfId="161"/>
    <cellStyle name="Comma [0]_CUMPLTCH" xfId="162"/>
    <cellStyle name="Comma [0]_Cur 5100" xfId="163"/>
    <cellStyle name="Comma [0]_DEFAULT" xfId="164"/>
    <cellStyle name="Comma [0]_dimon" xfId="165"/>
    <cellStyle name="Comma [0]_Dowell C1b" xfId="166"/>
    <cellStyle name="Comma [0]_Dowell-C1a" xfId="167"/>
    <cellStyle name="Comma [0]_E&amp;ONW1" xfId="168"/>
    <cellStyle name="Comma [0]_E&amp;ONW2" xfId="169"/>
    <cellStyle name="Comma [0]_E&amp;OOCPX" xfId="170"/>
    <cellStyle name="Comma [0]_emserdefault" xfId="171"/>
    <cellStyle name="Comma [0]_ENRGYOP1" xfId="172"/>
    <cellStyle name="Comma [0]_F&amp;COCPX" xfId="173"/>
    <cellStyle name="Comma [0]_FEBRUARY" xfId="174"/>
    <cellStyle name="Comma [0]_FF" xfId="175"/>
    <cellStyle name="Comma [0]_FP 20 A (1)" xfId="176"/>
    <cellStyle name="Comma [0]_FP 20 A (2)" xfId="177"/>
    <cellStyle name="Comma [0]_FP-20 (App. E)" xfId="178"/>
    <cellStyle name="Comma [0]_FP-20 (App.A) " xfId="179"/>
    <cellStyle name="Comma [0]_FP-20 (App.D)" xfId="180"/>
    <cellStyle name="Comma [0]_FP-20(App.B)" xfId="181"/>
    <cellStyle name="Comma [0]_FP-20(C1) (a)" xfId="182"/>
    <cellStyle name="Comma [0]_FP-20(C1) (a) (2)" xfId="183"/>
    <cellStyle name="Comma [0]_FP-20(C1) (b)" xfId="184"/>
    <cellStyle name="Comma [0]_FP-20(C1) (b) " xfId="185"/>
    <cellStyle name="Comma [0]_FP-20(C1) (b) (2)" xfId="186"/>
    <cellStyle name="Comma [0]_Full Year FY96" xfId="187"/>
    <cellStyle name="Comma [0]_GCM" xfId="188"/>
    <cellStyle name="Comma [0]_GenAssum" xfId="189"/>
    <cellStyle name="Comma [0]_GP C1a" xfId="190"/>
    <cellStyle name="Comma [0]_GP C1b" xfId="191"/>
    <cellStyle name="Comma [0]_GP_EI_3" xfId="192"/>
    <cellStyle name="Comma [0]_GQ C1A" xfId="193"/>
    <cellStyle name="Comma [0]_GQ C1B" xfId="194"/>
    <cellStyle name="Comma [0]_groups" xfId="195"/>
    <cellStyle name="Comma [0]_Inputs" xfId="196"/>
    <cellStyle name="Comma [0]_IPM C1b" xfId="197"/>
    <cellStyle name="Comma [0]_IPMC1a" xfId="198"/>
    <cellStyle name="Comma [0]_IS-Hold" xfId="199"/>
    <cellStyle name="Comma [0]_ITOCPX" xfId="200"/>
    <cellStyle name="Comma [0]_Janactuals" xfId="201"/>
    <cellStyle name="Comma [0]_jancf" xfId="202"/>
    <cellStyle name="Comma [0]_JUNMTH55" xfId="203"/>
    <cellStyle name="Comma [0]_JUNMTH57" xfId="204"/>
    <cellStyle name="Comma [0]_JUNYTD55" xfId="205"/>
    <cellStyle name="Comma [0]_JUNYTD57" xfId="206"/>
    <cellStyle name="Comma [0]_laroux" xfId="207"/>
    <cellStyle name="Comma [0]_laroux_1" xfId="208"/>
    <cellStyle name="Comma [0]_laroux_12~3SO2" xfId="209"/>
    <cellStyle name="Comma [0]_laroux_1995" xfId="210"/>
    <cellStyle name="Comma [0]_laroux_1_12~3SO2" xfId="211"/>
    <cellStyle name="Comma [0]_laroux_1_dimon" xfId="212"/>
    <cellStyle name="Comma [0]_laroux_1_dimon_1" xfId="213"/>
    <cellStyle name="Comma [0]_laroux_1_dimon_2" xfId="214"/>
    <cellStyle name="Comma [0]_laroux_1_laroux" xfId="215"/>
    <cellStyle name="Comma [0]_laroux_1_NEGS" xfId="216"/>
    <cellStyle name="Comma [0]_laroux_1_NEGS_1" xfId="217"/>
    <cellStyle name="Comma [0]_laroux_1_NEGS_~0022862" xfId="218"/>
    <cellStyle name="Comma [0]_laroux_1_pldt" xfId="219"/>
    <cellStyle name="Comma [0]_laroux_1_pldt_dimon" xfId="220"/>
    <cellStyle name="Comma [0]_laroux_1_PLDT_dimon_1" xfId="221"/>
    <cellStyle name="Comma [0]_laroux_1_VERA" xfId="222"/>
    <cellStyle name="Comma [0]_laroux_1_VIRUS-EDY" xfId="223"/>
    <cellStyle name="Comma [0]_laroux_1_~0022862" xfId="224"/>
    <cellStyle name="Comma [0]_laroux_2" xfId="225"/>
    <cellStyle name="Comma [0]_laroux_2_12~3SO2" xfId="226"/>
    <cellStyle name="Comma [0]_laroux_2_12~3SO2_NEGS" xfId="227"/>
    <cellStyle name="Comma [0]_laroux_2_12~3SO2_~0022862" xfId="228"/>
    <cellStyle name="Comma [0]_laroux_2_dimon" xfId="229"/>
    <cellStyle name="Comma [0]_laroux_2_dimon_1" xfId="230"/>
    <cellStyle name="Comma [0]_laroux_2_dimon_2" xfId="231"/>
    <cellStyle name="Comma [0]_laroux_2_laroux" xfId="232"/>
    <cellStyle name="Comma [0]_laroux_2_laroux_dimon" xfId="233"/>
    <cellStyle name="Comma [0]_laroux_2_NEGS" xfId="234"/>
    <cellStyle name="Comma [0]_laroux_2_NEGS_1" xfId="235"/>
    <cellStyle name="Comma [0]_laroux_2_pldt" xfId="236"/>
    <cellStyle name="Comma [0]_laroux_2_VERA" xfId="237"/>
    <cellStyle name="Comma [0]_laroux_3" xfId="238"/>
    <cellStyle name="Comma [0]_laroux_3_dimon" xfId="239"/>
    <cellStyle name="Comma [0]_laroux_3_dimon_1" xfId="240"/>
    <cellStyle name="Comma [0]_laroux_3_NEGS" xfId="241"/>
    <cellStyle name="Comma [0]_laroux_3_~0022862" xfId="242"/>
    <cellStyle name="Comma [0]_laroux_dimon" xfId="243"/>
    <cellStyle name="Comma [0]_laroux_dimon_1" xfId="244"/>
    <cellStyle name="Comma [0]_laroux_laroux" xfId="245"/>
    <cellStyle name="Comma [0]_laroux_laroux_1" xfId="246"/>
    <cellStyle name="Comma [0]_laroux_laroux_dimon" xfId="247"/>
    <cellStyle name="Comma [0]_laroux_MATERAL2" xfId="248"/>
    <cellStyle name="Comma [0]_laroux_MATERAL2_dimon" xfId="249"/>
    <cellStyle name="Comma [0]_laroux_MATERAL2_dimon_1" xfId="250"/>
    <cellStyle name="Comma [0]_laroux_MATERAL2_laroux" xfId="251"/>
    <cellStyle name="Comma [0]_laroux_MATERAL2_laroux_dimon" xfId="252"/>
    <cellStyle name="Comma [0]_laroux_MATERAL2_NEGS" xfId="253"/>
    <cellStyle name="Comma [0]_laroux_MATERAL2_NEGS_1" xfId="254"/>
    <cellStyle name="Comma [0]_laroux_MATERAL2_NEGS_1_~0022862" xfId="255"/>
    <cellStyle name="Comma [0]_laroux_MATERAL2_NEGS_2" xfId="256"/>
    <cellStyle name="Comma [0]_laroux_MATERAL2_NEGS_~0022862" xfId="257"/>
    <cellStyle name="Comma [0]_laroux_MATERAL2_pldt" xfId="258"/>
    <cellStyle name="Comma [0]_laroux_MATERAL2_VERA" xfId="259"/>
    <cellStyle name="Comma [0]_laroux_MATERAL2_VIRUS-EDY" xfId="260"/>
    <cellStyle name="Comma [0]_laroux_MATERAL2_~0022862" xfId="261"/>
    <cellStyle name="Comma [0]_laroux_mud plant bolted" xfId="262"/>
    <cellStyle name="Comma [0]_laroux_mud plant bolted_dimon" xfId="263"/>
    <cellStyle name="Comma [0]_laroux_mud plant bolted_dimon_1" xfId="264"/>
    <cellStyle name="Comma [0]_laroux_mud plant bolted_dimon_2" xfId="265"/>
    <cellStyle name="Comma [0]_laroux_mud plant bolted_NEGS" xfId="266"/>
    <cellStyle name="Comma [0]_laroux_mud plant bolted_NEGS_1" xfId="267"/>
    <cellStyle name="Comma [0]_laroux_mud plant bolted_NEGS_~0022862" xfId="268"/>
    <cellStyle name="Comma [0]_laroux_mud plant bolted_~0022862" xfId="269"/>
    <cellStyle name="Comma [0]_laroux_pldt" xfId="270"/>
    <cellStyle name="Comma [0]_laroux_VERA" xfId="271"/>
    <cellStyle name="Comma [0]_laroux_VERA_1" xfId="272"/>
    <cellStyle name="Comma [0]_laroux_VIRUS-EDY" xfId="273"/>
    <cellStyle name="Comma [0]_MACRO1.XLM" xfId="274"/>
    <cellStyle name="Comma [0]_MATERAL2" xfId="275"/>
    <cellStyle name="Comma [0]_MATERAL2_dimon" xfId="276"/>
    <cellStyle name="Comma [0]_MATERAL2_dimon_1" xfId="277"/>
    <cellStyle name="Comma [0]_MATERAL2_dimon_2" xfId="278"/>
    <cellStyle name="Comma [0]_MATERAL2_NEGS" xfId="279"/>
    <cellStyle name="Comma [0]_MATERAL2_NEGS_1" xfId="280"/>
    <cellStyle name="Comma [0]_MATERAL2_NEGS_~0022862" xfId="281"/>
    <cellStyle name="Comma [0]_MATERAL2_~0022862" xfId="282"/>
    <cellStyle name="Comma [0]_MKGOCPX" xfId="283"/>
    <cellStyle name="Comma [0]_MOBCPX" xfId="284"/>
    <cellStyle name="Comma [0]_mud plant bolted" xfId="285"/>
    <cellStyle name="Comma [0]_mud plant bolted_dimon" xfId="286"/>
    <cellStyle name="Comma [0]_mud plant bolted_dimon_1" xfId="287"/>
    <cellStyle name="Comma [0]_mud plant bolted_laroux" xfId="288"/>
    <cellStyle name="Comma [0]_mud plant bolted_laroux_dimon" xfId="289"/>
    <cellStyle name="Comma [0]_mud plant bolted_NEGS" xfId="290"/>
    <cellStyle name="Comma [0]_mud plant bolted_NEGS_1" xfId="291"/>
    <cellStyle name="Comma [0]_mud plant bolted_NEGS_1_~0022862" xfId="292"/>
    <cellStyle name="Comma [0]_mud plant bolted_NEGS_2" xfId="293"/>
    <cellStyle name="Comma [0]_mud plant bolted_NEGS_~0022862" xfId="294"/>
    <cellStyle name="Comma [0]_mud plant bolted_pldt" xfId="295"/>
    <cellStyle name="Comma [0]_mud plant bolted_VERA" xfId="296"/>
    <cellStyle name="Comma [0]_mud plant bolted_VIRUS-EDY" xfId="297"/>
    <cellStyle name="Comma [0]_mud plant bolted_~0022862" xfId="298"/>
    <cellStyle name="Comma [0]_NA (2)" xfId="299"/>
    <cellStyle name="Comma [0]_NA WITHOUT GOV'T &amp; PNX" xfId="300"/>
    <cellStyle name="Comma [0]_NAOBU10" xfId="301"/>
    <cellStyle name="Comma [0]_NAT ACCT" xfId="302"/>
    <cellStyle name="Comma [0]_NSACTUAL.XLS" xfId="303"/>
    <cellStyle name="Comma [0]_NX00" xfId="304"/>
    <cellStyle name="Comma [0]_Odner" xfId="305"/>
    <cellStyle name="Comma [0]_Odner (2)" xfId="306"/>
    <cellStyle name="Comma [0]_Odner (3)" xfId="307"/>
    <cellStyle name="Comma [0]_OSMOCPX" xfId="308"/>
    <cellStyle name="Comma [0]_Other Months" xfId="309"/>
    <cellStyle name="Comma [0]_Outlook" xfId="310"/>
    <cellStyle name="Comma [0]_P&amp;L" xfId="311"/>
    <cellStyle name="Comma [0]_pbdefault" xfId="312"/>
    <cellStyle name="Comma [0]_percentages" xfId="313"/>
    <cellStyle name="Comma [0]_PERSONAL" xfId="314"/>
    <cellStyle name="Comma [0]_PGMKOCPX" xfId="315"/>
    <cellStyle name="Comma [0]_PGNW1" xfId="316"/>
    <cellStyle name="Comma [0]_PGNW2" xfId="317"/>
    <cellStyle name="Comma [0]_PGNWOCPX" xfId="318"/>
    <cellStyle name="Comma [0]_Pink" xfId="319"/>
    <cellStyle name="Comma [0]_Plan" xfId="320"/>
    <cellStyle name="Comma [0]_PLAN95" xfId="321"/>
    <cellStyle name="Comma [0]_PLANT" xfId="322"/>
    <cellStyle name="Comma [0]_PLDT" xfId="323"/>
    <cellStyle name="Comma [0]_pldt_1" xfId="324"/>
    <cellStyle name="Comma [0]_pldt_1_dimon" xfId="325"/>
    <cellStyle name="Comma [0]_pldt_Calculations" xfId="326"/>
    <cellStyle name="Comma [0]_PLDT_dimon" xfId="327"/>
    <cellStyle name="Comma [0]_pldt_NEGS" xfId="328"/>
    <cellStyle name="Comma [0]_priccurv" xfId="329"/>
    <cellStyle name="Comma [0]_PROCDS&amp;G" xfId="330"/>
    <cellStyle name="Comma [0]_Product" xfId="331"/>
    <cellStyle name="Comma [0]_PROFILE4" xfId="332"/>
    <cellStyle name="Comma [0]_Projects" xfId="333"/>
    <cellStyle name="Comma [0]_Q1 FY96" xfId="334"/>
    <cellStyle name="Comma [0]_Q2 FY96" xfId="335"/>
    <cellStyle name="Comma [0]_Q3 FY96" xfId="336"/>
    <cellStyle name="Comma [0]_Q4 FY96" xfId="337"/>
    <cellStyle name="Comma [0]_QTR94_95" xfId="338"/>
    <cellStyle name="Comma [0]_Quarter End Months" xfId="339"/>
    <cellStyle name="Comma [0]_r1" xfId="340"/>
    <cellStyle name="Comma [0]_r1_dimon" xfId="341"/>
    <cellStyle name="Comma [0]_RFI" xfId="342"/>
    <cellStyle name="Comma [0]_RFI_1" xfId="343"/>
    <cellStyle name="Comma [0]_RQSTFRM" xfId="344"/>
    <cellStyle name="Comma [0]_Sales Order" xfId="345"/>
    <cellStyle name="Comma [0]_SATOCPX" xfId="346"/>
    <cellStyle name="Comma [0]_Sheet1" xfId="347"/>
    <cellStyle name="Comma [0]_Sheet1_Book6" xfId="348"/>
    <cellStyle name="Comma [0]_Sheet1_CTS - Ind excl Can" xfId="349"/>
    <cellStyle name="Comma [0]_Sheet1_dimon" xfId="350"/>
    <cellStyle name="Comma [0]_Sheet1_dimon_1" xfId="351"/>
    <cellStyle name="Comma [0]_Sheet1_ECTPLAN" xfId="352"/>
    <cellStyle name="Comma [0]_Sheet1_format1" xfId="353"/>
    <cellStyle name="Comma [0]_Sheet1_laroux" xfId="354"/>
    <cellStyle name="Comma [0]_Sheet1_NEGS" xfId="355"/>
    <cellStyle name="Comma [0]_Sheet1_Other Ind  " xfId="356"/>
    <cellStyle name="Comma [0]_Sheet1_PERSONAL" xfId="357"/>
    <cellStyle name="Comma [0]_Sheet1_PLAN0398" xfId="358"/>
    <cellStyle name="Comma [0]_Sheet1_PLDT" xfId="359"/>
    <cellStyle name="Comma [0]_Sheet1_Var_2CE" xfId="360"/>
    <cellStyle name="Comma [0]_Sheet1_~0022862" xfId="361"/>
    <cellStyle name="Comma [0]_Sheet2" xfId="362"/>
    <cellStyle name="Comma [0]_Sheet4" xfId="363"/>
    <cellStyle name="Comma [0]_Sheet4_NEGS" xfId="364"/>
    <cellStyle name="Comma [0]_Sheet4_pldt" xfId="365"/>
    <cellStyle name="Comma [0]_Sheet4_~0022862" xfId="366"/>
    <cellStyle name="Comma [0]_SHENREPT" xfId="367"/>
    <cellStyle name="Comma [0]_Shipped" xfId="368"/>
    <cellStyle name="Comma [0]_Snr. CO" xfId="369"/>
    <cellStyle name="Comma [0]_sprint contr" xfId="370"/>
    <cellStyle name="Comma [0]_stats" xfId="371"/>
    <cellStyle name="Comma [0]_Subcont File" xfId="372"/>
    <cellStyle name="Comma [0]_Summary Info" xfId="373"/>
    <cellStyle name="Comma [0]_SUMPAGE" xfId="374"/>
    <cellStyle name="Comma [0]_SYSPLN98" xfId="375"/>
    <cellStyle name="Comma [0]_Terms Defined" xfId="376"/>
    <cellStyle name="Comma [0]_TMSNW1" xfId="377"/>
    <cellStyle name="Comma [0]_TMSNW2" xfId="378"/>
    <cellStyle name="Comma [0]_TMSOCPX" xfId="379"/>
    <cellStyle name="Comma [0]_TOTAL MTH" xfId="380"/>
    <cellStyle name="Comma [0]_TOTAL YTD" xfId="381"/>
    <cellStyle name="Comma [0]_TRANSDSC.XLS" xfId="382"/>
    <cellStyle name="Comma [0]_TRANSFXA.XLS" xfId="383"/>
    <cellStyle name="Comma [0]_TRANSFXA.XLS_1" xfId="384"/>
    <cellStyle name="Comma [0]_TRANSIME.XLS" xfId="385"/>
    <cellStyle name="Comma [0]_TRANSIME.XLS_TRANSDSC.XLS" xfId="386"/>
    <cellStyle name="Comma [0]_TRANSIME.XLS_TRANSFXA.XLS" xfId="387"/>
    <cellStyle name="Comma [0]_VIRUS-EDY" xfId="388"/>
    <cellStyle name="Comma [0]_White" xfId="389"/>
    <cellStyle name="Comma [0]_WIP Chart" xfId="390"/>
    <cellStyle name="Comma [0]_WO Var. &amp; Tot. Exp." xfId="391"/>
    <cellStyle name="Comma [0]_WSP" xfId="392"/>
    <cellStyle name="Comma [0]_yrcao" xfId="393"/>
    <cellStyle name="Comma [0]_YREND55" xfId="394"/>
    <cellStyle name="Comma [0]_YREND57" xfId="395"/>
    <cellStyle name="Comma [0]_YTDCUR" xfId="396"/>
    <cellStyle name="Comma_1162" xfId="397"/>
    <cellStyle name="Comma_12matrix" xfId="398"/>
    <cellStyle name="Comma_12~3SO2" xfId="399"/>
    <cellStyle name="Comma_1995" xfId="400"/>
    <cellStyle name="Comma_1997" xfId="401"/>
    <cellStyle name="Comma_29" xfId="402"/>
    <cellStyle name="Comma_A" xfId="403"/>
    <cellStyle name="Comma_A_dimon" xfId="404"/>
    <cellStyle name="Comma_ACTUAL" xfId="405"/>
    <cellStyle name="Comma_ACTUAL NA -OBU" xfId="406"/>
    <cellStyle name="Comma_Actual vs." xfId="407"/>
    <cellStyle name="Comma_algasdefault" xfId="408"/>
    <cellStyle name="Comma_algasdefault_1" xfId="409"/>
    <cellStyle name="Comma_Alternative1" xfId="410"/>
    <cellStyle name="Comma_Alternative1_1" xfId="411"/>
    <cellStyle name="Comma_App E" xfId="412"/>
    <cellStyle name="Comma_Apr" xfId="413"/>
    <cellStyle name="Comma_Arapahoe" xfId="414"/>
    <cellStyle name="Comma_Assumptions" xfId="415"/>
    <cellStyle name="Comma_Assumptions_dimon" xfId="416"/>
    <cellStyle name="Comma_bahiadefault" xfId="417"/>
    <cellStyle name="Comma_bahiadefault_1" xfId="418"/>
    <cellStyle name="Comma_Book3" xfId="419"/>
    <cellStyle name="Comma_BOP" xfId="420"/>
    <cellStyle name="Comma_BOPBAL1" xfId="421"/>
    <cellStyle name="Comma_BOPCBU" xfId="422"/>
    <cellStyle name="Comma_BOPCBU (2)" xfId="423"/>
    <cellStyle name="Comma_BOPCBU96" xfId="424"/>
    <cellStyle name="Comma_BSAPPE.XLS" xfId="425"/>
    <cellStyle name="Comma_C-Cap intensity" xfId="426"/>
    <cellStyle name="Comma_C-Capex%rev" xfId="427"/>
    <cellStyle name="Comma_C-Line per Staff" xfId="428"/>
    <cellStyle name="Comma_C-lines distribution" xfId="429"/>
    <cellStyle name="Comma_C-Orig PLDT lines" xfId="430"/>
    <cellStyle name="Comma_C-Ret on Rev" xfId="431"/>
    <cellStyle name="Comma_C-ROACE" xfId="432"/>
    <cellStyle name="Comma_Calculations" xfId="433"/>
    <cellStyle name="Comma_Calculations (2)" xfId="434"/>
    <cellStyle name="Comma_Calculations (2)_dimon" xfId="435"/>
    <cellStyle name="Comma_Calculations II" xfId="436"/>
    <cellStyle name="Comma_Calculations II_dimon" xfId="437"/>
    <cellStyle name="Comma_Calculations III" xfId="438"/>
    <cellStyle name="Comma_Calculations III_dimon" xfId="439"/>
    <cellStyle name="Comma_Calculations_1" xfId="440"/>
    <cellStyle name="Comma_Calculations_dimon" xfId="441"/>
    <cellStyle name="Comma_Capex" xfId="442"/>
    <cellStyle name="Comma_Capex per line" xfId="443"/>
    <cellStyle name="Comma_Capex%rev" xfId="444"/>
    <cellStyle name="Comma_CAPEX94" xfId="445"/>
    <cellStyle name="Comma_CAPEX_dimon" xfId="446"/>
    <cellStyle name="Comma_CBU BOX CHART V PLAN" xfId="447"/>
    <cellStyle name="Comma_CCA" xfId="448"/>
    <cellStyle name="Comma_CCOCPX" xfId="449"/>
    <cellStyle name="Comma_CHANGES.XLS" xfId="450"/>
    <cellStyle name="Comma_Channel Table" xfId="451"/>
    <cellStyle name="Comma_Charts" xfId="452"/>
    <cellStyle name="Comma_Cht-Capex per line" xfId="453"/>
    <cellStyle name="Comma_Cht-Cum Real Opr Cf" xfId="454"/>
    <cellStyle name="Comma_Cht-Dep%Rev" xfId="455"/>
    <cellStyle name="Comma_Cht-Real Opr Cf" xfId="456"/>
    <cellStyle name="Comma_Cht-Rev dist" xfId="457"/>
    <cellStyle name="Comma_Cht-Rev p line" xfId="458"/>
    <cellStyle name="Comma_Cht-Rev per Staff" xfId="459"/>
    <cellStyle name="Comma_Cht-Staff cost%revenue" xfId="460"/>
    <cellStyle name="Comma_Comm File" xfId="461"/>
    <cellStyle name="Comma_coperdefault" xfId="462"/>
    <cellStyle name="Comma_coperdefault_1" xfId="463"/>
    <cellStyle name="Comma_Corp method" xfId="464"/>
    <cellStyle name="Comma_CROCF" xfId="465"/>
    <cellStyle name="Comma_CTCUR" xfId="466"/>
    <cellStyle name="Comma_Cum Real Opr Cf" xfId="467"/>
    <cellStyle name="Comma_CUMPLTCH" xfId="468"/>
    <cellStyle name="Comma_Cur 5100" xfId="469"/>
    <cellStyle name="Comma_DEFAULT" xfId="470"/>
    <cellStyle name="Comma_Demand Fcst." xfId="471"/>
    <cellStyle name="Comma_Dep%Rev" xfId="472"/>
    <cellStyle name="Comma_dimon" xfId="473"/>
    <cellStyle name="Comma_Dowell C1b" xfId="474"/>
    <cellStyle name="Comma_Dowell-C1a" xfId="475"/>
    <cellStyle name="Comma_E&amp;ONW1" xfId="476"/>
    <cellStyle name="Comma_E&amp;ONW2" xfId="477"/>
    <cellStyle name="Comma_E&amp;OOCPX" xfId="478"/>
    <cellStyle name="Comma_emserdefault" xfId="479"/>
    <cellStyle name="Comma_emserdefault_1" xfId="480"/>
    <cellStyle name="Comma_ENRGYOP1" xfId="481"/>
    <cellStyle name="Comma_EPS" xfId="482"/>
    <cellStyle name="Comma_F&amp;COCPX" xfId="483"/>
    <cellStyle name="Comma_FEBRUARY" xfId="484"/>
    <cellStyle name="Comma_FF" xfId="485"/>
    <cellStyle name="Comma_FP 20 A (1)" xfId="486"/>
    <cellStyle name="Comma_FP 20 A (2)" xfId="487"/>
    <cellStyle name="Comma_FP-20 (App. E)" xfId="488"/>
    <cellStyle name="Comma_FP-20 (App.A) " xfId="489"/>
    <cellStyle name="Comma_FP-20 (App.D)" xfId="490"/>
    <cellStyle name="Comma_FP-20(App.B)" xfId="491"/>
    <cellStyle name="Comma_FP-20(C1) (a)" xfId="492"/>
    <cellStyle name="Comma_FP-20(C1) (a) (2)" xfId="493"/>
    <cellStyle name="Comma_FP-20(C1) (b)" xfId="494"/>
    <cellStyle name="Comma_FP-20(C1) (b) " xfId="495"/>
    <cellStyle name="Comma_FP-20(C1) (b) (2)" xfId="496"/>
    <cellStyle name="Comma_Full Year FY96" xfId="497"/>
    <cellStyle name="Comma_GCM" xfId="498"/>
    <cellStyle name="Comma_GenAssum" xfId="499"/>
    <cellStyle name="Comma_GP C1a" xfId="500"/>
    <cellStyle name="Comma_GP C1b" xfId="501"/>
    <cellStyle name="Comma_GP_EI_3" xfId="502"/>
    <cellStyle name="Comma_GQ C1A" xfId="503"/>
    <cellStyle name="Comma_GQ C1B" xfId="504"/>
    <cellStyle name="Comma_groups" xfId="505"/>
    <cellStyle name="Comma_Inputs" xfId="506"/>
    <cellStyle name="Comma_IPM C1b" xfId="507"/>
    <cellStyle name="Comma_IPMC1a" xfId="508"/>
    <cellStyle name="Comma_IRR" xfId="509"/>
    <cellStyle name="Comma_IS-Hold" xfId="510"/>
    <cellStyle name="Comma_ITOCPX" xfId="511"/>
    <cellStyle name="Comma_Janactuals" xfId="512"/>
    <cellStyle name="Comma_jancf" xfId="513"/>
    <cellStyle name="Comma_JUNMTH55" xfId="514"/>
    <cellStyle name="Comma_JUNMTH57" xfId="515"/>
    <cellStyle name="Comma_JUNYTD55" xfId="516"/>
    <cellStyle name="Comma_JUNYTD57" xfId="517"/>
    <cellStyle name="Comma_laroux" xfId="518"/>
    <cellStyle name="Comma_laroux_1" xfId="519"/>
    <cellStyle name="Comma_laroux_12~3SO2" xfId="520"/>
    <cellStyle name="Comma_laroux_1995" xfId="521"/>
    <cellStyle name="Comma_laroux_1_12~3SO2" xfId="522"/>
    <cellStyle name="Comma_laroux_1_dimon" xfId="523"/>
    <cellStyle name="Comma_laroux_1_dimon_1" xfId="524"/>
    <cellStyle name="Comma_laroux_1_dimon_2" xfId="525"/>
    <cellStyle name="Comma_laroux_1_laroux" xfId="526"/>
    <cellStyle name="Comma_laroux_1_NEGS" xfId="527"/>
    <cellStyle name="Comma_laroux_1_NEGS_1" xfId="528"/>
    <cellStyle name="Comma_laroux_1_NEGS_1_~0022862" xfId="529"/>
    <cellStyle name="Comma_laroux_1_NEGS_2" xfId="530"/>
    <cellStyle name="Comma_laroux_1_NEGS_~0022862" xfId="531"/>
    <cellStyle name="Comma_laroux_1_pldt" xfId="532"/>
    <cellStyle name="Comma_laroux_1_pldt_1" xfId="533"/>
    <cellStyle name="Comma_laroux_1_pldt_1_dimon" xfId="534"/>
    <cellStyle name="Comma_laroux_1_pldt_dimon" xfId="535"/>
    <cellStyle name="Comma_laroux_1_PLDT_dimon_1" xfId="536"/>
    <cellStyle name="Comma_laroux_1_pldt_NEGS" xfId="537"/>
    <cellStyle name="Comma_laroux_1_pldt_~0022862" xfId="538"/>
    <cellStyle name="Comma_laroux_1_VERA" xfId="539"/>
    <cellStyle name="Comma_laroux_1_VERA_1" xfId="540"/>
    <cellStyle name="Comma_laroux_1_VIRUS-EDY" xfId="541"/>
    <cellStyle name="Comma_laroux_1_~0022862" xfId="542"/>
    <cellStyle name="Comma_laroux_2" xfId="543"/>
    <cellStyle name="Comma_laroux_2_12~3SO2" xfId="544"/>
    <cellStyle name="Comma_laroux_2_12~3SO2_NEGS" xfId="545"/>
    <cellStyle name="Comma_laroux_2_12~3SO2_~0022862" xfId="546"/>
    <cellStyle name="Comma_laroux_2_dimon" xfId="547"/>
    <cellStyle name="Comma_laroux_2_dimon_1" xfId="548"/>
    <cellStyle name="Comma_laroux_2_dimon_2" xfId="549"/>
    <cellStyle name="Comma_laroux_2_laroux" xfId="550"/>
    <cellStyle name="Comma_laroux_2_laroux_dimon" xfId="551"/>
    <cellStyle name="Comma_laroux_2_NEGS" xfId="552"/>
    <cellStyle name="Comma_laroux_2_NEGS_1" xfId="553"/>
    <cellStyle name="Comma_laroux_2_pldt" xfId="554"/>
    <cellStyle name="Comma_laroux_2_pldt_1" xfId="555"/>
    <cellStyle name="Comma_laroux_2_pldt_dimon" xfId="556"/>
    <cellStyle name="Comma_laroux_2_PLDT_dimon_1" xfId="557"/>
    <cellStyle name="Comma_laroux_2_pldt_NEGS" xfId="558"/>
    <cellStyle name="Comma_laroux_2_pldt_~0022862" xfId="559"/>
    <cellStyle name="Comma_laroux_2_VERA" xfId="560"/>
    <cellStyle name="Comma_laroux_2_VERA_1" xfId="561"/>
    <cellStyle name="Comma_laroux_3" xfId="562"/>
    <cellStyle name="Comma_laroux_3_dimon" xfId="563"/>
    <cellStyle name="Comma_laroux_3_dimon_1" xfId="564"/>
    <cellStyle name="Comma_laroux_3_dimon_2" xfId="565"/>
    <cellStyle name="Comma_laroux_3_dimon_3" xfId="566"/>
    <cellStyle name="Comma_laroux_3_NEGS" xfId="567"/>
    <cellStyle name="Comma_laroux_3_~0022862" xfId="568"/>
    <cellStyle name="Comma_laroux_dimon" xfId="569"/>
    <cellStyle name="Comma_laroux_dimon_1" xfId="570"/>
    <cellStyle name="Comma_laroux_laroux" xfId="571"/>
    <cellStyle name="Comma_laroux_laroux_1" xfId="572"/>
    <cellStyle name="Comma_laroux_laroux_dimon" xfId="573"/>
    <cellStyle name="Comma_laroux_NEGS" xfId="574"/>
    <cellStyle name="Comma_laroux_pldt" xfId="575"/>
    <cellStyle name="Comma_laroux_pldt_1" xfId="576"/>
    <cellStyle name="Comma_laroux_pldt_dimon" xfId="577"/>
    <cellStyle name="Comma_laroux_pldt_NEGS" xfId="578"/>
    <cellStyle name="Comma_laroux_pldt_~0022862" xfId="579"/>
    <cellStyle name="Comma_laroux_VERA" xfId="580"/>
    <cellStyle name="Comma_laroux_VERA_1" xfId="581"/>
    <cellStyle name="Comma_laroux_VIRUS-EDY" xfId="582"/>
    <cellStyle name="Comma_Line Inst." xfId="583"/>
    <cellStyle name="Comma_MACRO1.XLM" xfId="584"/>
    <cellStyle name="Comma_MATERAL2" xfId="585"/>
    <cellStyle name="Comma_MATERAL2_dimon" xfId="586"/>
    <cellStyle name="Comma_MATERAL2_dimon_1" xfId="587"/>
    <cellStyle name="Comma_MATERAL2_dimon_2" xfId="588"/>
    <cellStyle name="Comma_MATERAL2_NEGS" xfId="589"/>
    <cellStyle name="Comma_MATERAL2_NEGS_1" xfId="590"/>
    <cellStyle name="Comma_MATERAL2_NEGS_~0022862" xfId="591"/>
    <cellStyle name="Comma_MATERAL2_~0022862" xfId="592"/>
    <cellStyle name="Comma_MKGOCPX" xfId="593"/>
    <cellStyle name="Comma_Mkt Shr" xfId="594"/>
    <cellStyle name="Comma_MOBCPX" xfId="595"/>
    <cellStyle name="Comma_mud plant bolted" xfId="596"/>
    <cellStyle name="Comma_NA (2)" xfId="597"/>
    <cellStyle name="Comma_NA WITHOUT GOV'T &amp; PNX" xfId="598"/>
    <cellStyle name="Comma_NAOBU10" xfId="599"/>
    <cellStyle name="Comma_NAT ACCT" xfId="600"/>
    <cellStyle name="Comma_NCR-C&amp;W Val" xfId="601"/>
    <cellStyle name="Comma_NCR-Cap intensity" xfId="602"/>
    <cellStyle name="Comma_NCR-Line per Staff" xfId="603"/>
    <cellStyle name="Comma_NCR-Rev dist" xfId="604"/>
    <cellStyle name="Comma_NSACTUAL.XLS" xfId="605"/>
    <cellStyle name="Comma_NX00" xfId="606"/>
    <cellStyle name="Comma_Odner" xfId="607"/>
    <cellStyle name="Comma_Odner (2)" xfId="608"/>
    <cellStyle name="Comma_Odner (3)" xfId="609"/>
    <cellStyle name="Comma_Op Cost Break" xfId="610"/>
    <cellStyle name="Comma_OSMOCPX" xfId="611"/>
    <cellStyle name="Comma_Other Months" xfId="612"/>
    <cellStyle name="Comma_Outlook" xfId="613"/>
    <cellStyle name="Comma_P&amp;L" xfId="614"/>
    <cellStyle name="Comma_pbdefault" xfId="615"/>
    <cellStyle name="Comma_pbdefault_1" xfId="616"/>
    <cellStyle name="Comma_percentages" xfId="617"/>
    <cellStyle name="Comma_PERSONAL" xfId="618"/>
    <cellStyle name="Comma_PGMKOCPX" xfId="619"/>
    <cellStyle name="Comma_PGNW1" xfId="620"/>
    <cellStyle name="Comma_PGNW2" xfId="621"/>
    <cellStyle name="Comma_PGNWOCPX" xfId="622"/>
    <cellStyle name="Comma_Pink" xfId="623"/>
    <cellStyle name="Comma_Plan" xfId="624"/>
    <cellStyle name="Comma_PLAN95" xfId="625"/>
    <cellStyle name="Comma_PLANT" xfId="626"/>
    <cellStyle name="Comma_PLDT" xfId="627"/>
    <cellStyle name="Comma_pldt_1" xfId="628"/>
    <cellStyle name="Comma_pldt_1_dimon" xfId="629"/>
    <cellStyle name="Comma_pldt_2" xfId="630"/>
    <cellStyle name="Comma_pldt_Calculations" xfId="631"/>
    <cellStyle name="Comma_PLDT_dimon" xfId="632"/>
    <cellStyle name="Comma_pldt_NEGS" xfId="633"/>
    <cellStyle name="Comma_priccurv" xfId="634"/>
    <cellStyle name="Comma_PROCDS&amp;G" xfId="635"/>
    <cellStyle name="Comma_Product" xfId="636"/>
    <cellStyle name="Comma_PROFILE4" xfId="637"/>
    <cellStyle name="Comma_Projects" xfId="638"/>
    <cellStyle name="Comma_Q1 FY96" xfId="639"/>
    <cellStyle name="Comma_Q2 FY96" xfId="640"/>
    <cellStyle name="Comma_Q3 FY96" xfId="641"/>
    <cellStyle name="Comma_Q4 FY96" xfId="642"/>
    <cellStyle name="Comma_QTR94_95" xfId="643"/>
    <cellStyle name="Comma_Quarter End Months" xfId="644"/>
    <cellStyle name="Comma_r1" xfId="645"/>
    <cellStyle name="Comma_r1_dimon" xfId="646"/>
    <cellStyle name="Comma_Real Opr Cf" xfId="647"/>
    <cellStyle name="Comma_Real Rev per Staff (1)" xfId="648"/>
    <cellStyle name="Comma_Real Rev per Staff (2)" xfId="649"/>
    <cellStyle name="Comma_Region 2-C&amp;W" xfId="650"/>
    <cellStyle name="Comma_Return on Rev" xfId="651"/>
    <cellStyle name="Comma_Rev p line" xfId="652"/>
    <cellStyle name="Comma_RFI" xfId="653"/>
    <cellStyle name="Comma_RFI_1" xfId="654"/>
    <cellStyle name="Comma_ROACE" xfId="655"/>
    <cellStyle name="Comma_ROCF (Tot)" xfId="656"/>
    <cellStyle name="Comma_RQSTFRM" xfId="657"/>
    <cellStyle name="Comma_Sales Order" xfId="658"/>
    <cellStyle name="Comma_SATOCPX" xfId="659"/>
    <cellStyle name="Comma_Sheet1" xfId="660"/>
    <cellStyle name="Comma_Sheet1_Book6" xfId="661"/>
    <cellStyle name="Comma_Sheet1_CTS - Ind excl Can" xfId="662"/>
    <cellStyle name="Comma_Sheet1_dimon" xfId="663"/>
    <cellStyle name="Comma_Sheet1_dimon_1" xfId="664"/>
    <cellStyle name="Comma_Sheet1_ECTPLAN" xfId="665"/>
    <cellStyle name="Comma_Sheet1_format1" xfId="666"/>
    <cellStyle name="Comma_Sheet1_laroux" xfId="667"/>
    <cellStyle name="Comma_Sheet1_NEGS" xfId="668"/>
    <cellStyle name="Comma_Sheet1_Other Ind  " xfId="669"/>
    <cellStyle name="Comma_Sheet1_PERSONAL" xfId="670"/>
    <cellStyle name="Comma_Sheet1_PLAN0398" xfId="671"/>
    <cellStyle name="Comma_Sheet1_PLDT" xfId="672"/>
    <cellStyle name="Comma_Sheet1_Var_2CE" xfId="673"/>
    <cellStyle name="Comma_Sheet1_~0022862" xfId="674"/>
    <cellStyle name="Comma_Sheet2" xfId="675"/>
    <cellStyle name="Comma_Sheet4" xfId="676"/>
    <cellStyle name="Comma_Sheet4_NEGS" xfId="677"/>
    <cellStyle name="Comma_Sheet4_pldt" xfId="678"/>
    <cellStyle name="Comma_Sheet4_~0022862" xfId="679"/>
    <cellStyle name="Comma_SHENREPT" xfId="680"/>
    <cellStyle name="Comma_Shipped" xfId="681"/>
    <cellStyle name="Comma_Snr. CO" xfId="682"/>
    <cellStyle name="Comma_sprint contr" xfId="683"/>
    <cellStyle name="Comma_Staff cost%rev" xfId="684"/>
    <cellStyle name="Comma_stats" xfId="685"/>
    <cellStyle name="Comma_Subcont File" xfId="686"/>
    <cellStyle name="Comma_Summary Info" xfId="687"/>
    <cellStyle name="Comma_SUMPAGE" xfId="688"/>
    <cellStyle name="Comma_SYSPLN98" xfId="689"/>
    <cellStyle name="Comma_Terms Defined" xfId="690"/>
    <cellStyle name="Comma_TMSNW1" xfId="691"/>
    <cellStyle name="Comma_TMSNW2" xfId="692"/>
    <cellStyle name="Comma_TMSOCPX" xfId="693"/>
    <cellStyle name="Comma_TOTAL MTH" xfId="694"/>
    <cellStyle name="Comma_TOTAL YTD" xfId="695"/>
    <cellStyle name="Comma_Total-Rev dist." xfId="696"/>
    <cellStyle name="Comma_TRANSDSC.XLS" xfId="697"/>
    <cellStyle name="Comma_TRANSFXA.XLS" xfId="698"/>
    <cellStyle name="Comma_TRANSFXA.XLS_1" xfId="699"/>
    <cellStyle name="Comma_TRANSIME.XLS" xfId="700"/>
    <cellStyle name="Comma_TRANSIME.XLS_TRANSDSC.XLS" xfId="701"/>
    <cellStyle name="Comma_TRANSIME.XLS_TRANSFXA.XLS" xfId="702"/>
    <cellStyle name="Comma_VIRUS-EDY" xfId="703"/>
    <cellStyle name="Comma_White" xfId="704"/>
    <cellStyle name="Comma_WIP Chart" xfId="705"/>
    <cellStyle name="Comma_WO Var. &amp; Tot. Exp." xfId="706"/>
    <cellStyle name="Comma_WSP" xfId="707"/>
    <cellStyle name="Comma_yrcao" xfId="708"/>
    <cellStyle name="Comma_YREND55" xfId="709"/>
    <cellStyle name="Comma_YREND57" xfId="710"/>
    <cellStyle name="Comma_YTDCUR" xfId="711"/>
    <cellStyle name="Currency [0]_1162" xfId="712"/>
    <cellStyle name="Currency [0]_12matrix" xfId="713"/>
    <cellStyle name="Currency [0]_12~3SO2" xfId="714"/>
    <cellStyle name="Currency [0]_1995" xfId="715"/>
    <cellStyle name="Currency [0]_1997" xfId="716"/>
    <cellStyle name="Currency [0]_29" xfId="717"/>
    <cellStyle name="Currency [0]_A" xfId="718"/>
    <cellStyle name="Currency [0]_A_dimon" xfId="719"/>
    <cellStyle name="Currency [0]_ACTUAL" xfId="720"/>
    <cellStyle name="Currency [0]_ACTUAL NA -OBU" xfId="721"/>
    <cellStyle name="Currency [0]_Actual vs." xfId="722"/>
    <cellStyle name="Currency [0]_algasdefault" xfId="723"/>
    <cellStyle name="Currency [0]_Alternative1" xfId="724"/>
    <cellStyle name="Currency [0]_Alternative1_1" xfId="725"/>
    <cellStyle name="Currency [0]_App E" xfId="726"/>
    <cellStyle name="Currency [0]_Apr" xfId="727"/>
    <cellStyle name="Currency [0]_Arapahoe" xfId="728"/>
    <cellStyle name="Currency [0]_Assumptions" xfId="729"/>
    <cellStyle name="Currency [0]_Assumptions_dimon" xfId="730"/>
    <cellStyle name="Currency [0]_bahiadefault" xfId="731"/>
    <cellStyle name="Currency [0]_Book3" xfId="732"/>
    <cellStyle name="Currency [0]_BOP" xfId="733"/>
    <cellStyle name="Currency [0]_BOPBAL1" xfId="734"/>
    <cellStyle name="Currency [0]_BOPCBU" xfId="735"/>
    <cellStyle name="Currency [0]_BOPCBU (2)" xfId="736"/>
    <cellStyle name="Currency [0]_BOPCBU96" xfId="737"/>
    <cellStyle name="Currency [0]_BSAPPE.XLS" xfId="738"/>
    <cellStyle name="Currency [0]_Calculations" xfId="739"/>
    <cellStyle name="Currency [0]_Calculations (2)" xfId="740"/>
    <cellStyle name="Currency [0]_Calculations (2)_dimon" xfId="741"/>
    <cellStyle name="Currency [0]_Calculations II" xfId="742"/>
    <cellStyle name="Currency [0]_Calculations II_dimon" xfId="743"/>
    <cellStyle name="Currency [0]_Calculations III" xfId="744"/>
    <cellStyle name="Currency [0]_Calculations III_dimon" xfId="745"/>
    <cellStyle name="Currency [0]_Calculations_1" xfId="746"/>
    <cellStyle name="Currency [0]_Calculations_1_dimon" xfId="747"/>
    <cellStyle name="Currency [0]_Calculations_dimon" xfId="748"/>
    <cellStyle name="Currency [0]_CAPEX" xfId="749"/>
    <cellStyle name="Currency [0]_CAPEX94" xfId="750"/>
    <cellStyle name="Currency [0]_Cardig GHS" xfId="751"/>
    <cellStyle name="Currency [0]_Cash Flows" xfId="752"/>
    <cellStyle name="Currency [0]_CBU BOX CHART V PLAN" xfId="753"/>
    <cellStyle name="Currency [0]_CCA" xfId="754"/>
    <cellStyle name="Currency [0]_CCOCPX" xfId="755"/>
    <cellStyle name="Currency [0]_CHANGES.XLS" xfId="756"/>
    <cellStyle name="Currency [0]_Channel Table" xfId="757"/>
    <cellStyle name="Currency [0]_Charts" xfId="758"/>
    <cellStyle name="Currency [0]_Comm File" xfId="759"/>
    <cellStyle name="Currency [0]_coperdefault" xfId="760"/>
    <cellStyle name="Currency [0]_Corp method" xfId="761"/>
    <cellStyle name="Currency [0]_Cost Code" xfId="762"/>
    <cellStyle name="Currency [0]_CTCUR" xfId="763"/>
    <cellStyle name="Currency [0]_CUMPLTCH" xfId="764"/>
    <cellStyle name="Currency [0]_Cur 5100" xfId="765"/>
    <cellStyle name="Currency [0]_DEFAULT" xfId="766"/>
    <cellStyle name="Currency [0]_dimon" xfId="767"/>
    <cellStyle name="Currency [0]_dimon_1" xfId="768"/>
    <cellStyle name="Currency [0]_dimon_2" xfId="769"/>
    <cellStyle name="Currency [0]_Dowell C1b" xfId="770"/>
    <cellStyle name="Currency [0]_Dowell-C1a" xfId="771"/>
    <cellStyle name="Currency [0]_E&amp;ONW1" xfId="772"/>
    <cellStyle name="Currency [0]_E&amp;ONW2" xfId="773"/>
    <cellStyle name="Currency [0]_E&amp;OOCPX" xfId="774"/>
    <cellStyle name="Currency [0]_emserdefault" xfId="775"/>
    <cellStyle name="Currency [0]_ENRGYOP1" xfId="776"/>
    <cellStyle name="Currency [0]_F&amp;COCPX" xfId="777"/>
    <cellStyle name="Currency [0]_FEBRUARY" xfId="778"/>
    <cellStyle name="Currency [0]_FF" xfId="779"/>
    <cellStyle name="Currency [0]_FP 20 A (1)" xfId="780"/>
    <cellStyle name="Currency [0]_FP 20 A (2)" xfId="781"/>
    <cellStyle name="Currency [0]_FP-20 (App. E)" xfId="782"/>
    <cellStyle name="Currency [0]_FP-20 (App.A) " xfId="783"/>
    <cellStyle name="Currency [0]_FP-20 (App.D)" xfId="784"/>
    <cellStyle name="Currency [0]_FP-20(App.B)" xfId="785"/>
    <cellStyle name="Currency [0]_FP-20(C1) (a)" xfId="786"/>
    <cellStyle name="Currency [0]_FP-20(C1) (a) (2)" xfId="787"/>
    <cellStyle name="Currency [0]_FP-20(C1) (b)" xfId="788"/>
    <cellStyle name="Currency [0]_FP-20(C1) (b) " xfId="789"/>
    <cellStyle name="Currency [0]_FP-20(C1) (b) (2)" xfId="790"/>
    <cellStyle name="Currency [0]_Full Year FY96" xfId="791"/>
    <cellStyle name="Currency [0]_GCM" xfId="792"/>
    <cellStyle name="Currency [0]_GenAssum" xfId="793"/>
    <cellStyle name="Currency [0]_GP C1a" xfId="794"/>
    <cellStyle name="Currency [0]_GP C1b" xfId="795"/>
    <cellStyle name="Currency [0]_GP_EI_3" xfId="796"/>
    <cellStyle name="Currency [0]_GQ C1A" xfId="797"/>
    <cellStyle name="Currency [0]_GQ C1B" xfId="798"/>
    <cellStyle name="Currency [0]_groups" xfId="799"/>
    <cellStyle name="Currency [0]_Inputs" xfId="800"/>
    <cellStyle name="Currency [0]_Inputs_NEGS" xfId="801"/>
    <cellStyle name="Currency [0]_Inputs_~0022862" xfId="802"/>
    <cellStyle name="Currency [0]_IPM C1b" xfId="803"/>
    <cellStyle name="Currency [0]_IPMC1a" xfId="804"/>
    <cellStyle name="Currency [0]_IS-Hold" xfId="805"/>
    <cellStyle name="Currency [0]_ITOCPX" xfId="806"/>
    <cellStyle name="Currency [0]_Janactuals" xfId="807"/>
    <cellStyle name="Currency [0]_jancf" xfId="808"/>
    <cellStyle name="Currency [0]_JUNMTH55" xfId="809"/>
    <cellStyle name="Currency [0]_JUNMTH57" xfId="810"/>
    <cellStyle name="Currency [0]_JUNYTD55" xfId="811"/>
    <cellStyle name="Currency [0]_JUNYTD57" xfId="812"/>
    <cellStyle name="Currency [0]_laroux" xfId="813"/>
    <cellStyle name="Currency [0]_laroux_1" xfId="814"/>
    <cellStyle name="Currency [0]_laroux_12~3SO2" xfId="815"/>
    <cellStyle name="Currency [0]_laroux_1995" xfId="816"/>
    <cellStyle name="Currency [0]_laroux_1_12~3SO2" xfId="817"/>
    <cellStyle name="Currency [0]_laroux_1_dimon" xfId="818"/>
    <cellStyle name="Currency [0]_laroux_1_dimon_1" xfId="819"/>
    <cellStyle name="Currency [0]_laroux_1_dimon_2" xfId="820"/>
    <cellStyle name="Currency [0]_laroux_1_dimon_3" xfId="821"/>
    <cellStyle name="Currency [0]_laroux_1_dimon_4" xfId="822"/>
    <cellStyle name="Currency [0]_laroux_1_laroux" xfId="823"/>
    <cellStyle name="Currency [0]_laroux_1_laroux_1" xfId="824"/>
    <cellStyle name="Currency [0]_laroux_1_laroux_dimon" xfId="825"/>
    <cellStyle name="Currency [0]_laroux_1_Locas" xfId="826"/>
    <cellStyle name="Currency [0]_laroux_1_NEGS" xfId="827"/>
    <cellStyle name="Currency [0]_laroux_1_NEGS_1" xfId="828"/>
    <cellStyle name="Currency [0]_laroux_1_NEGS_~0022862" xfId="829"/>
    <cellStyle name="Currency [0]_laroux_1_pldt" xfId="830"/>
    <cellStyle name="Currency [0]_laroux_1_pldt_dimon" xfId="831"/>
    <cellStyle name="Currency [0]_laroux_1_PLDT_dimon_1" xfId="832"/>
    <cellStyle name="Currency [0]_laroux_1_VERA" xfId="833"/>
    <cellStyle name="Currency [0]_laroux_1_VERA_1" xfId="834"/>
    <cellStyle name="Currency [0]_laroux_1_VIRUS-EDY" xfId="835"/>
    <cellStyle name="Currency [0]_laroux_1_~0022862" xfId="836"/>
    <cellStyle name="Currency [0]_laroux_2" xfId="837"/>
    <cellStyle name="Currency [0]_laroux_2_12~3SO2" xfId="838"/>
    <cellStyle name="Currency [0]_laroux_2_12~3SO2_NEGS" xfId="839"/>
    <cellStyle name="Currency [0]_laroux_2_12~3SO2_~0022862" xfId="840"/>
    <cellStyle name="Currency [0]_laroux_2_dimon" xfId="841"/>
    <cellStyle name="Currency [0]_laroux_2_dimon_1" xfId="842"/>
    <cellStyle name="Currency [0]_laroux_2_dimon_2" xfId="843"/>
    <cellStyle name="Currency [0]_laroux_2_dimon_3" xfId="844"/>
    <cellStyle name="Currency [0]_laroux_2_dimon_4" xfId="845"/>
    <cellStyle name="Currency [0]_laroux_2_laroux" xfId="846"/>
    <cellStyle name="Currency [0]_laroux_2_laroux_dimon" xfId="847"/>
    <cellStyle name="Currency [0]_laroux_2_Locas" xfId="848"/>
    <cellStyle name="Currency [0]_laroux_2_NEGS" xfId="849"/>
    <cellStyle name="Currency [0]_laroux_2_NEGS_1" xfId="850"/>
    <cellStyle name="Currency [0]_laroux_2_NEGS_1_~0022862" xfId="851"/>
    <cellStyle name="Currency [0]_laroux_2_NEGS_2" xfId="852"/>
    <cellStyle name="Currency [0]_laroux_2_NEGS_~0022862" xfId="853"/>
    <cellStyle name="Currency [0]_laroux_2_pldt" xfId="854"/>
    <cellStyle name="Currency [0]_laroux_2_PLDT_dimon" xfId="855"/>
    <cellStyle name="Currency [0]_laroux_2_VIRUS-EDY" xfId="856"/>
    <cellStyle name="Currency [0]_laroux_2_~0022862" xfId="857"/>
    <cellStyle name="Currency [0]_laroux_3" xfId="858"/>
    <cellStyle name="Currency [0]_laroux_3_12~3SO2" xfId="859"/>
    <cellStyle name="Currency [0]_laroux_3_12~3SO2_NEGS" xfId="860"/>
    <cellStyle name="Currency [0]_laroux_3_12~3SO2_~0022862" xfId="861"/>
    <cellStyle name="Currency [0]_laroux_3_dimon" xfId="862"/>
    <cellStyle name="Currency [0]_laroux_3_dimon_1" xfId="863"/>
    <cellStyle name="Currency [0]_laroux_3_dimon_2" xfId="864"/>
    <cellStyle name="Currency [0]_laroux_3_dimon_3" xfId="865"/>
    <cellStyle name="Currency [0]_laroux_3_dimon_4" xfId="866"/>
    <cellStyle name="Currency [0]_laroux_3_NEGS" xfId="867"/>
    <cellStyle name="Currency [0]_laroux_3_~0022862" xfId="868"/>
    <cellStyle name="Currency [0]_laroux_4" xfId="869"/>
    <cellStyle name="Currency [0]_laroux_4_dimon" xfId="870"/>
    <cellStyle name="Currency [0]_laroux_4_dimon_1" xfId="871"/>
    <cellStyle name="Currency [0]_laroux_4_dimon_2" xfId="872"/>
    <cellStyle name="Currency [0]_laroux_4_NEGS" xfId="873"/>
    <cellStyle name="Currency [0]_laroux_4_~0022862" xfId="874"/>
    <cellStyle name="Currency [0]_laroux_5" xfId="875"/>
    <cellStyle name="Currency [0]_laroux_6" xfId="876"/>
    <cellStyle name="Currency [0]_laroux_7" xfId="877"/>
    <cellStyle name="Currency [0]_laroux_dimon" xfId="878"/>
    <cellStyle name="Currency [0]_laroux_dimon_1" xfId="879"/>
    <cellStyle name="Currency [0]_laroux_dimon_2" xfId="880"/>
    <cellStyle name="Currency [0]_laroux_dimon_3" xfId="881"/>
    <cellStyle name="Currency [0]_laroux_dimon_4" xfId="882"/>
    <cellStyle name="Currency [0]_laroux_laroux" xfId="883"/>
    <cellStyle name="Currency [0]_laroux_laroux_1" xfId="884"/>
    <cellStyle name="Currency [0]_laroux_laroux_1_dimon" xfId="885"/>
    <cellStyle name="Currency [0]_laroux_laroux_dimon" xfId="886"/>
    <cellStyle name="Currency [0]_laroux_Locas" xfId="887"/>
    <cellStyle name="Currency [0]_laroux_MATERAL2" xfId="888"/>
    <cellStyle name="Currency [0]_laroux_MATERAL2_dimon" xfId="889"/>
    <cellStyle name="Currency [0]_laroux_MATERAL2_dimon_1" xfId="890"/>
    <cellStyle name="Currency [0]_laroux_MATERAL2_laroux" xfId="891"/>
    <cellStyle name="Currency [0]_laroux_MATERAL2_laroux_dimon" xfId="892"/>
    <cellStyle name="Currency [0]_laroux_MATERAL2_NEGS" xfId="893"/>
    <cellStyle name="Currency [0]_laroux_MATERAL2_pldt" xfId="894"/>
    <cellStyle name="Currency [0]_laroux_MATERAL2_VERA" xfId="895"/>
    <cellStyle name="Currency [0]_laroux_MATERAL2_VIRUS-EDY" xfId="896"/>
    <cellStyle name="Currency [0]_laroux_mud plant bolted" xfId="897"/>
    <cellStyle name="Currency [0]_laroux_mud plant bolted_dimon" xfId="898"/>
    <cellStyle name="Currency [0]_laroux_mud plant bolted_dimon_1" xfId="899"/>
    <cellStyle name="Currency [0]_laroux_mud plant bolted_dimon_2" xfId="900"/>
    <cellStyle name="Currency [0]_laroux_mud plant bolted_NEGS" xfId="901"/>
    <cellStyle name="Currency [0]_laroux_mud plant bolted_NEGS_1" xfId="902"/>
    <cellStyle name="Currency [0]_laroux_mud plant bolted_NEGS_~0022862" xfId="903"/>
    <cellStyle name="Currency [0]_laroux_mud plant bolted_~0022862" xfId="904"/>
    <cellStyle name="Currency [0]_laroux_NEGS" xfId="905"/>
    <cellStyle name="Currency [0]_laroux_pldt" xfId="906"/>
    <cellStyle name="Currency [0]_laroux_pldt_1" xfId="907"/>
    <cellStyle name="Currency [0]_laroux_VERA" xfId="908"/>
    <cellStyle name="Currency [0]_laroux_VERA_1" xfId="909"/>
    <cellStyle name="Currency [0]_laroux_VIRUS-EDY" xfId="910"/>
    <cellStyle name="Currency [0]_List" xfId="911"/>
    <cellStyle name="Currency [0]_MACRO1.XLM" xfId="912"/>
    <cellStyle name="Currency [0]_MATERAL2" xfId="913"/>
    <cellStyle name="Currency [0]_MATERAL2_dimon" xfId="914"/>
    <cellStyle name="Currency [0]_MATERAL2_dimon_1" xfId="915"/>
    <cellStyle name="Currency [0]_MATERAL2_dimon_2" xfId="916"/>
    <cellStyle name="Currency [0]_MATERAL2_NEGS" xfId="917"/>
    <cellStyle name="Currency [0]_MATERAL2_NEGS_1" xfId="918"/>
    <cellStyle name="Currency [0]_MATERAL2_NEGS_~0022862" xfId="919"/>
    <cellStyle name="Currency [0]_MATERAL2_~0022862" xfId="920"/>
    <cellStyle name="Currency [0]_MKGOCPX" xfId="921"/>
    <cellStyle name="Currency [0]_MOBCPX" xfId="922"/>
    <cellStyle name="Currency [0]_mud plant bolted" xfId="923"/>
    <cellStyle name="Currency [0]_mud plant bolted_dimon" xfId="924"/>
    <cellStyle name="Currency [0]_mud plant bolted_dimon_1" xfId="925"/>
    <cellStyle name="Currency [0]_mud plant bolted_laroux" xfId="926"/>
    <cellStyle name="Currency [0]_mud plant bolted_laroux_dimon" xfId="927"/>
    <cellStyle name="Currency [0]_mud plant bolted_NEGS" xfId="928"/>
    <cellStyle name="Currency [0]_mud plant bolted_pldt" xfId="929"/>
    <cellStyle name="Currency [0]_mud plant bolted_VERA" xfId="930"/>
    <cellStyle name="Currency [0]_mud plant bolted_VIRUS-EDY" xfId="931"/>
    <cellStyle name="Currency [0]_NA (2)" xfId="932"/>
    <cellStyle name="Currency [0]_NA WITHOUT GOV'T &amp; PNX" xfId="933"/>
    <cellStyle name="Currency [0]_NAOBU10" xfId="934"/>
    <cellStyle name="Currency [0]_NAT ACCT" xfId="935"/>
    <cellStyle name="Currency [0]_NEGS" xfId="936"/>
    <cellStyle name="Currency [0]_NSACTUAL.XLS" xfId="937"/>
    <cellStyle name="Currency [0]_NX00" xfId="938"/>
    <cellStyle name="Currency [0]_Odner" xfId="939"/>
    <cellStyle name="Currency [0]_Odner (2)" xfId="940"/>
    <cellStyle name="Currency [0]_Odner (3)" xfId="941"/>
    <cellStyle name="Currency [0]_OSMOCPX" xfId="942"/>
    <cellStyle name="Currency [0]_Other Months" xfId="943"/>
    <cellStyle name="Currency [0]_Outlook" xfId="944"/>
    <cellStyle name="Currency [0]_P&amp;L" xfId="945"/>
    <cellStyle name="Currency [0]_pbdefault" xfId="946"/>
    <cellStyle name="Currency [0]_percentages" xfId="947"/>
    <cellStyle name="Currency [0]_PERSONAL" xfId="948"/>
    <cellStyle name="Currency [0]_PGMKOCPX" xfId="949"/>
    <cellStyle name="Currency [0]_PGNW1" xfId="950"/>
    <cellStyle name="Currency [0]_PGNW2" xfId="951"/>
    <cellStyle name="Currency [0]_PGNWOCPX" xfId="952"/>
    <cellStyle name="Currency [0]_Pink" xfId="953"/>
    <cellStyle name="Currency [0]_Plan" xfId="954"/>
    <cellStyle name="Currency [0]_PLAN95" xfId="955"/>
    <cellStyle name="Currency [0]_PLANT" xfId="956"/>
    <cellStyle name="Currency [0]_PLDT" xfId="957"/>
    <cellStyle name="Currency [0]_pldt_1" xfId="958"/>
    <cellStyle name="Currency [0]_pldt_1_dimon" xfId="959"/>
    <cellStyle name="Currency [0]_PLDT_1_dimon_1" xfId="960"/>
    <cellStyle name="Currency [0]_pldt_1_dimon_2" xfId="961"/>
    <cellStyle name="Currency [0]_pldt_1_NEGS" xfId="962"/>
    <cellStyle name="Currency [0]_pldt_2" xfId="963"/>
    <cellStyle name="Currency [0]_pldt_2_NEGS" xfId="964"/>
    <cellStyle name="Currency [0]_pldt_2_~0022862" xfId="965"/>
    <cellStyle name="Currency [0]_pldt_Calculations" xfId="966"/>
    <cellStyle name="Currency [0]_pldt_Calculations_dimon" xfId="967"/>
    <cellStyle name="Currency [0]_PLDT_dimon" xfId="968"/>
    <cellStyle name="Currency [0]_PLDT_dimon_1" xfId="969"/>
    <cellStyle name="Currency [0]_pldt_dimon_2" xfId="970"/>
    <cellStyle name="Currency [0]_PLDT_NEGS" xfId="971"/>
    <cellStyle name="Currency [0]_priccurv" xfId="972"/>
    <cellStyle name="Currency [0]_PROCDS&amp;G" xfId="973"/>
    <cellStyle name="Currency [0]_Product" xfId="974"/>
    <cellStyle name="Currency [0]_PROFILE4" xfId="975"/>
    <cellStyle name="Currency [0]_Projects" xfId="976"/>
    <cellStyle name="Currency [0]_Q1 FY96" xfId="977"/>
    <cellStyle name="Currency [0]_Q2 FY96" xfId="978"/>
    <cellStyle name="Currency [0]_Q3 FY96" xfId="979"/>
    <cellStyle name="Currency [0]_Q4 FY96" xfId="980"/>
    <cellStyle name="Currency [0]_QTR94_95" xfId="981"/>
    <cellStyle name="Currency [0]_Quarter End Months" xfId="982"/>
    <cellStyle name="Currency [0]_r1" xfId="983"/>
    <cellStyle name="Currency [0]_r1_dimon" xfId="984"/>
    <cellStyle name="Currency [0]_r1_NEGS" xfId="985"/>
    <cellStyle name="Currency [0]_r1_~0022862" xfId="986"/>
    <cellStyle name="Currency [0]_RFI" xfId="987"/>
    <cellStyle name="Currency [0]_RFI_1" xfId="988"/>
    <cellStyle name="Currency [0]_RQSTFRM" xfId="989"/>
    <cellStyle name="Currency [0]_Sales Order" xfId="990"/>
    <cellStyle name="Currency [0]_SATOCPX" xfId="991"/>
    <cellStyle name="Currency [0]_Sheet1" xfId="992"/>
    <cellStyle name="Currency [0]_Sheet1 (2)" xfId="993"/>
    <cellStyle name="Currency [0]_Sheet1_Book6" xfId="994"/>
    <cellStyle name="Currency [0]_Sheet1_CTS - Ind excl Can" xfId="995"/>
    <cellStyle name="Currency [0]_Sheet1_dimon" xfId="996"/>
    <cellStyle name="Currency [0]_Sheet1_dimon_1" xfId="997"/>
    <cellStyle name="Currency [0]_Sheet1_ECTPLAN" xfId="998"/>
    <cellStyle name="Currency [0]_Sheet1_format1" xfId="999"/>
    <cellStyle name="Currency [0]_Sheet1_laroux" xfId="1000"/>
    <cellStyle name="Currency [0]_Sheet1_NEGS" xfId="1001"/>
    <cellStyle name="Currency [0]_Sheet1_Other Ind  " xfId="1002"/>
    <cellStyle name="Currency [0]_Sheet1_PERSONAL" xfId="1003"/>
    <cellStyle name="Currency [0]_Sheet1_PLAN0398" xfId="1004"/>
    <cellStyle name="Currency [0]_Sheet1_PLDT" xfId="1005"/>
    <cellStyle name="Currency [0]_Sheet1_Var_2CE" xfId="1006"/>
    <cellStyle name="Currency [0]_Sheet1_~0022862" xfId="1007"/>
    <cellStyle name="Currency [0]_Sheet2" xfId="1008"/>
    <cellStyle name="Currency [0]_Sheet4" xfId="1009"/>
    <cellStyle name="Currency [0]_Sheet4_NEGS" xfId="1010"/>
    <cellStyle name="Currency [0]_Sheet4_pldt" xfId="1011"/>
    <cellStyle name="Currency [0]_Sheet4_~0022862" xfId="1012"/>
    <cellStyle name="Currency [0]_SHENREPT" xfId="1013"/>
    <cellStyle name="Currency [0]_Shipped" xfId="1014"/>
    <cellStyle name="Currency [0]_Snr. CO" xfId="1015"/>
    <cellStyle name="Currency [0]_sprint contr" xfId="1016"/>
    <cellStyle name="Currency [0]_stats" xfId="1017"/>
    <cellStyle name="Currency [0]_Subcont File" xfId="1018"/>
    <cellStyle name="Currency [0]_Summary Info" xfId="1019"/>
    <cellStyle name="Currency [0]_SUMPAGE" xfId="1020"/>
    <cellStyle name="Currency [0]_SYSPLN98" xfId="1021"/>
    <cellStyle name="Currency [0]_Terms Defined" xfId="1022"/>
    <cellStyle name="Currency [0]_TMSNW1" xfId="1023"/>
    <cellStyle name="Currency [0]_TMSNW2" xfId="1024"/>
    <cellStyle name="Currency [0]_TMSOCPX" xfId="1025"/>
    <cellStyle name="Currency [0]_TOTAL MTH" xfId="1026"/>
    <cellStyle name="Currency [0]_TOTAL YTD" xfId="1027"/>
    <cellStyle name="Currency [0]_TRANSDSC.XLS" xfId="1028"/>
    <cellStyle name="Currency [0]_TRANSFXA.XLS" xfId="1029"/>
    <cellStyle name="Currency [0]_TRANSFXA.XLS_1" xfId="1030"/>
    <cellStyle name="Currency [0]_TRANSIME.XLS" xfId="1031"/>
    <cellStyle name="Currency [0]_TRANSIME.XLS_TRANSDSC.XLS" xfId="1032"/>
    <cellStyle name="Currency [0]_TRANSIME.XLS_TRANSFXA.XLS" xfId="1033"/>
    <cellStyle name="Currency [0]_VERA" xfId="1034"/>
    <cellStyle name="Currency [0]_VIRUS-EDY" xfId="1035"/>
    <cellStyle name="Currency [0]_VIRUS-EDY_1" xfId="1036"/>
    <cellStyle name="Currency [0]_White" xfId="1037"/>
    <cellStyle name="Currency [0]_WIP Chart" xfId="1038"/>
    <cellStyle name="Currency [0]_WO Var. &amp; Tot. Exp." xfId="1039"/>
    <cellStyle name="Currency [0]_WSP" xfId="1040"/>
    <cellStyle name="Currency [0]_yrcao" xfId="1041"/>
    <cellStyle name="Currency [0]_YREND55" xfId="1042"/>
    <cellStyle name="Currency [0]_YREND57" xfId="1043"/>
    <cellStyle name="Currency [0]_YTDCUR" xfId="1044"/>
    <cellStyle name="Currency_1162" xfId="1045"/>
    <cellStyle name="Currency_12matrix" xfId="1046"/>
    <cellStyle name="Currency_12~3SO2" xfId="1047"/>
    <cellStyle name="Currency_1995" xfId="1048"/>
    <cellStyle name="Currency_1997" xfId="1049"/>
    <cellStyle name="Currency_29" xfId="1050"/>
    <cellStyle name="Currency_A" xfId="1051"/>
    <cellStyle name="Currency_A_dimon" xfId="1052"/>
    <cellStyle name="Currency_ACTUAL" xfId="1053"/>
    <cellStyle name="Currency_ACTUAL NA -OBU" xfId="1054"/>
    <cellStyle name="Currency_Actual vs." xfId="1055"/>
    <cellStyle name="Currency_algasdefault" xfId="1056"/>
    <cellStyle name="Currency_algasdefault_1" xfId="1057"/>
    <cellStyle name="Currency_Alternative1" xfId="1058"/>
    <cellStyle name="Currency_Alternative1_1" xfId="1059"/>
    <cellStyle name="Currency_App E" xfId="1060"/>
    <cellStyle name="Currency_Apr" xfId="1061"/>
    <cellStyle name="Currency_Arapahoe" xfId="1062"/>
    <cellStyle name="Currency_Assumptions" xfId="1063"/>
    <cellStyle name="Currency_Assumptions_dimon" xfId="1064"/>
    <cellStyle name="Currency_bahiadefault" xfId="1065"/>
    <cellStyle name="Currency_bahiadefault_1" xfId="1066"/>
    <cellStyle name="Currency_BIGOUT" xfId="1067"/>
    <cellStyle name="Currency_Book3" xfId="1068"/>
    <cellStyle name="Currency_BOP" xfId="1069"/>
    <cellStyle name="Currency_BOPBAL1" xfId="1070"/>
    <cellStyle name="Currency_BOPCBU" xfId="1071"/>
    <cellStyle name="Currency_BOPCBU (2)" xfId="1072"/>
    <cellStyle name="Currency_BOPCBU96" xfId="1073"/>
    <cellStyle name="Currency_BSAPPE.XLS" xfId="1074"/>
    <cellStyle name="Currency_Calculations" xfId="1075"/>
    <cellStyle name="Currency_Calculations (2)" xfId="1076"/>
    <cellStyle name="Currency_Calculations (2)_dimon" xfId="1077"/>
    <cellStyle name="Currency_Calculations II" xfId="1078"/>
    <cellStyle name="Currency_Calculations II_dimon" xfId="1079"/>
    <cellStyle name="Currency_Calculations III" xfId="1080"/>
    <cellStyle name="Currency_Calculations III_dimon" xfId="1081"/>
    <cellStyle name="Currency_Calculations_1" xfId="1082"/>
    <cellStyle name="Currency_Calculations_1_dimon" xfId="1083"/>
    <cellStyle name="Currency_Calculations_dimon" xfId="1084"/>
    <cellStyle name="Currency_CAPEX" xfId="1085"/>
    <cellStyle name="Currency_CAPEX94" xfId="1086"/>
    <cellStyle name="Currency_Cardig GHS" xfId="1087"/>
    <cellStyle name="Currency_Cash Flows" xfId="1088"/>
    <cellStyle name="Currency_CBU BOX CHART V PLAN" xfId="1089"/>
    <cellStyle name="Currency_CCA" xfId="1090"/>
    <cellStyle name="Currency_CCOCPX" xfId="1091"/>
    <cellStyle name="Currency_CHANGES.XLS" xfId="1092"/>
    <cellStyle name="Currency_Channel Table" xfId="1093"/>
    <cellStyle name="Currency_Charts" xfId="1094"/>
    <cellStyle name="Currency_Comm File" xfId="1095"/>
    <cellStyle name="Currency_coperdefault" xfId="1096"/>
    <cellStyle name="Currency_coperdefault_1" xfId="1097"/>
    <cellStyle name="Currency_Corp method" xfId="1098"/>
    <cellStyle name="Currency_Cost Code" xfId="1099"/>
    <cellStyle name="Currency_CTCUR" xfId="1100"/>
    <cellStyle name="Currency_CUMPLTCH" xfId="1101"/>
    <cellStyle name="Currency_Cur 5100" xfId="1102"/>
    <cellStyle name="Currency_DEFAULT" xfId="1103"/>
    <cellStyle name="Currency_dimon" xfId="1104"/>
    <cellStyle name="Currency_dimon_1" xfId="1105"/>
    <cellStyle name="Currency_dimon_2" xfId="1106"/>
    <cellStyle name="Currency_Dowell C1b" xfId="1107"/>
    <cellStyle name="Currency_Dowell-C1a" xfId="1108"/>
    <cellStyle name="Currency_E&amp;ONW1" xfId="1109"/>
    <cellStyle name="Currency_E&amp;ONW2" xfId="1110"/>
    <cellStyle name="Currency_E&amp;OOCPX" xfId="1111"/>
    <cellStyle name="Currency_emserdefault" xfId="1112"/>
    <cellStyle name="Currency_emserdefault_1" xfId="1113"/>
    <cellStyle name="Currency_ENRGYOP1" xfId="1114"/>
    <cellStyle name="Currency_F&amp;COCPX" xfId="1115"/>
    <cellStyle name="Currency_FEBRUARY" xfId="1116"/>
    <cellStyle name="Currency_FF" xfId="1117"/>
    <cellStyle name="Currency_FP 20 A (1)" xfId="1118"/>
    <cellStyle name="Currency_FP 20 A (2)" xfId="1119"/>
    <cellStyle name="Currency_FP-20 (App. E)" xfId="1120"/>
    <cellStyle name="Currency_FP-20 (App.A) " xfId="1121"/>
    <cellStyle name="Currency_FP-20 (App.D)" xfId="1122"/>
    <cellStyle name="Currency_FP-20(App.B)" xfId="1123"/>
    <cellStyle name="Currency_FP-20(C1) (a)" xfId="1124"/>
    <cellStyle name="Currency_FP-20(C1) (a) (2)" xfId="1125"/>
    <cellStyle name="Currency_FP-20(C1) (b)" xfId="1126"/>
    <cellStyle name="Currency_FP-20(C1) (b) " xfId="1127"/>
    <cellStyle name="Currency_FP-20(C1) (b) (2)" xfId="1128"/>
    <cellStyle name="Currency_Full Year FY96" xfId="1129"/>
    <cellStyle name="Currency_GCM" xfId="1130"/>
    <cellStyle name="Currency_GenAssum" xfId="1131"/>
    <cellStyle name="Currency_GP C1a" xfId="1132"/>
    <cellStyle name="Currency_GP C1b" xfId="1133"/>
    <cellStyle name="Currency_GP_EI_3" xfId="1134"/>
    <cellStyle name="Currency_GQ C1A" xfId="1135"/>
    <cellStyle name="Currency_GQ C1B" xfId="1136"/>
    <cellStyle name="Currency_groups" xfId="1137"/>
    <cellStyle name="Currency_Inputs" xfId="1138"/>
    <cellStyle name="Currency_Inputs_NEGS" xfId="1139"/>
    <cellStyle name="Currency_Inputs_~0022862" xfId="1140"/>
    <cellStyle name="Currency_IPM C1b" xfId="1141"/>
    <cellStyle name="Currency_IPMC1a" xfId="1142"/>
    <cellStyle name="Currency_IS-Hold" xfId="1143"/>
    <cellStyle name="Currency_ITOCPX" xfId="1144"/>
    <cellStyle name="Currency_Janactuals" xfId="1145"/>
    <cellStyle name="Currency_jancf" xfId="1146"/>
    <cellStyle name="Currency_JUNMTH55" xfId="1147"/>
    <cellStyle name="Currency_JUNMTH57" xfId="1148"/>
    <cellStyle name="Currency_JUNYTD55" xfId="1149"/>
    <cellStyle name="Currency_JUNYTD57" xfId="1150"/>
    <cellStyle name="Currency_laroux" xfId="1151"/>
    <cellStyle name="Currency_laroux_1" xfId="1152"/>
    <cellStyle name="Currency_laroux_12~3SO2" xfId="1153"/>
    <cellStyle name="Currency_laroux_1995" xfId="1154"/>
    <cellStyle name="Currency_laroux_1_12~3SO2" xfId="1155"/>
    <cellStyle name="Currency_laroux_1_dimon" xfId="1156"/>
    <cellStyle name="Currency_laroux_1_dimon_1" xfId="1157"/>
    <cellStyle name="Currency_laroux_1_dimon_2" xfId="1158"/>
    <cellStyle name="Currency_laroux_1_dimon_3" xfId="1159"/>
    <cellStyle name="Currency_laroux_1_dimon_4" xfId="1160"/>
    <cellStyle name="Currency_laroux_1_laroux" xfId="1161"/>
    <cellStyle name="Currency_laroux_1_laroux_1" xfId="1162"/>
    <cellStyle name="Currency_laroux_1_laroux_dimon" xfId="1163"/>
    <cellStyle name="Currency_laroux_1_Locas" xfId="1164"/>
    <cellStyle name="Currency_laroux_1_NEGS" xfId="1165"/>
    <cellStyle name="Currency_laroux_1_NEGS_1" xfId="1166"/>
    <cellStyle name="Currency_laroux_1_NEGS_~0022862" xfId="1167"/>
    <cellStyle name="Currency_laroux_1_pldt" xfId="1168"/>
    <cellStyle name="Currency_laroux_1_pldt_dimon" xfId="1169"/>
    <cellStyle name="Currency_laroux_1_PLDT_dimon_1" xfId="1170"/>
    <cellStyle name="Currency_laroux_1_VERA" xfId="1171"/>
    <cellStyle name="Currency_laroux_1_VERA_1" xfId="1172"/>
    <cellStyle name="Currency_laroux_1_VIRUS-EDY" xfId="1173"/>
    <cellStyle name="Currency_laroux_1_~0022862" xfId="1174"/>
    <cellStyle name="Currency_laroux_2" xfId="1175"/>
    <cellStyle name="Currency_laroux_2_12~3SO2" xfId="1176"/>
    <cellStyle name="Currency_laroux_2_12~3SO2_NEGS" xfId="1177"/>
    <cellStyle name="Currency_laroux_2_12~3SO2_~0022862" xfId="1178"/>
    <cellStyle name="Currency_laroux_2_dimon" xfId="1179"/>
    <cellStyle name="Currency_laroux_2_dimon_1" xfId="1180"/>
    <cellStyle name="Currency_laroux_2_dimon_2" xfId="1181"/>
    <cellStyle name="Currency_laroux_2_dimon_3" xfId="1182"/>
    <cellStyle name="Currency_laroux_2_dimon_4" xfId="1183"/>
    <cellStyle name="Currency_laroux_2_laroux" xfId="1184"/>
    <cellStyle name="Currency_laroux_2_laroux_dimon" xfId="1185"/>
    <cellStyle name="Currency_laroux_2_Locas" xfId="1186"/>
    <cellStyle name="Currency_laroux_2_NEGS" xfId="1187"/>
    <cellStyle name="Currency_laroux_2_NEGS_1" xfId="1188"/>
    <cellStyle name="Currency_laroux_2_NEGS_1_~0022862" xfId="1189"/>
    <cellStyle name="Currency_laroux_2_NEGS_2" xfId="1190"/>
    <cellStyle name="Currency_laroux_2_NEGS_~0022862" xfId="1191"/>
    <cellStyle name="Currency_laroux_2_pldt" xfId="1192"/>
    <cellStyle name="Currency_laroux_2_PLDT_dimon" xfId="1193"/>
    <cellStyle name="Currency_laroux_2_VIRUS-EDY" xfId="1194"/>
    <cellStyle name="Currency_laroux_2_~0022862" xfId="1195"/>
    <cellStyle name="Currency_laroux_3" xfId="1196"/>
    <cellStyle name="Currency_laroux_3_12~3SO2" xfId="1197"/>
    <cellStyle name="Currency_laroux_3_12~3SO2_NEGS" xfId="1198"/>
    <cellStyle name="Currency_laroux_3_12~3SO2_~0022862" xfId="1199"/>
    <cellStyle name="Currency_laroux_3_dimon" xfId="1200"/>
    <cellStyle name="Currency_laroux_3_dimon_1" xfId="1201"/>
    <cellStyle name="Currency_laroux_3_dimon_2" xfId="1202"/>
    <cellStyle name="Currency_laroux_3_dimon_3" xfId="1203"/>
    <cellStyle name="Currency_laroux_3_dimon_4" xfId="1204"/>
    <cellStyle name="Currency_laroux_3_NEGS" xfId="1205"/>
    <cellStyle name="Currency_laroux_3_~0022862" xfId="1206"/>
    <cellStyle name="Currency_laroux_4" xfId="1207"/>
    <cellStyle name="Currency_laroux_4_dimon" xfId="1208"/>
    <cellStyle name="Currency_laroux_4_dimon_1" xfId="1209"/>
    <cellStyle name="Currency_laroux_4_dimon_2" xfId="1210"/>
    <cellStyle name="Currency_laroux_4_NEGS" xfId="1211"/>
    <cellStyle name="Currency_laroux_4_~0022862" xfId="1212"/>
    <cellStyle name="Currency_laroux_5" xfId="1213"/>
    <cellStyle name="Currency_laroux_6" xfId="1214"/>
    <cellStyle name="Currency_laroux_7" xfId="1215"/>
    <cellStyle name="Currency_laroux_8" xfId="1216"/>
    <cellStyle name="Currency_laroux_dimon" xfId="1217"/>
    <cellStyle name="Currency_laroux_dimon_1" xfId="1218"/>
    <cellStyle name="Currency_laroux_dimon_2" xfId="1219"/>
    <cellStyle name="Currency_laroux_dimon_3" xfId="1220"/>
    <cellStyle name="Currency_laroux_dimon_4" xfId="1221"/>
    <cellStyle name="Currency_laroux_laroux" xfId="1222"/>
    <cellStyle name="Currency_laroux_laroux_1" xfId="1223"/>
    <cellStyle name="Currency_laroux_laroux_1_dimon" xfId="1224"/>
    <cellStyle name="Currency_laroux_laroux_dimon" xfId="1225"/>
    <cellStyle name="Currency_laroux_Locas" xfId="1226"/>
    <cellStyle name="Currency_laroux_NEGS" xfId="1227"/>
    <cellStyle name="Currency_laroux_pldt" xfId="1228"/>
    <cellStyle name="Currency_laroux_pldt_1" xfId="1229"/>
    <cellStyle name="Currency_laroux_VERA" xfId="1230"/>
    <cellStyle name="Currency_laroux_VERA_1" xfId="1231"/>
    <cellStyle name="Currency_laroux_VIRUS-EDY" xfId="1232"/>
    <cellStyle name="Currency_List" xfId="1233"/>
    <cellStyle name="Currency_MACRO1.XLM" xfId="1234"/>
    <cellStyle name="Currency_MATERAL2" xfId="1235"/>
    <cellStyle name="Currency_MATERAL2_dimon" xfId="1236"/>
    <cellStyle name="Currency_MATERAL2_dimon_1" xfId="1237"/>
    <cellStyle name="Currency_MATERAL2_dimon_2" xfId="1238"/>
    <cellStyle name="Currency_MATERAL2_NEGS" xfId="1239"/>
    <cellStyle name="Currency_MATERAL2_NEGS_1" xfId="1240"/>
    <cellStyle name="Currency_MATERAL2_NEGS_~0022862" xfId="1241"/>
    <cellStyle name="Currency_MATERAL2_~0022862" xfId="1242"/>
    <cellStyle name="Currency_MKGOCPX" xfId="1243"/>
    <cellStyle name="Currency_MOBCPX" xfId="1244"/>
    <cellStyle name="Currency_mud plant bolted" xfId="1245"/>
    <cellStyle name="Currency_mud plant bolted_dimon" xfId="1246"/>
    <cellStyle name="Currency_mud plant bolted_dimon_1" xfId="1247"/>
    <cellStyle name="Currency_mud plant bolted_dimon_2" xfId="1248"/>
    <cellStyle name="Currency_mud plant bolted_NEGS" xfId="1249"/>
    <cellStyle name="Currency_mud plant bolted_NEGS_1" xfId="1250"/>
    <cellStyle name="Currency_mud plant bolted_NEGS_1_dimon" xfId="1251"/>
    <cellStyle name="Currency_mud plant bolted_NEGS_~0022862" xfId="1252"/>
    <cellStyle name="Currency_mud plant bolted_NEGS_~0022862_dimon" xfId="1253"/>
    <cellStyle name="Currency_mud plant bolted_PLDT" xfId="1254"/>
    <cellStyle name="Currency_mud plant bolted_VERA" xfId="1255"/>
    <cellStyle name="Currency_mud plant bolted_VERA_1" xfId="1256"/>
    <cellStyle name="Currency_mud plant bolted_~0022862" xfId="1257"/>
    <cellStyle name="Currency_NA (2)" xfId="1258"/>
    <cellStyle name="Currency_NA WITHOUT GOV'T &amp; PNX" xfId="1259"/>
    <cellStyle name="Currency_NAOBU10" xfId="1260"/>
    <cellStyle name="Currency_NAT ACCT" xfId="1261"/>
    <cellStyle name="Currency_NEGS" xfId="1262"/>
    <cellStyle name="Currency_NSACTUAL.XLS" xfId="1263"/>
    <cellStyle name="Currency_NX00" xfId="1264"/>
    <cellStyle name="Currency_Odner" xfId="1265"/>
    <cellStyle name="Currency_Odner (2)" xfId="1266"/>
    <cellStyle name="Currency_Odner (3)" xfId="1267"/>
    <cellStyle name="Currency_OSMOCPX" xfId="1268"/>
    <cellStyle name="Currency_Other Months" xfId="1269"/>
    <cellStyle name="Currency_Outlook" xfId="1270"/>
    <cellStyle name="Currency_P&amp;L" xfId="1271"/>
    <cellStyle name="Currency_pbdefault" xfId="1272"/>
    <cellStyle name="Currency_pbdefault_1" xfId="1273"/>
    <cellStyle name="Currency_percentages" xfId="1274"/>
    <cellStyle name="Currency_PERSONAL" xfId="1275"/>
    <cellStyle name="Currency_PGMKOCPX" xfId="1276"/>
    <cellStyle name="Currency_PGNW1" xfId="1277"/>
    <cellStyle name="Currency_PGNW2" xfId="1278"/>
    <cellStyle name="Currency_PGNWOCPX" xfId="1279"/>
    <cellStyle name="Currency_Pink" xfId="1280"/>
    <cellStyle name="Currency_Plan" xfId="1281"/>
    <cellStyle name="Currency_PLAN95" xfId="1282"/>
    <cellStyle name="Currency_PLANT" xfId="1283"/>
    <cellStyle name="Currency_PLDT" xfId="1284"/>
    <cellStyle name="Currency_pldt_1" xfId="1285"/>
    <cellStyle name="Currency_pldt_1_dimon" xfId="1286"/>
    <cellStyle name="Currency_PLDT_1_dimon_1" xfId="1287"/>
    <cellStyle name="Currency_pldt_1_dimon_2" xfId="1288"/>
    <cellStyle name="Currency_pldt_1_NEGS" xfId="1289"/>
    <cellStyle name="Currency_pldt_2" xfId="1290"/>
    <cellStyle name="Currency_pldt_2_NEGS" xfId="1291"/>
    <cellStyle name="Currency_pldt_2_~0022862" xfId="1292"/>
    <cellStyle name="Currency_pldt_Calculations" xfId="1293"/>
    <cellStyle name="Currency_pldt_Calculations_dimon" xfId="1294"/>
    <cellStyle name="Currency_PLDT_dimon" xfId="1295"/>
    <cellStyle name="Currency_PLDT_dimon_1" xfId="1296"/>
    <cellStyle name="Currency_pldt_dimon_2" xfId="1297"/>
    <cellStyle name="Currency_PLDT_NEGS" xfId="1298"/>
    <cellStyle name="Currency_priccurv" xfId="1299"/>
    <cellStyle name="Currency_PROCDS&amp;G" xfId="1300"/>
    <cellStyle name="Currency_Product" xfId="1301"/>
    <cellStyle name="Currency_PROFILE4" xfId="1302"/>
    <cellStyle name="Currency_Projects" xfId="1303"/>
    <cellStyle name="Currency_Q1 FY96" xfId="1304"/>
    <cellStyle name="Currency_Q2 FY96" xfId="1305"/>
    <cellStyle name="Currency_Q3 FY96" xfId="1306"/>
    <cellStyle name="Currency_Q4 FY96" xfId="1307"/>
    <cellStyle name="Currency_QTR94_95" xfId="1308"/>
    <cellStyle name="Currency_Quarter End Months" xfId="1309"/>
    <cellStyle name="Currency_r1" xfId="1310"/>
    <cellStyle name="Currency_r1_dimon" xfId="1311"/>
    <cellStyle name="Currency_r1_NEGS" xfId="1312"/>
    <cellStyle name="Currency_r1_~0022862" xfId="1313"/>
    <cellStyle name="Currency_RFI" xfId="1314"/>
    <cellStyle name="Currency_RFI_1" xfId="1315"/>
    <cellStyle name="Currency_RQSTFRM" xfId="1316"/>
    <cellStyle name="Currency_Sales Order" xfId="1317"/>
    <cellStyle name="Currency_SATOCPX" xfId="1318"/>
    <cellStyle name="Currency_Sheet1" xfId="1319"/>
    <cellStyle name="Currency_Sheet1 (2)" xfId="1320"/>
    <cellStyle name="Currency_Sheet1_Book6" xfId="1321"/>
    <cellStyle name="Currency_Sheet1_CTS - Ind excl Can" xfId="1322"/>
    <cellStyle name="Currency_Sheet1_dimon" xfId="1323"/>
    <cellStyle name="Currency_Sheet1_dimon_1" xfId="1324"/>
    <cellStyle name="Currency_Sheet1_ECTPLAN" xfId="1325"/>
    <cellStyle name="Currency_Sheet1_format1" xfId="1326"/>
    <cellStyle name="Currency_Sheet1_laroux" xfId="1327"/>
    <cellStyle name="Currency_Sheet1_NEGS" xfId="1328"/>
    <cellStyle name="Currency_Sheet1_Other Ind  " xfId="1329"/>
    <cellStyle name="Currency_Sheet1_PERSONAL" xfId="1330"/>
    <cellStyle name="Currency_Sheet1_PLAN0398" xfId="1331"/>
    <cellStyle name="Currency_Sheet1_PLDT" xfId="1332"/>
    <cellStyle name="Currency_Sheet1_Var_2CE" xfId="1333"/>
    <cellStyle name="Currency_Sheet1_~0022862" xfId="1334"/>
    <cellStyle name="Currency_Sheet2" xfId="1335"/>
    <cellStyle name="Currency_Sheet4" xfId="1336"/>
    <cellStyle name="Currency_Sheet4_NEGS" xfId="1337"/>
    <cellStyle name="Currency_Sheet4_pldt" xfId="1338"/>
    <cellStyle name="Currency_Sheet4_~0022862" xfId="1339"/>
    <cellStyle name="Currency_SHENREPT" xfId="1340"/>
    <cellStyle name="Currency_Shipped" xfId="1341"/>
    <cellStyle name="Currency_Snr. CO" xfId="1342"/>
    <cellStyle name="Currency_sprint contr" xfId="1343"/>
    <cellStyle name="Currency_stats" xfId="1344"/>
    <cellStyle name="Currency_Subcont File" xfId="1345"/>
    <cellStyle name="Currency_Summary Info" xfId="1346"/>
    <cellStyle name="Currency_SUMPAGE" xfId="1347"/>
    <cellStyle name="Currency_SYSPLN98" xfId="1348"/>
    <cellStyle name="Currency_Terms Defined" xfId="1349"/>
    <cellStyle name="Currency_TMSNW1" xfId="1350"/>
    <cellStyle name="Currency_TMSNW2" xfId="1351"/>
    <cellStyle name="Currency_TMSOCPX" xfId="1352"/>
    <cellStyle name="Currency_TOTAL MTH" xfId="1353"/>
    <cellStyle name="Currency_TOTAL YTD" xfId="1354"/>
    <cellStyle name="Currency_TRANSDSC.XLS" xfId="1355"/>
    <cellStyle name="Currency_TRANSFXA.XLS" xfId="1356"/>
    <cellStyle name="Currency_TRANSFXA.XLS_1" xfId="1357"/>
    <cellStyle name="Currency_TRANSIME.XLS" xfId="1358"/>
    <cellStyle name="Currency_TRANSIME.XLS_TRANSDSC.XLS" xfId="1359"/>
    <cellStyle name="Currency_TRANSIME.XLS_TRANSFXA.XLS" xfId="1360"/>
    <cellStyle name="Currency_VERA" xfId="1361"/>
    <cellStyle name="Currency_VIRUS-EDY" xfId="1362"/>
    <cellStyle name="Currency_VIRUS-EDY_1" xfId="1363"/>
    <cellStyle name="Currency_White" xfId="1364"/>
    <cellStyle name="Currency_WIP Chart" xfId="1365"/>
    <cellStyle name="Currency_WO Var. &amp; Tot. Exp." xfId="1366"/>
    <cellStyle name="Currency_WSP" xfId="1367"/>
    <cellStyle name="Currency_yrcao" xfId="1368"/>
    <cellStyle name="Currency_YREND55" xfId="1369"/>
    <cellStyle name="Currency_YREND57" xfId="1370"/>
    <cellStyle name="Currency_YTDCUR" xfId="1371"/>
    <cellStyle name="Date" xfId="1372"/>
    <cellStyle name="Fixed" xfId="1373"/>
    <cellStyle name="Grey" xfId="1374"/>
    <cellStyle name="HEADER" xfId="1375"/>
    <cellStyle name="Header1" xfId="1376"/>
    <cellStyle name="Header1_NEGS" xfId="1377"/>
    <cellStyle name="Header1_~0022862" xfId="1378"/>
    <cellStyle name="Header2" xfId="1379"/>
    <cellStyle name="Header2_NEGS" xfId="1380"/>
    <cellStyle name="Header2_~0022862" xfId="1381"/>
    <cellStyle name="Heading 1" xfId="1382"/>
    <cellStyle name="Heading2" xfId="1383"/>
    <cellStyle name="HIGHLIGHT" xfId="1384"/>
    <cellStyle name="Input [yellow]" xfId="1385"/>
    <cellStyle name="no dec" xfId="1386"/>
    <cellStyle name="Normal - Style1" xfId="1387"/>
    <cellStyle name="Normal - Style1_dimon" xfId="1388"/>
    <cellStyle name="Normal - Style1_NEGS" xfId="1389"/>
    <cellStyle name="Normal - Style1_~0022862" xfId="1390"/>
    <cellStyle name="Normal_      CORP OBLIG. SCHED" xfId="1391"/>
    <cellStyle name="Normal_      DETAIL FOR OBLIGATIONS   " xfId="1392"/>
    <cellStyle name="Normal_      ROLL FOWARD OF OBLIGATION" xfId="1393"/>
    <cellStyle name="Normal_#10-Headcount" xfId="1394"/>
    <cellStyle name="Normal_#5-Headcount_1" xfId="1395"/>
    <cellStyle name="Normal_#6-Headcount" xfId="1396"/>
    <cellStyle name="Normal_'94-96 PLAN" xfId="1397"/>
    <cellStyle name="Normal_0183" xfId="1398"/>
    <cellStyle name="Normal_03_06_98 list _ecm deals 030998 excel95" xfId="1399"/>
    <cellStyle name="Normal_063" xfId="1400"/>
    <cellStyle name="Normal_0688" xfId="1401"/>
    <cellStyle name="Normal_0758" xfId="1402"/>
    <cellStyle name="Normal_0761" xfId="1403"/>
    <cellStyle name="Normal_0834" xfId="1404"/>
    <cellStyle name="Normal_0847" xfId="1405"/>
    <cellStyle name="Normal_0929" xfId="1406"/>
    <cellStyle name="Normal_1160" xfId="1407"/>
    <cellStyle name="Normal_1162" xfId="1408"/>
    <cellStyle name="Normal_1191" xfId="1409"/>
    <cellStyle name="Normal_12" xfId="1410"/>
    <cellStyle name="Normal_12matrix" xfId="1411"/>
    <cellStyle name="Normal_12~3SO2" xfId="1412"/>
    <cellStyle name="Normal_1497" xfId="1413"/>
    <cellStyle name="Normal_1498" xfId="1414"/>
    <cellStyle name="Normal_1499" xfId="1415"/>
    <cellStyle name="Normal_1997" xfId="1416"/>
    <cellStyle name="Normal_1997C" xfId="1417"/>
    <cellStyle name="Normal_1997C_1" xfId="1418"/>
    <cellStyle name="Normal_1997D" xfId="1419"/>
    <cellStyle name="Normal_1997I" xfId="1420"/>
    <cellStyle name="Normal_1998-2000" xfId="1421"/>
    <cellStyle name="Normal_20196" xfId="1422"/>
    <cellStyle name="Normal_236" xfId="1423"/>
    <cellStyle name="Normal_29" xfId="1424"/>
    <cellStyle name="Normal_332" xfId="1425"/>
    <cellStyle name="Normal_4018fin" xfId="1426"/>
    <cellStyle name="Normal_4021fin" xfId="1427"/>
    <cellStyle name="Normal_448" xfId="1428"/>
    <cellStyle name="Normal_475" xfId="1429"/>
    <cellStyle name="Normal_660 Balance" xfId="1430"/>
    <cellStyle name="Normal_661" xfId="1431"/>
    <cellStyle name="Normal_719" xfId="1432"/>
    <cellStyle name="Normal_720" xfId="1433"/>
    <cellStyle name="Normal_721" xfId="1434"/>
    <cellStyle name="Normal_818" xfId="1435"/>
    <cellStyle name="Normal_95CHART" xfId="1436"/>
    <cellStyle name="Normal_A" xfId="1437"/>
    <cellStyle name="Normal_A (2)" xfId="1438"/>
    <cellStyle name="Normal_A_dimon" xfId="1439"/>
    <cellStyle name="Normal_A_dimon_1" xfId="1440"/>
    <cellStyle name="Normal_A_format1" xfId="1441"/>
    <cellStyle name="Normal_A_oblig monthly" xfId="1442"/>
    <cellStyle name="Normal_A_obligations qtrly" xfId="1443"/>
    <cellStyle name="Normal_A_obligations qtrly (2)" xfId="1444"/>
    <cellStyle name="Normal_A_Var_2CE" xfId="1445"/>
    <cellStyle name="Normal_A_VERA" xfId="1446"/>
    <cellStyle name="Normal_ACTUAL" xfId="1447"/>
    <cellStyle name="Normal_ACTUAL NA -OBU" xfId="1448"/>
    <cellStyle name="Normal_Actual vs." xfId="1449"/>
    <cellStyle name="Normal_ACTUAL_1" xfId="1450"/>
    <cellStyle name="Normal_ACTUAL_NA WITHOUT GOV'T &amp; PNX" xfId="1451"/>
    <cellStyle name="Normal_actuals" xfId="1452"/>
    <cellStyle name="Normal_algasdefault" xfId="1453"/>
    <cellStyle name="Normal_algasdefault_1" xfId="1454"/>
    <cellStyle name="Normal_Allocation" xfId="1455"/>
    <cellStyle name="Normal_Allocation_1" xfId="1456"/>
    <cellStyle name="Normal_Alternative1" xfId="1457"/>
    <cellStyle name="Normal_Alternative1_1" xfId="1458"/>
    <cellStyle name="Normal_AOPS" xfId="1459"/>
    <cellStyle name="Normal_App E" xfId="1460"/>
    <cellStyle name="Normal_Approved_Not_Shipping_1" xfId="1461"/>
    <cellStyle name="Normal_APR" xfId="1462"/>
    <cellStyle name="Normal_APR_laroux" xfId="1463"/>
    <cellStyle name="Normal_Apr_pldt" xfId="1464"/>
    <cellStyle name="Normal_APRDSS" xfId="1465"/>
    <cellStyle name="Normal_April" xfId="1466"/>
    <cellStyle name="Normal_Apwo" xfId="1467"/>
    <cellStyle name="Normal_Arapahoe" xfId="1468"/>
    <cellStyle name="Normal_Asset Direct" xfId="1469"/>
    <cellStyle name="Normal_Asset Ind " xfId="1470"/>
    <cellStyle name="Normal_Assortment &amp; Depth" xfId="1471"/>
    <cellStyle name="Normal_Assortment-DMR" xfId="1472"/>
    <cellStyle name="Normal_Assortment-Retail" xfId="1473"/>
    <cellStyle name="Normal_Assumptions" xfId="1474"/>
    <cellStyle name="Normal_Assumptions_dimon" xfId="1475"/>
    <cellStyle name="Normal_Attach Rates" xfId="1476"/>
    <cellStyle name="Normal_B-ACEH.XLS" xfId="1477"/>
    <cellStyle name="Normal_bahiadefault" xfId="1478"/>
    <cellStyle name="Normal_bahiadefault_1" xfId="1479"/>
    <cellStyle name="Normal_Bid" xfId="1480"/>
    <cellStyle name="Normal_BIGOUT" xfId="1481"/>
    <cellStyle name="Normal_Book2" xfId="1482"/>
    <cellStyle name="Normal_Book3" xfId="1483"/>
    <cellStyle name="Normal_BOP" xfId="1484"/>
    <cellStyle name="Normal_BOPBAL1" xfId="1485"/>
    <cellStyle name="Normal_BOPCBU" xfId="1486"/>
    <cellStyle name="Normal_BOPCBU (2)" xfId="1487"/>
    <cellStyle name="Normal_BOPCBU96" xfId="1488"/>
    <cellStyle name="Normal_BREPAIR" xfId="1489"/>
    <cellStyle name="Normal_BSAPPE.XLS" xfId="1490"/>
    <cellStyle name="Normal_BUDGET" xfId="1491"/>
    <cellStyle name="Normal_Budget Variance" xfId="1492"/>
    <cellStyle name="Normal_Burchfield" xfId="1493"/>
    <cellStyle name="Normal_Bus. Impact" xfId="1494"/>
    <cellStyle name="Normal_C-Cap intensity" xfId="1495"/>
    <cellStyle name="Normal_C-Capex%rev" xfId="1496"/>
    <cellStyle name="Normal_C-Line per Staff" xfId="1497"/>
    <cellStyle name="Normal_C-lines distribution" xfId="1498"/>
    <cellStyle name="Normal_C-Orig PLDT lines" xfId="1499"/>
    <cellStyle name="Normal_C-Ret on Rev" xfId="1500"/>
    <cellStyle name="Normal_C-ROACE" xfId="1501"/>
    <cellStyle name="Normal_Calculations" xfId="1502"/>
    <cellStyle name="Normal_Calculations (2)" xfId="1503"/>
    <cellStyle name="Normal_Calculations (2)_dimon" xfId="1504"/>
    <cellStyle name="Normal_Calculations II" xfId="1505"/>
    <cellStyle name="Normal_Calculations II_1" xfId="1506"/>
    <cellStyle name="Normal_Calculations II_1_dimon" xfId="1507"/>
    <cellStyle name="Normal_Calculations II_dimon" xfId="1508"/>
    <cellStyle name="Normal_Calculations III" xfId="1509"/>
    <cellStyle name="Normal_Calculations III_dimon" xfId="1510"/>
    <cellStyle name="Normal_Calculations_1" xfId="1511"/>
    <cellStyle name="Normal_Calculations_1_dimon" xfId="1512"/>
    <cellStyle name="Normal_Calculations_2" xfId="1513"/>
    <cellStyle name="Normal_Calculations_2_dimon" xfId="1514"/>
    <cellStyle name="Normal_Calculations_dimon" xfId="1515"/>
    <cellStyle name="Normal_Canada" xfId="1516"/>
    <cellStyle name="Normal_Canada Direct " xfId="1517"/>
    <cellStyle name="Normal_Canada Ind  " xfId="1518"/>
    <cellStyle name="Normal_Capex" xfId="1519"/>
    <cellStyle name="Normal_Capex per line" xfId="1520"/>
    <cellStyle name="Normal_Capex%rev" xfId="1521"/>
    <cellStyle name="Normal_CAPEX2" xfId="1522"/>
    <cellStyle name="Normal_CAPEX94" xfId="1523"/>
    <cellStyle name="Normal_CAPEX_AN" xfId="1524"/>
    <cellStyle name="Normal_CAPEX_dimon" xfId="1525"/>
    <cellStyle name="Normal_CAPEX_VERA" xfId="1526"/>
    <cellStyle name="Normal_CAPEXPWI.XLS" xfId="1527"/>
    <cellStyle name="Normal_CAPEXPWO.XLS" xfId="1528"/>
    <cellStyle name="Normal_Capital" xfId="1529"/>
    <cellStyle name="Normal_Capital (2)" xfId="1530"/>
    <cellStyle name="Normal_Cardig GHS" xfId="1531"/>
    <cellStyle name="Normal_Cash Flow" xfId="1532"/>
    <cellStyle name="Normal_Cash Flow Actual" xfId="1533"/>
    <cellStyle name="Normal_Cash Flow_1" xfId="1534"/>
    <cellStyle name="Normal_Cash Flow_Oblig Detail" xfId="1535"/>
    <cellStyle name="Normal_Cash Flows" xfId="1536"/>
    <cellStyle name="Normal_Cashflow" xfId="1537"/>
    <cellStyle name="Normal_Cashflow Financial" xfId="1538"/>
    <cellStyle name="Normal_CBU BOX CHART V PLAN" xfId="1539"/>
    <cellStyle name="Normal_CBU BOX CHART V PLAN_1" xfId="1540"/>
    <cellStyle name="Normal_CCOCPX" xfId="1541"/>
    <cellStyle name="Normal_CEL-C-CO.XLS" xfId="1542"/>
    <cellStyle name="Normal_Certs Q2" xfId="1543"/>
    <cellStyle name="Normal_Certs Q2 (2)" xfId="1544"/>
    <cellStyle name="Normal_Certs Q2 (2)_dimon" xfId="1545"/>
    <cellStyle name="Normal_Certs Q2_NEGS" xfId="1546"/>
    <cellStyle name="Normal_Certs Q2_~0022862" xfId="1547"/>
    <cellStyle name="Normal_CFMACROS.XLM" xfId="1548"/>
    <cellStyle name="Normal_CFMODEL.XLS" xfId="1549"/>
    <cellStyle name="Normal_CHANGES.XLS" xfId="1550"/>
    <cellStyle name="Normal_CHANGES.XLS_1" xfId="1551"/>
    <cellStyle name="Normal_Channel - Actual" xfId="1552"/>
    <cellStyle name="Normal_Channel Table" xfId="1553"/>
    <cellStyle name="Normal_Channel Table_1" xfId="1554"/>
    <cellStyle name="Normal_Channel Table_1_Macro2" xfId="1555"/>
    <cellStyle name="Normal_Channel Table_1_Module1" xfId="0"/>
    <cellStyle name="Normal_Channel Table_2" xfId="0"/>
    <cellStyle name="Normal_Channel Table_Channel Table" xfId="0"/>
    <cellStyle name="Normal_Channel Table_Macro2" xfId="0"/>
    <cellStyle name="Normal_Channel Table_Module1" xfId="0"/>
    <cellStyle name="Normal_ChartData" xfId="0"/>
    <cellStyle name="Normal_Cht-Capex per line" xfId="0"/>
    <cellStyle name="Normal_Cht-Cum Real Opr Cf" xfId="0"/>
    <cellStyle name="Normal_Cht-Dep%Rev" xfId="0"/>
    <cellStyle name="Normal_Cht-Real Opr Cf" xfId="0"/>
    <cellStyle name="Normal_Cht-Rev dist" xfId="0"/>
    <cellStyle name="Normal_Cht-Rev p line" xfId="0"/>
    <cellStyle name="Normal_Cht-Rev per Staff" xfId="0"/>
    <cellStyle name="Normal_Cht-Staff cost%revenue" xfId="0"/>
    <cellStyle name="Normal_Co-wide Monthly" xfId="0"/>
    <cellStyle name="Normal_Co-wide Monthly_dimon" xfId="0"/>
    <cellStyle name="Normal_Code" xfId="0"/>
    <cellStyle name="Normal_COMOTH" xfId="0"/>
    <cellStyle name="Normal_Cons2ndCE" xfId="0"/>
    <cellStyle name="Normal_CONS_TMS" xfId="0"/>
    <cellStyle name="Normal_Consulting" xfId="0"/>
    <cellStyle name="Normal_coperdefault" xfId="0"/>
    <cellStyle name="Normal_coperdefault_1" xfId="0"/>
    <cellStyle name="Normal_Corp method" xfId="0"/>
    <cellStyle name="Normal_CORP_REV" xfId="0"/>
    <cellStyle name="Normal_Cost Code" xfId="0"/>
    <cellStyle name="Normal_Cost Control" xfId="0"/>
    <cellStyle name="Normal_Cost Summ" xfId="0"/>
    <cellStyle name="Normal_Cover" xfId="0"/>
    <cellStyle name="Normal_CRASH PROGRAM 96 (2)" xfId="0"/>
    <cellStyle name="Normal_CROCF" xfId="0"/>
    <cellStyle name="Normal_CTCUR" xfId="0"/>
    <cellStyle name="Normal_CTS - Ind excl Can" xfId="0"/>
    <cellStyle name="Normal_Cum Real Opr Cf" xfId="0"/>
    <cellStyle name="Normal_CUMPLTCH" xfId="0"/>
    <cellStyle name="Normal_Cur 5100" xfId="0"/>
    <cellStyle name="Normal_CurrencySKorea" xfId="0"/>
    <cellStyle name="Normal_Cust Type" xfId="0"/>
    <cellStyle name="Normal_D&amp;H &amp; GT 051796" xfId="0"/>
    <cellStyle name="Normal_Data for Geog" xfId="0"/>
    <cellStyle name="Normal_DEFAULT" xfId="0"/>
    <cellStyle name="Normal_Demand Fcst." xfId="0"/>
    <cellStyle name="Normal_Dep%Rev" xfId="0"/>
    <cellStyle name="Normal_DETAILS" xfId="0"/>
    <cellStyle name="Normal_Dialog1" xfId="0"/>
    <cellStyle name="Normal_Dialog1_1" xfId="0"/>
    <cellStyle name="Normal_Dialog1_2" xfId="0"/>
    <cellStyle name="Normal_Dialog1_Dialog1" xfId="0"/>
    <cellStyle name="Normal_Dialog1_Module1" xfId="0"/>
    <cellStyle name="Normal_dimon" xfId="0"/>
    <cellStyle name="Normal_dimon_1" xfId="0"/>
    <cellStyle name="Normal_dimon_2" xfId="0"/>
    <cellStyle name="Normal_dimon_3" xfId="0"/>
    <cellStyle name="Normal_dimon_4" xfId="0"/>
    <cellStyle name="Normal_DIRECT - CASHFLOW_1" xfId="0"/>
    <cellStyle name="Normal_DIV" xfId="0"/>
    <cellStyle name="Normal_div &amp; cat detl rpt" xfId="0"/>
    <cellStyle name="Normal_DIV_dimon" xfId="0"/>
    <cellStyle name="Normal_DMR by Div" xfId="0"/>
    <cellStyle name="Normal_Dowell C1b" xfId="0"/>
    <cellStyle name="Normal_Dowell-C1a" xfId="0"/>
    <cellStyle name="Normal_DRAFT Order Summary" xfId="0"/>
    <cellStyle name="Normal_E&amp;ONW1" xfId="0"/>
    <cellStyle name="Normal_E&amp;ONW2" xfId="0"/>
    <cellStyle name="Normal_E&amp;OOCPX" xfId="0"/>
    <cellStyle name="Normal_ECTPLAN" xfId="0"/>
    <cellStyle name="Normal_ELS WIP" xfId="0"/>
    <cellStyle name="Normal_emserdefault" xfId="0"/>
    <cellStyle name="Normal_emserdefault_1" xfId="0"/>
    <cellStyle name="Normal_Energy Direct Cons" xfId="0"/>
    <cellStyle name="Normal_Energy Ind  Cons" xfId="0"/>
    <cellStyle name="Normal_Engin Dir" xfId="0"/>
    <cellStyle name="Normal_Engin Indir " xfId="0"/>
    <cellStyle name="Normal_ENRGYOP1" xfId="0"/>
    <cellStyle name="Normal_EPS" xfId="0"/>
    <cellStyle name="Normal_EQCON" xfId="0"/>
    <cellStyle name="Normal_Equity Direct" xfId="0"/>
    <cellStyle name="Normal_Equity Ind" xfId="0"/>
    <cellStyle name="Normal_ERMT BUCKET" xfId="0"/>
    <cellStyle name="Normal_EUCU" xfId="0"/>
    <cellStyle name="Normal_EUCU Cust Seg Analysis (B)" xfId="0"/>
    <cellStyle name="Normal_EUMYR_FY97.xls Chart 1" xfId="0"/>
    <cellStyle name="Normal_EUMYR_FY97.xls Chart 2" xfId="0"/>
    <cellStyle name="Normal_Eur_EI Int'l - Dir" xfId="0"/>
    <cellStyle name="Normal_Eur_EI Int'l - Ind" xfId="0"/>
    <cellStyle name="Normal_EUYER" xfId="0"/>
    <cellStyle name="Normal_export 61898" xfId="0"/>
    <cellStyle name="Normal_export deals 050898" xfId="0"/>
    <cellStyle name="Normal_F&amp;COCPX" xfId="0"/>
    <cellStyle name="Normal_FEBRUARY" xfId="0"/>
    <cellStyle name="Normal_FF" xfId="0"/>
    <cellStyle name="Normal_FinalReport" xfId="0"/>
    <cellStyle name="Normal_FinalReport (2)" xfId="0"/>
    <cellStyle name="Normal_FinalReport (3)" xfId="0"/>
    <cellStyle name="Normal_Finance St Dir" xfId="0"/>
    <cellStyle name="Normal_Focus goals" xfId="0"/>
    <cellStyle name="Normal_Forecast" xfId="0"/>
    <cellStyle name="Normal_format1" xfId="0"/>
    <cellStyle name="Normal_formats" xfId="0"/>
    <cellStyle name="Normal_FP 20 A (1)" xfId="0"/>
    <cellStyle name="Normal_FP 20 A (2)" xfId="0"/>
    <cellStyle name="Normal_FP-20 (App. E)" xfId="0"/>
    <cellStyle name="Normal_FP-20 (App.A) " xfId="0"/>
    <cellStyle name="Normal_FP-20 (App.A) _1" xfId="0"/>
    <cellStyle name="Normal_FP-20(C1) (a)" xfId="0"/>
    <cellStyle name="Normal_FP-20(C1) (a) (2)" xfId="0"/>
    <cellStyle name="Normal_FP-20(C1) (a)_1" xfId="0"/>
    <cellStyle name="Normal_FP-20(C1) (b)" xfId="0"/>
    <cellStyle name="Normal_FP-20(C1) (b) " xfId="0"/>
    <cellStyle name="Normal_FP-20(C1) (b) (2)" xfId="0"/>
    <cellStyle name="Normal_FP-20(C1) (e)" xfId="0"/>
    <cellStyle name="Normal_FP20_C1A" xfId="0"/>
    <cellStyle name="Normal_FP20_C1B" xfId="0"/>
    <cellStyle name="Normal_Full Year FY96" xfId="0"/>
    <cellStyle name="Normal_FUNDS FLOW" xfId="0"/>
    <cellStyle name="Normal_FX_SENS" xfId="0"/>
    <cellStyle name="Normal_FY97 RevSum - Channel Pres View" xfId="0"/>
    <cellStyle name="Normal_GAAPDET.XLS" xfId="0"/>
    <cellStyle name="Normal_GCM" xfId="0"/>
    <cellStyle name="Normal_GE03" xfId="0"/>
    <cellStyle name="Normal_GE04" xfId="0"/>
    <cellStyle name="Normal_GenAssum" xfId="0"/>
    <cellStyle name="Normal_Geography View" xfId="0"/>
    <cellStyle name="Normal_GP C1a" xfId="0"/>
    <cellStyle name="Normal_GP C1b" xfId="0"/>
    <cellStyle name="Normal_GP_EI_3" xfId="0"/>
    <cellStyle name="Normal_GQ C1A" xfId="0"/>
    <cellStyle name="Normal_GQ C1B" xfId="0"/>
    <cellStyle name="Normal_groups" xfId="0"/>
    <cellStyle name="Normal_Guidelines" xfId="0"/>
    <cellStyle name="Normal_HC" xfId="0"/>
    <cellStyle name="Normal_HC 1" xfId="0"/>
    <cellStyle name="Normal_HC 2" xfId="0"/>
    <cellStyle name="Normal_HEAD_CNT" xfId="0"/>
    <cellStyle name="Normal_HEADCONT" xfId="0"/>
    <cellStyle name="Normal_Headcount" xfId="0"/>
    <cellStyle name="Normal_Holiday Bundles" xfId="0"/>
    <cellStyle name="Normal_Holiday Bundles (2)" xfId="0"/>
    <cellStyle name="Normal_I_T_EXPE" xfId="0"/>
    <cellStyle name="Normal_Igobox" xfId="0"/>
    <cellStyle name="Normal_Igobox_1" xfId="0"/>
    <cellStyle name="Normal_Igobox_2" xfId="0"/>
    <cellStyle name="Normal_Igobox_Imacros" xfId="0"/>
    <cellStyle name="Normal_Igobox_IPP" xfId="0"/>
    <cellStyle name="Normal_Igobox_Iprintbox" xfId="0"/>
    <cellStyle name="Normal_IM Rebate Q2 SKUs" xfId="0"/>
    <cellStyle name="Normal_IM Rebate Q2 SKUs (2)" xfId="0"/>
    <cellStyle name="Normal_IM Rules and Procedures" xfId="0"/>
    <cellStyle name="Normal_Imacros" xfId="0"/>
    <cellStyle name="Normal_Imacros_1" xfId="0"/>
    <cellStyle name="Normal_Imacros_2" xfId="0"/>
    <cellStyle name="Normal_Income" xfId="0"/>
    <cellStyle name="Normal_INCOME STATEMENT" xfId="0"/>
    <cellStyle name="Normal_Indirect" xfId="0"/>
    <cellStyle name="Normal_Input" xfId="0"/>
    <cellStyle name="Normal_INPUT_1" xfId="0"/>
    <cellStyle name="Normal_INPUT_GenAssum" xfId="0"/>
    <cellStyle name="Normal_Inputs" xfId="0"/>
    <cellStyle name="Normal_Inputs_dimon" xfId="0"/>
    <cellStyle name="Normal_Introduction" xfId="0"/>
    <cellStyle name="Normal_Introduction_1" xfId="0"/>
    <cellStyle name="Normal_Inventory" xfId="0"/>
    <cellStyle name="Normal_INVREV" xfId="0"/>
    <cellStyle name="Normal_IPM C1b" xfId="0"/>
    <cellStyle name="Normal_IPMC1a" xfId="0"/>
    <cellStyle name="Normal_IPP" xfId="0"/>
    <cellStyle name="Normal_IPP_1" xfId="0"/>
    <cellStyle name="Normal_IPP_1_Igobox" xfId="0"/>
    <cellStyle name="Normal_IPP_1_Imacros" xfId="0"/>
    <cellStyle name="Normal_IPP_1_Iprintbox" xfId="0"/>
    <cellStyle name="Normal_IPP_2" xfId="0"/>
    <cellStyle name="Normal_Iprintbox" xfId="0"/>
    <cellStyle name="Normal_Iprintbox_1" xfId="0"/>
    <cellStyle name="Normal_Iprintbox_2" xfId="0"/>
    <cellStyle name="Normal_IRR" xfId="0"/>
    <cellStyle name="Normal_IS-Hold" xfId="0"/>
    <cellStyle name="Normal_IT Budget" xfId="0"/>
    <cellStyle name="Normal_IT Budget (2)" xfId="0"/>
    <cellStyle name="Normal_Iterbox" xfId="0"/>
    <cellStyle name="Normal_ITOCPX" xfId="0"/>
    <cellStyle name="Normal_Janactuals" xfId="0"/>
    <cellStyle name="Normal_jancf" xfId="0"/>
    <cellStyle name="Normal_JUNMTH55" xfId="0"/>
    <cellStyle name="Normal_JUNMTH57" xfId="0"/>
    <cellStyle name="Normal_JUNYTD55" xfId="0"/>
    <cellStyle name="Normal_JUNYTD57" xfId="0"/>
    <cellStyle name="Normal_KABANJA.XLS" xfId="0"/>
    <cellStyle name="Normal_KNLSAT" xfId="0"/>
    <cellStyle name="Normal_KNLSAT_dimon" xfId="0"/>
    <cellStyle name="Normal_KNLSAT_NEGS" xfId="0"/>
    <cellStyle name="Normal_Labwo" xfId="0"/>
    <cellStyle name="Normal_LANGSA.XLS" xfId="0"/>
    <cellStyle name="Normal_laroux" xfId="0"/>
    <cellStyle name="Normal_laroux_1" xfId="0"/>
    <cellStyle name="Normal_laroux_12~3SO2" xfId="0"/>
    <cellStyle name="Normal_laroux_1_12~3SO2" xfId="0"/>
    <cellStyle name="Normal_laroux_1_dimon" xfId="0"/>
    <cellStyle name="Normal_laroux_1_dimon_1" xfId="0"/>
    <cellStyle name="Normal_laroux_1_dimon_2" xfId="0"/>
    <cellStyle name="Normal_laroux_1_dimon_3" xfId="0"/>
    <cellStyle name="Normal_laroux_1_laroux" xfId="0"/>
    <cellStyle name="Normal_laroux_1_laroux_1" xfId="0"/>
    <cellStyle name="Normal_laroux_1_laroux_2" xfId="0"/>
    <cellStyle name="Normal_laroux_1_Locas" xfId="0"/>
    <cellStyle name="Normal_laroux_1_Locas_1" xfId="0"/>
    <cellStyle name="Normal_laroux_1_NEGS" xfId="0"/>
    <cellStyle name="Normal_laroux_1_NEGS_1" xfId="0"/>
    <cellStyle name="Normal_laroux_1_pldt" xfId="0"/>
    <cellStyle name="Normal_laroux_1_pldt_1" xfId="0"/>
    <cellStyle name="Normal_laroux_1_pldt_1_dimon" xfId="0"/>
    <cellStyle name="Normal_laroux_1_pldt_2" xfId="0"/>
    <cellStyle name="Normal_laroux_1_pldt_3" xfId="0"/>
    <cellStyle name="Normal_laroux_1_pldt_dimon" xfId="0"/>
    <cellStyle name="Normal_laroux_1_PLDT_dimon_1" xfId="0"/>
    <cellStyle name="Normal_laroux_1_pldt_NEGS" xfId="0"/>
    <cellStyle name="Normal_laroux_1_pldt_~0022862" xfId="0"/>
    <cellStyle name="Normal_laroux_1_VERA" xfId="0"/>
    <cellStyle name="Normal_laroux_1_VERA_1" xfId="0"/>
    <cellStyle name="Normal_laroux_1_VIRUS-EDY" xfId="0"/>
    <cellStyle name="Normal_laroux_2" xfId="0"/>
    <cellStyle name="Normal_laroux_2_dimon" xfId="0"/>
    <cellStyle name="Normal_laroux_2_dimon_1" xfId="0"/>
    <cellStyle name="Normal_laroux_2_dimon_2" xfId="0"/>
    <cellStyle name="Normal_laroux_2_dimon_3" xfId="0"/>
    <cellStyle name="Normal_laroux_2_dimon_4" xfId="0"/>
    <cellStyle name="Normal_laroux_2_laroux" xfId="0"/>
    <cellStyle name="Normal_laroux_2_laroux_1" xfId="0"/>
    <cellStyle name="Normal_laroux_2_laroux_2" xfId="0"/>
    <cellStyle name="Normal_laroux_2_Locas" xfId="0"/>
    <cellStyle name="Normal_laroux_2_Locas_1" xfId="0"/>
    <cellStyle name="Normal_laroux_2_NEGS" xfId="0"/>
    <cellStyle name="Normal_laroux_2_NEGS_1" xfId="0"/>
    <cellStyle name="Normal_laroux_2_NEGS_1_~0022862" xfId="0"/>
    <cellStyle name="Normal_laroux_2_NEGS_2" xfId="0"/>
    <cellStyle name="Normal_laroux_2_NEGS_~0022862" xfId="0"/>
    <cellStyle name="Normal_laroux_2_pldt" xfId="0"/>
    <cellStyle name="Normal_laroux_2_pldt_1" xfId="0"/>
    <cellStyle name="Normal_laroux_2_pldt_2" xfId="0"/>
    <cellStyle name="Normal_laroux_2_pldt_dimon" xfId="0"/>
    <cellStyle name="Normal_laroux_2_pldt_NEGS" xfId="0"/>
    <cellStyle name="Normal_laroux_2_pldt_~0022862" xfId="0"/>
    <cellStyle name="Normal_laroux_2_VIRUS-EDY" xfId="0"/>
    <cellStyle name="Normal_laroux_2_~0022862" xfId="0"/>
    <cellStyle name="Normal_laroux_3" xfId="0"/>
    <cellStyle name="Normal_laroux_3_dimon" xfId="0"/>
    <cellStyle name="Normal_laroux_3_dimon_1" xfId="0"/>
    <cellStyle name="Normal_laroux_3_dimon_2" xfId="0"/>
    <cellStyle name="Normal_laroux_3_dimon_3" xfId="0"/>
    <cellStyle name="Normal_laroux_3_dimon_4" xfId="0"/>
    <cellStyle name="Normal_laroux_3_laroux" xfId="0"/>
    <cellStyle name="Normal_laroux_3_laroux_1" xfId="0"/>
    <cellStyle name="Normal_laroux_3_laroux_2" xfId="0"/>
    <cellStyle name="Normal_laroux_3_laroux_dimon" xfId="0"/>
    <cellStyle name="Normal_laroux_3_Locas" xfId="0"/>
    <cellStyle name="Normal_laroux_3_NEGS" xfId="0"/>
    <cellStyle name="Normal_laroux_3_NEGS_1" xfId="0"/>
    <cellStyle name="Normal_laroux_3_pldt" xfId="0"/>
    <cellStyle name="Normal_laroux_3_pldt_1" xfId="0"/>
    <cellStyle name="Normal_laroux_3_pldt_dimon" xfId="0"/>
    <cellStyle name="Normal_laroux_3_PLDT_dimon_1" xfId="0"/>
    <cellStyle name="Normal_laroux_3_VERA" xfId="0"/>
    <cellStyle name="Normal_laroux_3_VERA_1" xfId="0"/>
    <cellStyle name="Normal_laroux_3_VIRUS-EDY" xfId="0"/>
    <cellStyle name="Normal_laroux_4" xfId="0"/>
    <cellStyle name="Normal_laroux_4_dimon" xfId="0"/>
    <cellStyle name="Normal_laroux_4_dimon_1" xfId="0"/>
    <cellStyle name="Normal_laroux_4_dimon_2" xfId="0"/>
    <cellStyle name="Normal_laroux_4_dimon_3" xfId="0"/>
    <cellStyle name="Normal_laroux_4_dimon_4" xfId="0"/>
    <cellStyle name="Normal_laroux_4_laroux" xfId="0"/>
    <cellStyle name="Normal_laroux_4_laroux_1" xfId="0"/>
    <cellStyle name="Normal_laroux_4_laroux_2" xfId="0"/>
    <cellStyle name="Normal_laroux_4_NEGS" xfId="0"/>
    <cellStyle name="Normal_laroux_4_pldt" xfId="0"/>
    <cellStyle name="Normal_laroux_4_pldt_1" xfId="0"/>
    <cellStyle name="Normal_laroux_4_pldt_2" xfId="0"/>
    <cellStyle name="Normal_laroux_4_pldt_dimon" xfId="0"/>
    <cellStyle name="Normal_laroux_4_PLDT_dimon_1" xfId="0"/>
    <cellStyle name="Normal_laroux_4_VERA" xfId="0"/>
    <cellStyle name="Normal_laroux_4_VIRUS-EDY" xfId="0"/>
    <cellStyle name="Normal_laroux_5" xfId="0"/>
    <cellStyle name="Normal_laroux_5_dimon" xfId="0"/>
    <cellStyle name="Normal_laroux_5_dimon_1" xfId="0"/>
    <cellStyle name="Normal_laroux_5_dimon_2" xfId="0"/>
    <cellStyle name="Normal_laroux_5_dimon_3" xfId="0"/>
    <cellStyle name="Normal_laroux_5_dimon_4" xfId="0"/>
    <cellStyle name="Normal_laroux_5_laroux" xfId="0"/>
    <cellStyle name="Normal_laroux_5_laroux_1" xfId="0"/>
    <cellStyle name="Normal_laroux_5_laroux_2" xfId="0"/>
    <cellStyle name="Normal_laroux_5_NEGS" xfId="0"/>
    <cellStyle name="Normal_laroux_5_pldt" xfId="0"/>
    <cellStyle name="Normal_laroux_5_pldt_1" xfId="0"/>
    <cellStyle name="Normal_laroux_5_pldt_2" xfId="0"/>
    <cellStyle name="Normal_laroux_5_pldt_3" xfId="0"/>
    <cellStyle name="Normal_laroux_5_pldt_dimon" xfId="0"/>
    <cellStyle name="Normal_laroux_5_PLDT_dimon_1" xfId="0"/>
    <cellStyle name="Normal_laroux_5_VERA" xfId="0"/>
    <cellStyle name="Normal_laroux_5_VIRUS-EDY" xfId="0"/>
    <cellStyle name="Normal_laroux_6" xfId="0"/>
    <cellStyle name="Normal_laroux_6_dimon" xfId="0"/>
    <cellStyle name="Normal_laroux_6_dimon_1" xfId="0"/>
    <cellStyle name="Normal_laroux_6_dimon_2" xfId="0"/>
    <cellStyle name="Normal_laroux_6_dimon_3" xfId="0"/>
    <cellStyle name="Normal_laroux_6_dimon_4" xfId="0"/>
    <cellStyle name="Normal_laroux_6_laroux" xfId="0"/>
    <cellStyle name="Normal_laroux_6_laroux_1" xfId="0"/>
    <cellStyle name="Normal_laroux_6_laroux_dimon" xfId="0"/>
    <cellStyle name="Normal_laroux_6_NEGS" xfId="0"/>
    <cellStyle name="Normal_laroux_6_pldt" xfId="0"/>
    <cellStyle name="Normal_laroux_6_pldt_1" xfId="0"/>
    <cellStyle name="Normal_laroux_6_pldt_2" xfId="0"/>
    <cellStyle name="Normal_laroux_6_pldt_dimon" xfId="0"/>
    <cellStyle name="Normal_laroux_6_PLDT_dimon_1" xfId="0"/>
    <cellStyle name="Normal_laroux_6_VERA" xfId="0"/>
    <cellStyle name="Normal_laroux_6_VIRUS-EDY" xfId="0"/>
    <cellStyle name="Normal_laroux_7" xfId="0"/>
    <cellStyle name="Normal_laroux_7_dimon" xfId="0"/>
    <cellStyle name="Normal_laroux_7_dimon_1" xfId="0"/>
    <cellStyle name="Normal_laroux_7_dimon_2" xfId="0"/>
    <cellStyle name="Normal_laroux_7_dimon_3" xfId="0"/>
    <cellStyle name="Normal_laroux_7_laroux" xfId="0"/>
    <cellStyle name="Normal_laroux_7_pldt" xfId="0"/>
    <cellStyle name="Normal_laroux_7_pldt_1" xfId="0"/>
    <cellStyle name="Normal_laroux_7_VERA" xfId="0"/>
    <cellStyle name="Normal_laroux_7_VIRUS-EDY" xfId="0"/>
    <cellStyle name="Normal_laroux_8" xfId="0"/>
    <cellStyle name="Normal_laroux_8_dimon" xfId="0"/>
    <cellStyle name="Normal_laroux_8_dimon_1" xfId="0"/>
    <cellStyle name="Normal_laroux_8_dimon_2" xfId="0"/>
    <cellStyle name="Normal_laroux_8_pldt" xfId="0"/>
    <cellStyle name="Normal_laroux_8_pldt_1" xfId="0"/>
    <cellStyle name="Normal_laroux_8_VERA" xfId="0"/>
    <cellStyle name="Normal_laroux_9" xfId="0"/>
    <cellStyle name="Normal_laroux_9_dimon" xfId="0"/>
    <cellStyle name="Normal_laroux_9_dimon_1" xfId="0"/>
    <cellStyle name="Normal_laroux_A" xfId="0"/>
    <cellStyle name="Normal_laroux_B" xfId="0"/>
    <cellStyle name="Normal_laroux_C" xfId="0"/>
    <cellStyle name="Normal_laroux_D" xfId="0"/>
    <cellStyle name="Normal_laroux_dimon" xfId="0"/>
    <cellStyle name="Normal_laroux_dimon_1" xfId="0"/>
    <cellStyle name="Normal_laroux_dimon_2" xfId="0"/>
    <cellStyle name="Normal_laroux_dimon_3" xfId="0"/>
    <cellStyle name="Normal_laroux_dimon_4" xfId="0"/>
    <cellStyle name="Normal_laroux_dimon_5" xfId="0"/>
    <cellStyle name="Normal_laroux_dimon_6" xfId="0"/>
    <cellStyle name="Normal_laroux_laroux" xfId="0"/>
    <cellStyle name="Normal_laroux_laroux_1" xfId="0"/>
    <cellStyle name="Normal_laroux_laroux_2" xfId="0"/>
    <cellStyle name="Normal_laroux_Locas" xfId="0"/>
    <cellStyle name="Normal_laroux_NEGS" xfId="0"/>
    <cellStyle name="Normal_laroux_NEGS_1" xfId="0"/>
    <cellStyle name="Normal_laroux_NEGS_1_~0022862" xfId="0"/>
    <cellStyle name="Normal_laroux_pldt" xfId="0"/>
    <cellStyle name="Normal_laroux_pldt_1" xfId="0"/>
    <cellStyle name="Normal_laroux_pldt_1_dimon" xfId="0"/>
    <cellStyle name="Normal_laroux_pldt_2" xfId="0"/>
    <cellStyle name="Normal_laroux_pldt_3" xfId="0"/>
    <cellStyle name="Normal_laroux_pldt_dimon" xfId="0"/>
    <cellStyle name="Normal_laroux_PLDT_dimon_1" xfId="0"/>
    <cellStyle name="Normal_laroux_pldt_NEGS" xfId="0"/>
    <cellStyle name="Normal_laroux_pldt_~0022862" xfId="0"/>
    <cellStyle name="Normal_laroux_VERA" xfId="0"/>
    <cellStyle name="Normal_laroux_VERA_1" xfId="0"/>
    <cellStyle name="Normal_laroux_VIRUS-EDY" xfId="0"/>
    <cellStyle name="Normal_LHOKSEU.XLS" xfId="0"/>
    <cellStyle name="Normal_Line Inst." xfId="0"/>
    <cellStyle name="Normal_Linked &gt;&gt;Slide #8 - YTD Results" xfId="0"/>
    <cellStyle name="Normal_List" xfId="0"/>
    <cellStyle name="Normal_Locas" xfId="0"/>
    <cellStyle name="Normal_Locas_1" xfId="0"/>
    <cellStyle name="Normal_Location Total " xfId="0"/>
    <cellStyle name="Normal_Locations" xfId="0"/>
    <cellStyle name="Normal_MACRO1.XLM" xfId="0"/>
    <cellStyle name="Normal_Macro2" xfId="0"/>
    <cellStyle name="Normal_Macrovar" xfId="0"/>
    <cellStyle name="Normal_Macrox" xfId="0"/>
    <cellStyle name="Normal_Maintenance" xfId="0"/>
    <cellStyle name="Normal_MAJASSUM" xfId="0"/>
    <cellStyle name="Normal_MAJASSUM (2)" xfId="0"/>
    <cellStyle name="Normal_MAJREP" xfId="0"/>
    <cellStyle name="Normal_MARDSS" xfId="0"/>
    <cellStyle name="Normal_MarketingActBud" xfId="0"/>
    <cellStyle name="Normal_MarketingDetail" xfId="0"/>
    <cellStyle name="Normal_MATERAL2" xfId="0"/>
    <cellStyle name="Normal_MATERAL2_dimon" xfId="0"/>
    <cellStyle name="Normal_MATERAL2_NEGS" xfId="0"/>
    <cellStyle name="Normal_Material List NEW" xfId="0"/>
    <cellStyle name="Normal_MAYDSS" xfId="0"/>
    <cellStyle name="Normal_MCOE Summary" xfId="0"/>
    <cellStyle name="Normal_MCOE Summary (2)" xfId="0"/>
    <cellStyle name="Normal_MCOE Summary (3)" xfId="0"/>
    <cellStyle name="Normal_MCOE Summary (4)" xfId="0"/>
    <cellStyle name="Normal_MCOE Summary (5)" xfId="0"/>
    <cellStyle name="Normal_MCOE Summary (6)" xfId="0"/>
    <cellStyle name="Normal_MCOE Summary (7)" xfId="0"/>
    <cellStyle name="Normal_MCOE Summary (8)" xfId="0"/>
    <cellStyle name="Normal_MCOE Summary (9)" xfId="0"/>
    <cellStyle name="Normal_MDF" xfId="0"/>
    <cellStyle name="Normal_MDF (2)" xfId="0"/>
    <cellStyle name="Normal_MDF (2)_1" xfId="0"/>
    <cellStyle name="Normal_MDF (2)_Reslr Mktng" xfId="0"/>
    <cellStyle name="Normal_MDF_1" xfId="0"/>
    <cellStyle name="Normal_MDF_MDF (2)" xfId="0"/>
    <cellStyle name="Normal_MDF_MDF (2)_Reslr Mktng" xfId="0"/>
    <cellStyle name="Normal_MDF_Reslr Mktng" xfId="0"/>
    <cellStyle name="Normal_MED-A-CO.XLS" xfId="0"/>
    <cellStyle name="Normal_MEDAN.XLS" xfId="0"/>
    <cellStyle name="Normal_Menu" xfId="0"/>
    <cellStyle name="Normal_MEULABOH.XLS" xfId="0"/>
    <cellStyle name="Normal_MID CURVE" xfId="0"/>
    <cellStyle name="Normal_MKGOCPX" xfId="0"/>
    <cellStyle name="Normal_Mkt Shr" xfId="0"/>
    <cellStyle name="Normal_MOBCPX" xfId="0"/>
    <cellStyle name="Normal_Module1" xfId="0"/>
    <cellStyle name="Normal_Module1 (2)" xfId="0"/>
    <cellStyle name="Normal_Module1 (2)_1" xfId="0"/>
    <cellStyle name="Normal_Module1_1" xfId="0"/>
    <cellStyle name="Normal_Module1_1_Cons2ndCE" xfId="0"/>
    <cellStyle name="Normal_Module1_1_NEGS" xfId="0"/>
    <cellStyle name="Normal_Module1_1_~0022862" xfId="0"/>
    <cellStyle name="Normal_Module1_Book6" xfId="0"/>
    <cellStyle name="Normal_Module1_Dialog1" xfId="0"/>
    <cellStyle name="Normal_Module1_NEGS" xfId="0"/>
    <cellStyle name="Normal_Module1_PERSONAL" xfId="0"/>
    <cellStyle name="Normal_Module1_~0022862" xfId="0"/>
    <cellStyle name="Normal_Module5" xfId="0"/>
    <cellStyle name="Normal_MONTHLY" xfId="0"/>
    <cellStyle name="Normal_MOR  - Supp" xfId="0"/>
    <cellStyle name="Normal_mssReport" xfId="0"/>
    <cellStyle name="Normal_MTDP&amp;L" xfId="0"/>
    <cellStyle name="Normal_MTDRevSum" xfId="0"/>
    <cellStyle name="Normal_mud plant bolted" xfId="0"/>
    <cellStyle name="Normal_mud plant bolted_dimon" xfId="0"/>
    <cellStyle name="Normal_Multikarya" xfId="0"/>
    <cellStyle name="Normal_NA" xfId="0"/>
    <cellStyle name="Normal_NA (2)" xfId="0"/>
    <cellStyle name="Normal_NA WITHOUT GOV'T &amp; PNX" xfId="0"/>
    <cellStyle name="Normal_NAOBU10" xfId="0"/>
    <cellStyle name="Normal_NAT ACCT" xfId="0"/>
    <cellStyle name="Normal_NCR-C&amp;W Val" xfId="0"/>
    <cellStyle name="Normal_NCR-Cap intensity" xfId="0"/>
    <cellStyle name="Normal_NCR-Line per Staff" xfId="0"/>
    <cellStyle name="Normal_NCR-Rev dist" xfId="0"/>
    <cellStyle name="Normal_NEGS" xfId="0"/>
    <cellStyle name="Normal_NEGS_1" xfId="0"/>
    <cellStyle name="Normal_NEGS_1_~0022862" xfId="0"/>
    <cellStyle name="Normal_NEGS_2" xfId="0"/>
    <cellStyle name="Normal_NEGS_3" xfId="0"/>
    <cellStyle name="Normal_NEGS_~0022862" xfId="0"/>
    <cellStyle name="Normal_NEHQ-ACT.XLS" xfId="0"/>
    <cellStyle name="Normal_NEWSETL" xfId="0"/>
    <cellStyle name="Normal_NS-A-CO.XLS" xfId="0"/>
    <cellStyle name="Normal_NS_AT" xfId="0"/>
    <cellStyle name="Normal_NS_CONS GROUP" xfId="0"/>
    <cellStyle name="Normal_NSACTUAL.XLS" xfId="0"/>
    <cellStyle name="Normal_NSACTUAL.XLS_1" xfId="0"/>
    <cellStyle name="Normal_NX00" xfId="0"/>
    <cellStyle name="Normal_Oblig Detail" xfId="0"/>
    <cellStyle name="Normal_oblig monthly" xfId="0"/>
    <cellStyle name="Normal_OBLIGATIONS" xfId="0"/>
    <cellStyle name="Normal_obligations qtrly" xfId="0"/>
    <cellStyle name="Normal_OBLIGDET" xfId="0"/>
    <cellStyle name="Normal_Op Cost Break" xfId="0"/>
    <cellStyle name="Normal_OperResults" xfId="0"/>
    <cellStyle name="Normal_OPSTAT" xfId="0"/>
    <cellStyle name="Normal_OrgChart" xfId="0"/>
    <cellStyle name="Normal_OrgChart_1" xfId="0"/>
    <cellStyle name="Normal_Orig Flat File fr Dan" xfId="0"/>
    <cellStyle name="Normal_OS-A-CO.XLS" xfId="0"/>
    <cellStyle name="Normal_OSMOCPX" xfId="0"/>
    <cellStyle name="Normal_Other Direct" xfId="0"/>
    <cellStyle name="Normal_Other Ind  " xfId="0"/>
    <cellStyle name="Normal_Other Ind  _1" xfId="0"/>
    <cellStyle name="Normal_Other Ind  _CTS - Ind excl Can" xfId="0"/>
    <cellStyle name="Normal_Other Ind  _ECTPLAN" xfId="0"/>
    <cellStyle name="Normal_Other Ind  _PLAN0398" xfId="0"/>
    <cellStyle name="Normal_Other Months" xfId="0"/>
    <cellStyle name="Normal_OTHER OBLIG" xfId="0"/>
    <cellStyle name="Normal_Other Obligations" xfId="0"/>
    <cellStyle name="Normal_OTHER OBLIGATIONS (2)" xfId="0"/>
    <cellStyle name="Normal_Other Obligations_format1" xfId="0"/>
    <cellStyle name="Normal_OTHER OBLIGATIONS_Var_2CE" xfId="0"/>
    <cellStyle name="Normal_Outlet96 View (B)" xfId="0"/>
    <cellStyle name="Normal_Outlook" xfId="0"/>
    <cellStyle name="Normal_Outlook_1" xfId="0"/>
    <cellStyle name="Normal_Overview" xfId="0"/>
    <cellStyle name="Normal_OWN, AR, SNIPS" xfId="0"/>
    <cellStyle name="Normal_P&amp;L" xfId="0"/>
    <cellStyle name="Normal_P-SIANTA.XLS" xfId="0"/>
    <cellStyle name="Normal_PAGE 1" xfId="0"/>
    <cellStyle name="Normal_Pasted Pictures" xfId="0"/>
    <cellStyle name="Normal_pbdefault" xfId="0"/>
    <cellStyle name="Normal_pbdefault_1" xfId="0"/>
    <cellStyle name="Normal_PCMAP1" xfId="0"/>
    <cellStyle name="Normal_PCMAP1 (B)" xfId="0"/>
    <cellStyle name="Normal_PCMAP2 (B)" xfId="0"/>
    <cellStyle name="Normal_PD_Oppty_Map" xfId="0"/>
    <cellStyle name="Normal_percentages" xfId="0"/>
    <cellStyle name="Normal_PERSONAL" xfId="0"/>
    <cellStyle name="Normal_PERSONAL_1" xfId="0"/>
    <cellStyle name="Normal_PERSONAL_2" xfId="0"/>
    <cellStyle name="Normal_PERSONAL_dimon" xfId="0"/>
    <cellStyle name="Normal_PERSONAL_dimon_1" xfId="0"/>
    <cellStyle name="Normal_PERSONAL_Locas" xfId="0"/>
    <cellStyle name="Normal_PG5.XLS" xfId="0"/>
    <cellStyle name="Normal_PGMKOCPX" xfId="0"/>
    <cellStyle name="Normal_PGNW1" xfId="0"/>
    <cellStyle name="Normal_PGNW2" xfId="0"/>
    <cellStyle name="Normal_PGNWOCPX" xfId="0"/>
    <cellStyle name="Normal_Picks" xfId="0"/>
    <cellStyle name="Normal_Pink" xfId="0"/>
    <cellStyle name="Normal_Pivot" xfId="0"/>
    <cellStyle name="Normal_Pivot (2)" xfId="0"/>
    <cellStyle name="Normal_Pivot - Drill Down" xfId="0"/>
    <cellStyle name="Normal_PivotReport" xfId="0"/>
    <cellStyle name="Normal_PLAN" xfId="0"/>
    <cellStyle name="Normal_PLAN0398" xfId="0"/>
    <cellStyle name="Normal_PLAN95" xfId="0"/>
    <cellStyle name="Normal_PLAN_TMS" xfId="0"/>
    <cellStyle name="Normal_PLANT" xfId="0"/>
    <cellStyle name="Normal_PLANTS" xfId="0"/>
    <cellStyle name="Normal_PLDT" xfId="0"/>
    <cellStyle name="Normal_PLDT_1" xfId="0"/>
    <cellStyle name="Normal_pldt_1_Calculations" xfId="0"/>
    <cellStyle name="Normal_pldt_1_Calculations_dimon" xfId="0"/>
    <cellStyle name="Normal_PLDT_1_dimon" xfId="0"/>
    <cellStyle name="Normal_PLDT_1_NEGS" xfId="0"/>
    <cellStyle name="Normal_pldt_1_pldt" xfId="0"/>
    <cellStyle name="Normal_pldt_1_pldt_1" xfId="0"/>
    <cellStyle name="Normal_PLDT_2" xfId="0"/>
    <cellStyle name="Normal_pldt_2_Calculations" xfId="0"/>
    <cellStyle name="Normal_pldt_2_Calculations_dimon" xfId="0"/>
    <cellStyle name="Normal_pldt_2_Calculations_dimon_1" xfId="0"/>
    <cellStyle name="Normal_pldt_2_Calculations_NEGS" xfId="0"/>
    <cellStyle name="Normal_pldt_2_dimon" xfId="0"/>
    <cellStyle name="Normal_PLDT_2_dimon_1" xfId="0"/>
    <cellStyle name="Normal_pldt_2_dimon_2" xfId="0"/>
    <cellStyle name="Normal_pldt_2_NEGS" xfId="0"/>
    <cellStyle name="Normal_pldt_2_NEGS_1" xfId="0"/>
    <cellStyle name="Normal_pldt_2_NEGS_~0022862" xfId="0"/>
    <cellStyle name="Normal_pldt_2_pldt" xfId="0"/>
    <cellStyle name="Normal_pldt_2_pldt_1" xfId="0"/>
    <cellStyle name="Normal_pldt_2_pldt_dimon" xfId="0"/>
    <cellStyle name="Normal_pldt_2_pldt_dimon_1" xfId="0"/>
    <cellStyle name="Normal_pldt_2_pldt_NEGS" xfId="0"/>
    <cellStyle name="Normal_pldt_2_~0022862" xfId="0"/>
    <cellStyle name="Normal_pldt_3" xfId="0"/>
    <cellStyle name="Normal_pldt_3_dimon" xfId="0"/>
    <cellStyle name="Normal_pldt_3_dimon_1" xfId="0"/>
    <cellStyle name="Normal_pldt_3_NEGS" xfId="0"/>
    <cellStyle name="Normal_pldt_3_NEGS_1" xfId="0"/>
    <cellStyle name="Normal_pldt_3_NEGS_~0022862" xfId="0"/>
    <cellStyle name="Normal_pldt_3_pldt" xfId="0"/>
    <cellStyle name="Normal_pldt_3_pldt_1" xfId="0"/>
    <cellStyle name="Normal_pldt_3_pldt_1_dimon" xfId="0"/>
    <cellStyle name="Normal_pldt_3_pldt_1_NEGS" xfId="0"/>
    <cellStyle name="Normal_pldt_3_~0022862" xfId="0"/>
    <cellStyle name="Normal_pldt_4" xfId="0"/>
    <cellStyle name="Normal_pldt_4_dimon" xfId="0"/>
    <cellStyle name="Normal_pldt_4_dimon_1" xfId="0"/>
    <cellStyle name="Normal_PLDT_4_dimon_2" xfId="0"/>
    <cellStyle name="Normal_pldt_4_NEGS" xfId="0"/>
    <cellStyle name="Normal_pldt_4_NEGS_1" xfId="0"/>
    <cellStyle name="Normal_pldt_4_NEGS_1_dimon" xfId="0"/>
    <cellStyle name="Normal_pldt_4_NEGS_1_NEGS" xfId="0"/>
    <cellStyle name="Normal_pldt_4_NEGS_~0022862" xfId="0"/>
    <cellStyle name="Normal_pldt_4_NEGS_~0022862_dimon" xfId="0"/>
    <cellStyle name="Normal_pldt_4_NEGS_~0022862_NEGS" xfId="0"/>
    <cellStyle name="Normal_pldt_4_pldt" xfId="0"/>
    <cellStyle name="Normal_pldt_4_pldt_1" xfId="0"/>
    <cellStyle name="Normal_pldt_4_pldt_dimon" xfId="0"/>
    <cellStyle name="Normal_pldt_4_pldt_NEGS" xfId="0"/>
    <cellStyle name="Normal_pldt_4_~0022862" xfId="0"/>
    <cellStyle name="Normal_pldt_5" xfId="0"/>
    <cellStyle name="Normal_pldt_5_dimon" xfId="0"/>
    <cellStyle name="Normal_pldt_5_dimon_1" xfId="0"/>
    <cellStyle name="Normal_pldt_5_NEGS" xfId="0"/>
    <cellStyle name="Normal_pldt_5_NEGS_1" xfId="0"/>
    <cellStyle name="Normal_pldt_5_NEGS_2" xfId="0"/>
    <cellStyle name="Normal_pldt_5_NEGS_~0022862" xfId="0"/>
    <cellStyle name="Normal_pldt_5_pldt" xfId="0"/>
    <cellStyle name="Normal_pldt_5_pldt_dimon" xfId="0"/>
    <cellStyle name="Normal_pldt_5_pldt_NEGS" xfId="0"/>
    <cellStyle name="Normal_pldt_5_~0022862" xfId="0"/>
    <cellStyle name="Normal_pldt_6" xfId="0"/>
    <cellStyle name="Normal_pldt_6_dimon" xfId="0"/>
    <cellStyle name="Normal_pldt_6_NEGS" xfId="0"/>
    <cellStyle name="Normal_pldt_6_NEGS_dimon" xfId="0"/>
    <cellStyle name="Normal_pldt_6_NEGS_NEGS" xfId="0"/>
    <cellStyle name="Normal_pldt_7" xfId="0"/>
    <cellStyle name="Normal_pldt_8" xfId="0"/>
    <cellStyle name="Normal_pldt_8_dimon" xfId="0"/>
    <cellStyle name="Normal_pldt_8_NEGS" xfId="0"/>
    <cellStyle name="Normal_pldt_Calculations" xfId="0"/>
    <cellStyle name="Normal_pldt_Calculations_dimon" xfId="0"/>
    <cellStyle name="Normal_PLDT_dimon" xfId="0"/>
    <cellStyle name="Normal_PLDT_dimon_1" xfId="0"/>
    <cellStyle name="Normal_PLDT_dimon_2" xfId="0"/>
    <cellStyle name="Normal_PLDT_NEGS" xfId="0"/>
    <cellStyle name="Normal_pldt_NEGS_1" xfId="0"/>
    <cellStyle name="Normal_pldt_NEGS_~0022862" xfId="0"/>
    <cellStyle name="Normal_pldt_pldt" xfId="0"/>
    <cellStyle name="Normal_pldt_pldt_1" xfId="0"/>
    <cellStyle name="Normal_pldt_pldt_dimon" xfId="0"/>
    <cellStyle name="Normal_PLDT_~0022862" xfId="0"/>
    <cellStyle name="Normal_POW-Provision" xfId="0"/>
    <cellStyle name="Normal_priccurv" xfId="0"/>
    <cellStyle name="Normal_priccurv_1" xfId="0"/>
    <cellStyle name="Normal_priccurv_2" xfId="0"/>
    <cellStyle name="Normal_Pricing1" xfId="0"/>
    <cellStyle name="Normal_Pricing2" xfId="0"/>
    <cellStyle name="Normal_PricVol" xfId="0"/>
    <cellStyle name="Normal_PrintBox (2)" xfId="0"/>
    <cellStyle name="Normal_PriorYear" xfId="0"/>
    <cellStyle name="Normal_PRM Activities" xfId="0"/>
    <cellStyle name="Normal_PROCDS&amp;G" xfId="0"/>
    <cellStyle name="Normal_Prod Div" xfId="0"/>
    <cellStyle name="Normal_PROD SALES" xfId="0"/>
    <cellStyle name="Normal_PROD SALES by Region Pg 2" xfId="0"/>
    <cellStyle name="Normal_PROD SALES by Region Pg 2_NEGS" xfId="0"/>
    <cellStyle name="Normal_PROD SALES by Region Pg 2_~0022862" xfId="0"/>
    <cellStyle name="Normal_PROD SALES_NEGS" xfId="0"/>
    <cellStyle name="Normal_PROD SALES_~0022862" xfId="0"/>
    <cellStyle name="Normal_PRODUCT" xfId="0"/>
    <cellStyle name="Normal_Product_dimon" xfId="0"/>
    <cellStyle name="Normal_PRODUCT_JULITALC." xfId="0"/>
    <cellStyle name="Normal_PRODUCT_NEGS" xfId="0"/>
    <cellStyle name="Normal_PRODUCT_~0022862" xfId="0"/>
    <cellStyle name="Normal_Production Payment model" xfId="0"/>
    <cellStyle name="Normal_production tony" xfId="0"/>
    <cellStyle name="Normal_PROFILE4" xfId="0"/>
    <cellStyle name="Normal_PRS" xfId="0"/>
    <cellStyle name="Normal_PSTNOCFP" xfId="0"/>
    <cellStyle name="Normal_Purch-AR" xfId="0"/>
    <cellStyle name="Normal_Q08-95.XLS" xfId="0"/>
    <cellStyle name="Normal_Q1 FY96" xfId="0"/>
    <cellStyle name="Normal_Q2 FY96" xfId="0"/>
    <cellStyle name="Normal_Q3 FY96" xfId="0"/>
    <cellStyle name="Normal_Q4 FY96" xfId="0"/>
    <cellStyle name="Normal_QMM-1" xfId="0"/>
    <cellStyle name="Normal_QTR94_95" xfId="0"/>
    <cellStyle name="Normal_QTRCOMP" xfId="0"/>
    <cellStyle name="Normal_QUARTER" xfId="0"/>
    <cellStyle name="Normal_Quarter End Months" xfId="0"/>
    <cellStyle name="Normal_R-PRAPAT.XLS" xfId="0"/>
    <cellStyle name="Normal_r1" xfId="0"/>
    <cellStyle name="Normal_r1_dimon" xfId="0"/>
    <cellStyle name="Normal_Real Opr Cf" xfId="0"/>
    <cellStyle name="Normal_Real Rev per Staff (1)" xfId="0"/>
    <cellStyle name="Normal_Real Rev per Staff (2)" xfId="0"/>
    <cellStyle name="Normal_Reconciliation" xfId="0"/>
    <cellStyle name="Normal_Region 2-C&amp;W" xfId="0"/>
    <cellStyle name="Normal_REPORT-budget" xfId="0"/>
    <cellStyle name="Normal_REPORT-plan" xfId="0"/>
    <cellStyle name="Normal_Reporting Status" xfId="0"/>
    <cellStyle name="Normal_Reporting Status_1" xfId="0"/>
    <cellStyle name="Normal_Reporting Status_EUCU Cust Seg Analysis (B)" xfId="0"/>
    <cellStyle name="Normal_Reporting Status_Outlet96 View (B)" xfId="0"/>
    <cellStyle name="Normal_Reporting Status_PCMAP1 (B)" xfId="0"/>
    <cellStyle name="Normal_Reporting Status_PCMAP2 (B)" xfId="0"/>
    <cellStyle name="Normal_Reporting Status_Subsegment Charts (B)" xfId="0"/>
    <cellStyle name="Normal_Req Summ" xfId="0"/>
    <cellStyle name="Normal_Reseller Mktng" xfId="0"/>
    <cellStyle name="Normal_Reslr Mktng" xfId="0"/>
    <cellStyle name="Normal_Reslr Mktng_1" xfId="0"/>
    <cellStyle name="Normal_Retail By Div" xfId="0"/>
    <cellStyle name="Normal_Return on Rev" xfId="0"/>
    <cellStyle name="Normal_Rev p line" xfId="0"/>
    <cellStyle name="Normal_Revenue" xfId="0"/>
    <cellStyle name="Normal_Revenues" xfId="0"/>
    <cellStyle name="Normal_RevSum" xfId="0"/>
    <cellStyle name="Normal_RevSum (2)" xfId="0"/>
    <cellStyle name="Normal_RICK PRES OF 2nd QTR" xfId="0"/>
    <cellStyle name="Normal_ROACE" xfId="0"/>
    <cellStyle name="Normal_ROCF (Tot)" xfId="0"/>
    <cellStyle name="Normal_RQSTFRM" xfId="0"/>
    <cellStyle name="Normal_Rsllr Monthly Market Share" xfId="0"/>
    <cellStyle name="Normal_RslrSales.xls Chart 3" xfId="0"/>
    <cellStyle name="Normal_RslrSales.xls Chart 4" xfId="0"/>
    <cellStyle name="Normal_RslrSales.xls Chart 5" xfId="0"/>
    <cellStyle name="Normal_RTL DMR Rank" xfId="0"/>
    <cellStyle name="Normal_S&amp;MCosts" xfId="0"/>
    <cellStyle name="Normal_S60084" xfId="0"/>
    <cellStyle name="Normal_s62002" xfId="0"/>
    <cellStyle name="Normal_S70008" xfId="0"/>
    <cellStyle name="Normal_Sales Order" xfId="0"/>
    <cellStyle name="Normal_SALES, BGP, MOI" xfId="0"/>
    <cellStyle name="Normal_SATOCPX" xfId="0"/>
    <cellStyle name="Normal_SC COP" xfId="0"/>
    <cellStyle name="Normal_Segment and Account" xfId="0"/>
    <cellStyle name="Normal_Segment Change" xfId="0"/>
    <cellStyle name="Normal_Sheet1" xfId="0"/>
    <cellStyle name="Normal_Sheet1 (2)" xfId="0"/>
    <cellStyle name="Normal_Sheet1 (2)_dimon" xfId="0"/>
    <cellStyle name="Normal_Sheet1 (2)_VERA" xfId="0"/>
    <cellStyle name="Normal_Sheet1 (2)_VERA_1" xfId="0"/>
    <cellStyle name="Normal_Sheet1_1" xfId="0"/>
    <cellStyle name="Normal_Sheet1_1_dimon" xfId="0"/>
    <cellStyle name="Normal_Sheet1_2" xfId="0"/>
    <cellStyle name="Normal_Sheet1_Book6" xfId="0"/>
    <cellStyle name="Normal_Sheet1_Capital (2)" xfId="0"/>
    <cellStyle name="Normal_Sheet1_Dialog1" xfId="0"/>
    <cellStyle name="Normal_Sheet1_dimon" xfId="0"/>
    <cellStyle name="Normal_Sheet1_dimon_1" xfId="0"/>
    <cellStyle name="Normal_Sheet1_FUNDS" xfId="0"/>
    <cellStyle name="Normal_Sheet1_FUNDS (2)" xfId="0"/>
    <cellStyle name="Normal_Sheet1_IT Budget" xfId="0"/>
    <cellStyle name="Normal_Sheet1_IT Budget (2)" xfId="0"/>
    <cellStyle name="Normal_Sheet1_laroux" xfId="0"/>
    <cellStyle name="Normal_Sheet1_laroux_dimon" xfId="0"/>
    <cellStyle name="Normal_Sheet1_List" xfId="0"/>
    <cellStyle name="Normal_Sheet1_NEGS" xfId="0"/>
    <cellStyle name="Normal_Sheet1_NEGS_1" xfId="0"/>
    <cellStyle name="Normal_Sheet1_NEGS_~0022862" xfId="0"/>
    <cellStyle name="Normal_Sheet1_PERSONAL" xfId="0"/>
    <cellStyle name="Normal_Sheet1_PLDT" xfId="0"/>
    <cellStyle name="Normal_Sheet1_PLDT_dimon" xfId="0"/>
    <cellStyle name="Normal_Sheet1_VERA" xfId="0"/>
    <cellStyle name="Normal_Sheet1_VERA_1" xfId="0"/>
    <cellStyle name="Normal_Sheet1_~0022862" xfId="0"/>
    <cellStyle name="Normal_Sheet2" xfId="0"/>
    <cellStyle name="Normal_Sheet2_1" xfId="0"/>
    <cellStyle name="Normal_Sheet2_dimon" xfId="0"/>
    <cellStyle name="Normal_Sheet2_NEGS" xfId="0"/>
    <cellStyle name="Normal_Sheet2_~0022862" xfId="0"/>
    <cellStyle name="Normal_Sheet3" xfId="0"/>
    <cellStyle name="Normal_Sheet4" xfId="0"/>
    <cellStyle name="Normal_Sheet4_NEGS" xfId="0"/>
    <cellStyle name="Normal_Sheet4_pldt" xfId="0"/>
    <cellStyle name="Normal_Sheet4_~0022862" xfId="0"/>
    <cellStyle name="Normal_SHENREPT" xfId="0"/>
    <cellStyle name="Normal_SHENREPT_laroux" xfId="0"/>
    <cellStyle name="Normal_SHENREPT_pldt" xfId="0"/>
    <cellStyle name="Normal_Shipped" xfId="0"/>
    <cellStyle name="Normal_Shipping" xfId="0"/>
    <cellStyle name="Normal_SIBOLGA.XLS" xfId="0"/>
    <cellStyle name="Normal_solInv_suppldata_qry" xfId="0"/>
    <cellStyle name="Normal_SOP" xfId="0"/>
    <cellStyle name="Normal_sprint contr" xfId="0"/>
    <cellStyle name="Normal_Staff cost%rev" xfId="0"/>
    <cellStyle name="Normal_Standard" xfId="0"/>
    <cellStyle name="Normal_stats" xfId="0"/>
    <cellStyle name="Normal_stats_format1" xfId="0"/>
    <cellStyle name="Normal_STATS_Var_2CE" xfId="0"/>
    <cellStyle name="Normal_Subsegment Charts (B)" xfId="0"/>
    <cellStyle name="Normal_Summary" xfId="0"/>
    <cellStyle name="Normal_Summary By Div &amp; Cat" xfId="0"/>
    <cellStyle name="Normal_Summary Page" xfId="0"/>
    <cellStyle name="Normal_Summary_NEGS" xfId="0"/>
    <cellStyle name="Normal_Summary_~0022862" xfId="0"/>
    <cellStyle name="Normal_SUMPAGE" xfId="0"/>
    <cellStyle name="Normal_SWI-C-CO.XLS" xfId="0"/>
    <cellStyle name="Normal_SYSPLN98" xfId="0"/>
    <cellStyle name="Normal_SYSPLN98_dimon" xfId="0"/>
    <cellStyle name="Normal_SYSPLN98_NEGS" xfId="0"/>
    <cellStyle name="Normal_TARGET4" xfId="0"/>
    <cellStyle name="Normal_Template" xfId="0"/>
    <cellStyle name="Normal_Terms Defined" xfId="0"/>
    <cellStyle name="Normal_TMSNW1" xfId="0"/>
    <cellStyle name="Normal_TMSNW2" xfId="0"/>
    <cellStyle name="Normal_TMSOCPX" xfId="0"/>
    <cellStyle name="Normal_TOTAL MTH" xfId="0"/>
    <cellStyle name="Normal_TOTAL NX CASH FLOW" xfId="0"/>
    <cellStyle name="Normal_Total Obligation Format" xfId="0"/>
    <cellStyle name="Normal_TOTAL YTD" xfId="0"/>
    <cellStyle name="Normal_Total-Rev dist." xfId="0"/>
    <cellStyle name="Normal_TOTALS" xfId="0"/>
    <cellStyle name="Normal_TRANSDSC.XLS" xfId="0"/>
    <cellStyle name="Normal_TRANSFXA.XLS" xfId="0"/>
    <cellStyle name="Normal_TRANSFXA.XLS_1" xfId="0"/>
    <cellStyle name="Normal_TRANSFXA.XLS_2" xfId="0"/>
    <cellStyle name="Normal_TRANSIME.XLS" xfId="0"/>
    <cellStyle name="Normal_TRANSIME.XLS_1" xfId="0"/>
    <cellStyle name="Normal_TRANSIME.XLS_TRANSDSC.XLS" xfId="0"/>
    <cellStyle name="Normal_TRANSIME.XLS_TRANSFXA.XLS" xfId="0"/>
    <cellStyle name="Normal_Trend P&amp;L - Actual" xfId="0"/>
    <cellStyle name="Normal_TrendP&amp;L" xfId="0"/>
    <cellStyle name="Normal_TrendRev" xfId="0"/>
    <cellStyle name="Normal_TRN-A-CO.XLS" xfId="0"/>
    <cellStyle name="Normal_Var_2CE" xfId="0"/>
    <cellStyle name="Normal_VARIATIONS" xfId="0"/>
    <cellStyle name="Normal_Walmart" xfId="0"/>
    <cellStyle name="Normal_White" xfId="0"/>
    <cellStyle name="Normal_Whole-ECT Europe" xfId="0"/>
    <cellStyle name="Normal_Whole-ECT No Am" xfId="0"/>
    <cellStyle name="Normal_Whole-EES" xfId="0"/>
    <cellStyle name="Normal_Whole-Intl" xfId="0"/>
    <cellStyle name="Normal_WIP Chart" xfId="0"/>
    <cellStyle name="Normal_WO Var. &amp; Tot. Exp." xfId="0"/>
    <cellStyle name="Normal_WSP" xfId="0"/>
    <cellStyle name="Normal_yrcao" xfId="0"/>
    <cellStyle name="Normal_YREND55" xfId="0"/>
    <cellStyle name="Normal_YREND57" xfId="0"/>
    <cellStyle name="Normal_YTDCUR" xfId="0"/>
    <cellStyle name="Normal_YTDP&amp;L" xfId="0"/>
    <cellStyle name="Normal_YTDRevSum" xfId="0"/>
    <cellStyle name="Normal_~0022862" xfId="0"/>
    <cellStyle name="Percent [2]" xfId="0"/>
    <cellStyle name="Percent_12~3SO2" xfId="0"/>
    <cellStyle name="Percent_laroux" xfId="0"/>
    <cellStyle name="Total" xfId="0"/>
    <cellStyle name="Unprot" xfId="0"/>
    <cellStyle name="Unprot$" xfId="0"/>
    <cellStyle name="Unprot_CurrencySKorea" xfId="0"/>
    <cellStyle name="Unprotect" xfId="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externalLink" Target="externalLinks/externalLink1.xml"/><Relationship Id="rId13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prebid99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***01"/>
      <sheetName val="Jul"/>
      <sheetName val="Sheet1"/>
      <sheetName val="Aug"/>
      <sheetName val="Jun Zone"/>
      <sheetName val="Aug Zone"/>
      <sheetName val="Sheet2"/>
      <sheetName val="Sep"/>
      <sheetName val="Sep Zone"/>
      <sheetName val="Oct"/>
      <sheetName val="Nov"/>
      <sheetName val="De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4">
          <cell r="D14">
            <v>7.558</v>
          </cell>
        </row>
        <row r="16">
          <cell r="D16">
            <v>171.103</v>
          </cell>
        </row>
        <row r="21">
          <cell r="D21">
            <v>1075.428</v>
          </cell>
        </row>
      </sheetData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vmlDrawing" Target="../drawings/vmlDrawing2.v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vmlDrawing" Target="../drawings/vmlDrawing3.v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comments" Target="../comments4.xml"/><Relationship Id="rId2" Type="http://schemas.openxmlformats.org/officeDocument/2006/relationships/vmlDrawing" Target="../drawings/vmlDrawing4.v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comments" Target="../comments5.xml"/><Relationship Id="rId2" Type="http://schemas.openxmlformats.org/officeDocument/2006/relationships/vmlDrawing" Target="../drawings/vmlDrawing5.v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comments" Target="../comments6.xml"/><Relationship Id="rId2" Type="http://schemas.openxmlformats.org/officeDocument/2006/relationships/vmlDrawing" Target="../drawings/vmlDrawing6.v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comments" Target="../comments7.xml"/><Relationship Id="rId2" Type="http://schemas.openxmlformats.org/officeDocument/2006/relationships/vmlDrawing" Target="../drawings/vmlDrawing7.vm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comments" Target="../comments8.xml"/><Relationship Id="rId2" Type="http://schemas.openxmlformats.org/officeDocument/2006/relationships/vmlDrawing" Target="../drawings/vmlDrawing8.vml"/>
</Relationships>
</file>

<file path=xl/worksheets/_rels/sheet9.xml.rels><?xml version="1.0" encoding="UTF-8"?>
<Relationships xmlns="http://schemas.openxmlformats.org/package/2006/relationships"><Relationship Id="rId1" Type="http://schemas.openxmlformats.org/officeDocument/2006/relationships/comments" Target="../comments9.xml"/><Relationship Id="rId2" Type="http://schemas.openxmlformats.org/officeDocument/2006/relationships/vmlDrawing" Target="../drawings/vmlDrawing9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37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" customHeight="true" zeroHeight="false" outlineLevelRow="0" outlineLevelCol="0"/>
  <cols>
    <col collapsed="false" customWidth="true" hidden="false" outlineLevel="0" max="2" min="1" style="1" width="12.14"/>
    <col collapsed="false" customWidth="true" hidden="false" outlineLevel="0" max="3" min="3" style="1" width="11.28"/>
    <col collapsed="false" customWidth="true" hidden="false" outlineLevel="0" max="4" min="4" style="1" width="11.85"/>
    <col collapsed="false" customWidth="true" hidden="false" outlineLevel="0" max="5" min="5" style="1" width="11.56"/>
    <col collapsed="false" customWidth="true" hidden="false" outlineLevel="0" max="6" min="6" style="1" width="11.7"/>
    <col collapsed="false" customWidth="true" hidden="false" outlineLevel="0" max="7" min="7" style="1" width="11.85"/>
    <col collapsed="false" customWidth="true" hidden="false" outlineLevel="0" max="8" min="8" style="1" width="11.7"/>
    <col collapsed="false" customWidth="true" hidden="false" outlineLevel="0" max="9" min="9" style="1" width="11.85"/>
    <col collapsed="false" customWidth="true" hidden="false" outlineLevel="0" max="10" min="10" style="1" width="8.7"/>
    <col collapsed="false" customWidth="true" hidden="false" outlineLevel="0" max="11" min="11" style="1" width="11.85"/>
    <col collapsed="false" customWidth="false" hidden="false" outlineLevel="0" max="12" min="12" style="1" width="9.14"/>
    <col collapsed="false" customWidth="true" hidden="false" outlineLevel="0" max="13" min="13" style="1" width="8.56"/>
    <col collapsed="false" customWidth="false" hidden="false" outlineLevel="0" max="14" min="14" style="1" width="9.14"/>
    <col collapsed="false" customWidth="true" hidden="false" outlineLevel="0" max="15" min="15" style="1" width="5.56"/>
    <col collapsed="false" customWidth="false" hidden="false" outlineLevel="0" max="257" min="16" style="1" width="9.14"/>
  </cols>
  <sheetData>
    <row r="1" customFormat="false" ht="16.5" hidden="false" customHeight="fals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  <c r="IP1" s="3"/>
      <c r="IQ1" s="3"/>
      <c r="IR1" s="3"/>
      <c r="IS1" s="3"/>
      <c r="IT1" s="3"/>
      <c r="IU1" s="3"/>
      <c r="IV1" s="3"/>
      <c r="IW1" s="3"/>
    </row>
    <row r="2" customFormat="false" ht="12.75" hidden="false" customHeight="false" outlineLevel="0" collapsed="false">
      <c r="A2" s="4"/>
      <c r="B2" s="5"/>
      <c r="C2" s="5"/>
      <c r="D2" s="6"/>
      <c r="E2" s="6"/>
      <c r="F2" s="6"/>
      <c r="G2" s="5"/>
      <c r="H2" s="7"/>
    </row>
    <row r="3" customFormat="false" ht="13.5" hidden="false" customHeight="false" outlineLevel="0" collapsed="false">
      <c r="A3" s="8"/>
      <c r="B3" s="9"/>
      <c r="C3" s="10"/>
      <c r="D3" s="6"/>
      <c r="E3" s="10"/>
      <c r="F3" s="10"/>
      <c r="G3" s="10"/>
      <c r="H3" s="7"/>
    </row>
    <row r="4" customFormat="false" ht="12.75" hidden="false" customHeight="false" outlineLevel="0" collapsed="false">
      <c r="A4" s="11"/>
      <c r="B4" s="5"/>
      <c r="C4" s="5"/>
      <c r="D4" s="12" t="s">
        <v>1</v>
      </c>
      <c r="E4" s="13"/>
      <c r="F4" s="13"/>
      <c r="G4" s="14"/>
      <c r="H4" s="15"/>
      <c r="L4" s="0"/>
    </row>
    <row r="5" customFormat="false" ht="13.5" hidden="false" customHeight="false" outlineLevel="0" collapsed="false">
      <c r="A5" s="16"/>
      <c r="B5" s="6"/>
      <c r="C5" s="6"/>
      <c r="D5" s="17" t="s">
        <v>2</v>
      </c>
      <c r="E5" s="18" t="s">
        <v>3</v>
      </c>
      <c r="F5" s="18" t="str">
        <f aca="false">D4</f>
        <v>January</v>
      </c>
      <c r="G5" s="19" t="str">
        <f aca="false">+F5</f>
        <v>January</v>
      </c>
      <c r="H5" s="20" t="str">
        <f aca="false">+F5</f>
        <v>January</v>
      </c>
      <c r="L5" s="0"/>
    </row>
    <row r="6" customFormat="false" ht="13.5" hidden="false" customHeight="false" outlineLevel="0" collapsed="false">
      <c r="A6" s="16"/>
      <c r="B6" s="6"/>
      <c r="C6" s="6"/>
      <c r="D6" s="21" t="s">
        <v>4</v>
      </c>
      <c r="E6" s="22" t="n">
        <v>99</v>
      </c>
      <c r="F6" s="22" t="n">
        <v>99</v>
      </c>
      <c r="G6" s="23" t="s">
        <v>5</v>
      </c>
      <c r="H6" s="24" t="s">
        <v>6</v>
      </c>
      <c r="I6" s="25"/>
      <c r="K6" s="26" t="s">
        <v>7</v>
      </c>
      <c r="L6" s="26"/>
    </row>
    <row r="7" customFormat="false" ht="12.75" hidden="false" customHeight="false" outlineLevel="0" collapsed="false">
      <c r="A7" s="27" t="s">
        <v>8</v>
      </c>
      <c r="B7" s="6"/>
      <c r="D7" s="28" t="n">
        <f aca="false">C196+C216</f>
        <v>408.277387096774</v>
      </c>
      <c r="E7" s="29" t="n">
        <f aca="false">696.541-E11-E12</f>
        <v>485.429</v>
      </c>
      <c r="F7" s="28" t="n">
        <v>541.2</v>
      </c>
      <c r="G7" s="30" t="n">
        <f aca="false">D7*1.1</f>
        <v>449.105125806452</v>
      </c>
      <c r="H7" s="31" t="n">
        <f aca="false">D7*0.9</f>
        <v>367.449648387097</v>
      </c>
      <c r="I7" s="32"/>
      <c r="K7" s="33" t="s">
        <v>9</v>
      </c>
      <c r="L7" s="34" t="n">
        <f aca="false">C123</f>
        <v>16.5</v>
      </c>
      <c r="N7" s="0"/>
      <c r="O7" s="0"/>
    </row>
    <row r="8" customFormat="false" ht="12.75" hidden="false" customHeight="false" outlineLevel="0" collapsed="false">
      <c r="A8" s="27" t="s">
        <v>10</v>
      </c>
      <c r="B8" s="6"/>
      <c r="C8" s="35"/>
      <c r="D8" s="36" t="n">
        <f aca="false">65.7+96</f>
        <v>161.7</v>
      </c>
      <c r="E8" s="29" t="n">
        <f aca="false">73.512+94.368</f>
        <v>167.88</v>
      </c>
      <c r="F8" s="37" t="n">
        <f aca="false">74.712+42.511</f>
        <v>117.223</v>
      </c>
      <c r="G8" s="38" t="n">
        <f aca="false">73+105</f>
        <v>178</v>
      </c>
      <c r="H8" s="31" t="n">
        <f aca="false">65.7+60</f>
        <v>125.7</v>
      </c>
      <c r="I8" s="25"/>
      <c r="K8" s="39" t="s">
        <v>11</v>
      </c>
      <c r="L8" s="40" t="n">
        <f aca="false">C124+C200</f>
        <v>0</v>
      </c>
      <c r="N8" s="0"/>
      <c r="O8" s="0"/>
    </row>
    <row r="9" customFormat="false" ht="12.75" hidden="false" customHeight="false" outlineLevel="0" collapsed="false">
      <c r="A9" s="27" t="s">
        <v>12</v>
      </c>
      <c r="B9" s="6"/>
      <c r="C9" s="6"/>
      <c r="D9" s="36" t="n">
        <v>20</v>
      </c>
      <c r="E9" s="29" t="n">
        <f aca="false">38.325-5</f>
        <v>33.325</v>
      </c>
      <c r="F9" s="37" t="n">
        <v>26.906</v>
      </c>
      <c r="G9" s="38" t="n">
        <v>60</v>
      </c>
      <c r="H9" s="31" t="n">
        <v>20</v>
      </c>
      <c r="I9" s="25"/>
      <c r="K9" s="39" t="s">
        <v>13</v>
      </c>
      <c r="L9" s="41" t="n">
        <f aca="false">C130+C202</f>
        <v>13.5483870967742</v>
      </c>
      <c r="N9" s="0"/>
      <c r="O9" s="0"/>
    </row>
    <row r="10" customFormat="false" ht="12.75" hidden="false" customHeight="false" outlineLevel="0" collapsed="false">
      <c r="A10" s="27" t="s">
        <v>14</v>
      </c>
      <c r="B10" s="6"/>
      <c r="C10" s="6"/>
      <c r="D10" s="36" t="n">
        <f aca="false">26.165+1.377</f>
        <v>27.542</v>
      </c>
      <c r="E10" s="29" t="n">
        <v>27</v>
      </c>
      <c r="F10" s="37" t="n">
        <v>86.2</v>
      </c>
      <c r="G10" s="38" t="n">
        <v>0</v>
      </c>
      <c r="H10" s="31" t="n">
        <v>0</v>
      </c>
      <c r="I10" s="42"/>
      <c r="K10" s="39" t="s">
        <v>15</v>
      </c>
      <c r="L10" s="40" t="n">
        <f aca="false">C132+C203</f>
        <v>0</v>
      </c>
      <c r="N10" s="0"/>
      <c r="O10" s="0"/>
    </row>
    <row r="11" customFormat="false" ht="12.75" hidden="false" customHeight="false" outlineLevel="0" collapsed="false">
      <c r="A11" s="27" t="s">
        <v>16</v>
      </c>
      <c r="B11" s="6"/>
      <c r="C11" s="6"/>
      <c r="D11" s="36" t="n">
        <v>120.4</v>
      </c>
      <c r="E11" s="29" t="n">
        <v>114.471</v>
      </c>
      <c r="F11" s="37" t="n">
        <v>75.493</v>
      </c>
      <c r="G11" s="38" t="n">
        <v>145</v>
      </c>
      <c r="H11" s="31" t="n">
        <v>90</v>
      </c>
      <c r="I11" s="25"/>
      <c r="K11" s="39" t="s">
        <v>17</v>
      </c>
      <c r="L11" s="40" t="n">
        <f aca="false">C139+C204</f>
        <v>0</v>
      </c>
      <c r="N11" s="0"/>
      <c r="O11" s="0"/>
    </row>
    <row r="12" customFormat="false" ht="12.75" hidden="false" customHeight="false" outlineLevel="0" collapsed="false">
      <c r="A12" s="27" t="s">
        <v>18</v>
      </c>
      <c r="B12" s="6"/>
      <c r="C12" s="6"/>
      <c r="D12" s="36" t="n">
        <v>95</v>
      </c>
      <c r="E12" s="29" t="n">
        <v>96.641</v>
      </c>
      <c r="F12" s="37" t="n">
        <v>99.506</v>
      </c>
      <c r="G12" s="38" t="n">
        <f aca="false">90*1.05</f>
        <v>94.5</v>
      </c>
      <c r="H12" s="31" t="n">
        <f aca="false">90*0.95</f>
        <v>85.5</v>
      </c>
      <c r="I12" s="25"/>
      <c r="K12" s="39" t="s">
        <v>19</v>
      </c>
      <c r="L12" s="40" t="n">
        <f aca="false">C149+C207</f>
        <v>80</v>
      </c>
      <c r="N12" s="0"/>
      <c r="O12" s="0"/>
    </row>
    <row r="13" customFormat="false" ht="12.75" hidden="false" customHeight="false" outlineLevel="0" collapsed="false">
      <c r="A13" s="27" t="s">
        <v>20</v>
      </c>
      <c r="B13" s="6"/>
      <c r="C13" s="6"/>
      <c r="D13" s="36" t="n">
        <f aca="false">30+25</f>
        <v>55</v>
      </c>
      <c r="E13" s="29" t="n">
        <v>84.809</v>
      </c>
      <c r="F13" s="37" t="n">
        <f aca="false">1839.749/31</f>
        <v>59.3467419354839</v>
      </c>
      <c r="G13" s="38" t="n">
        <v>180</v>
      </c>
      <c r="H13" s="31" t="n">
        <v>0</v>
      </c>
      <c r="I13" s="25"/>
      <c r="J13" s="0"/>
      <c r="K13" s="39" t="s">
        <v>21</v>
      </c>
      <c r="L13" s="40" t="n">
        <f aca="false">C148+C206</f>
        <v>0</v>
      </c>
      <c r="N13" s="0"/>
      <c r="O13" s="0"/>
    </row>
    <row r="14" customFormat="false" ht="12.75" hidden="false" customHeight="false" outlineLevel="0" collapsed="false">
      <c r="A14" s="27" t="s">
        <v>22</v>
      </c>
      <c r="B14" s="6"/>
      <c r="C14" s="6"/>
      <c r="D14" s="37" t="n">
        <f aca="false">B77</f>
        <v>10.558</v>
      </c>
      <c r="E14" s="29" t="n">
        <f aca="false">[1]Dec!D14</f>
        <v>7.558</v>
      </c>
      <c r="F14" s="37" t="n">
        <v>14.9</v>
      </c>
      <c r="G14" s="38" t="n">
        <f aca="false">D14*1.05</f>
        <v>11.0859</v>
      </c>
      <c r="H14" s="31" t="n">
        <f aca="false">D14*0.95</f>
        <v>10.0301</v>
      </c>
      <c r="I14" s="25"/>
      <c r="K14" s="39" t="s">
        <v>23</v>
      </c>
      <c r="L14" s="40" t="n">
        <f aca="false">C152+C208</f>
        <v>35</v>
      </c>
      <c r="N14" s="0"/>
      <c r="O14" s="0"/>
    </row>
    <row r="15" customFormat="false" ht="12.75" hidden="false" customHeight="false" outlineLevel="0" collapsed="false">
      <c r="A15" s="27" t="s">
        <v>24</v>
      </c>
      <c r="B15" s="43"/>
      <c r="C15" s="6"/>
      <c r="D15" s="44" t="n">
        <v>291.638</v>
      </c>
      <c r="E15" s="29" t="n">
        <v>166.972</v>
      </c>
      <c r="F15" s="37" t="n">
        <v>224</v>
      </c>
      <c r="G15" s="38" t="n">
        <v>1174</v>
      </c>
      <c r="H15" s="31" t="n">
        <v>0</v>
      </c>
      <c r="I15" s="25"/>
      <c r="K15" s="39" t="s">
        <v>25</v>
      </c>
      <c r="L15" s="40" t="n">
        <f aca="false">C164+C210</f>
        <v>0</v>
      </c>
      <c r="N15" s="0"/>
      <c r="O15" s="0"/>
      <c r="P15" s="0"/>
    </row>
    <row r="16" customFormat="false" ht="12.75" hidden="false" customHeight="false" outlineLevel="0" collapsed="false">
      <c r="A16" s="27" t="s">
        <v>26</v>
      </c>
      <c r="B16" s="35"/>
      <c r="C16" s="35"/>
      <c r="D16" s="37" t="n">
        <f aca="false">F78-B77</f>
        <v>257.21</v>
      </c>
      <c r="E16" s="29" t="n">
        <f aca="false">[1]Dec!D16</f>
        <v>171.103</v>
      </c>
      <c r="F16" s="37" t="n">
        <v>10</v>
      </c>
      <c r="G16" s="38" t="n">
        <v>0</v>
      </c>
      <c r="H16" s="31" t="n">
        <v>0</v>
      </c>
      <c r="I16" s="45"/>
      <c r="K16" s="39" t="s">
        <v>27</v>
      </c>
      <c r="L16" s="40" t="n">
        <f aca="false">C120</f>
        <v>0</v>
      </c>
      <c r="N16" s="0"/>
      <c r="O16" s="0"/>
    </row>
    <row r="17" customFormat="false" ht="12.75" hidden="false" customHeight="false" outlineLevel="0" collapsed="false">
      <c r="A17" s="27" t="s">
        <v>28</v>
      </c>
      <c r="B17" s="6"/>
      <c r="C17" s="6"/>
      <c r="D17" s="46" t="n">
        <f aca="false">SUM(D7:D16)</f>
        <v>1447.32538709677</v>
      </c>
      <c r="E17" s="46" t="n">
        <f aca="false">SUM(E7:E16)</f>
        <v>1355.188</v>
      </c>
      <c r="F17" s="46" t="n">
        <f aca="false">SUM(F7:F16)</f>
        <v>1254.77474193548</v>
      </c>
      <c r="G17" s="46" t="n">
        <f aca="false">SUM(G7:G16)</f>
        <v>2291.69102580645</v>
      </c>
      <c r="H17" s="47" t="n">
        <f aca="false">SUM(H7:H16)</f>
        <v>698.679748387097</v>
      </c>
      <c r="I17" s="32"/>
      <c r="K17" s="39" t="s">
        <v>29</v>
      </c>
      <c r="L17" s="40" t="n">
        <f aca="false">C182+C212</f>
        <v>40</v>
      </c>
      <c r="N17" s="0"/>
      <c r="O17" s="48"/>
    </row>
    <row r="18" customFormat="false" ht="12.75" hidden="false" customHeight="false" outlineLevel="0" collapsed="false">
      <c r="A18" s="27" t="s">
        <v>30</v>
      </c>
      <c r="B18" s="6"/>
      <c r="C18" s="6"/>
      <c r="D18" s="49" t="n">
        <f aca="false">D29</f>
        <v>-64.5161290322581</v>
      </c>
      <c r="E18" s="50" t="n">
        <v>0</v>
      </c>
      <c r="F18" s="51" t="n">
        <v>0</v>
      </c>
      <c r="G18" s="52" t="n">
        <v>0</v>
      </c>
      <c r="H18" s="53" t="n">
        <v>0</v>
      </c>
      <c r="I18" s="25"/>
      <c r="K18" s="39" t="s">
        <v>31</v>
      </c>
      <c r="L18" s="40" t="n">
        <f aca="false">C183</f>
        <v>19</v>
      </c>
      <c r="N18" s="48"/>
      <c r="O18" s="0"/>
    </row>
    <row r="19" customFormat="false" ht="13.5" hidden="false" customHeight="false" outlineLevel="0" collapsed="false">
      <c r="A19" s="27" t="s">
        <v>32</v>
      </c>
      <c r="B19" s="6"/>
      <c r="C19" s="6"/>
      <c r="D19" s="37" t="n">
        <v>2.5</v>
      </c>
      <c r="E19" s="37" t="n">
        <v>2.5</v>
      </c>
      <c r="F19" s="37" t="n">
        <v>2.5</v>
      </c>
      <c r="G19" s="54" t="n">
        <v>0</v>
      </c>
      <c r="H19" s="53" t="n">
        <v>0</v>
      </c>
      <c r="I19" s="25"/>
      <c r="K19" s="55" t="s">
        <v>33</v>
      </c>
      <c r="L19" s="56" t="n">
        <f aca="false">C187+C215</f>
        <v>65</v>
      </c>
      <c r="N19" s="0"/>
    </row>
    <row r="20" customFormat="false" ht="12.75" hidden="false" customHeight="false" outlineLevel="0" collapsed="false">
      <c r="A20" s="16"/>
      <c r="B20" s="6"/>
      <c r="C20" s="57" t="s">
        <v>34</v>
      </c>
      <c r="D20" s="46" t="n">
        <f aca="false">D19+D18+D17</f>
        <v>1385.30925806452</v>
      </c>
      <c r="E20" s="46" t="n">
        <f aca="false">E19+E18+E17</f>
        <v>1357.688</v>
      </c>
      <c r="F20" s="46" t="n">
        <f aca="false">F19+F18+F17</f>
        <v>1257.27474193548</v>
      </c>
      <c r="G20" s="46" t="n">
        <f aca="false">G19+G18+G17</f>
        <v>2291.69102580645</v>
      </c>
      <c r="H20" s="58" t="n">
        <f aca="false">H19+H18+H17</f>
        <v>698.679748387097</v>
      </c>
      <c r="I20" s="25"/>
      <c r="L20" s="0"/>
    </row>
    <row r="21" customFormat="false" ht="12.75" hidden="false" customHeight="false" outlineLevel="0" collapsed="false">
      <c r="A21" s="27" t="s">
        <v>35</v>
      </c>
      <c r="B21" s="6"/>
      <c r="C21" s="6"/>
      <c r="D21" s="49" t="n">
        <f aca="false">D41</f>
        <v>1168.826</v>
      </c>
      <c r="E21" s="59" t="n">
        <f aca="false">[1]Dec!D21</f>
        <v>1075.428</v>
      </c>
      <c r="F21" s="59" t="n">
        <v>782.9</v>
      </c>
      <c r="G21" s="60" t="n">
        <f aca="false">D21</f>
        <v>1168.826</v>
      </c>
      <c r="H21" s="61" t="n">
        <f aca="false">D21</f>
        <v>1168.826</v>
      </c>
      <c r="I21" s="25"/>
      <c r="L21" s="0"/>
    </row>
    <row r="22" customFormat="false" ht="13.5" hidden="false" customHeight="false" outlineLevel="0" collapsed="false">
      <c r="A22" s="62"/>
      <c r="B22" s="63"/>
      <c r="C22" s="64" t="s">
        <v>36</v>
      </c>
      <c r="D22" s="65" t="n">
        <f aca="false">D21-D20</f>
        <v>-216.483258064516</v>
      </c>
      <c r="E22" s="65" t="n">
        <f aca="false">E20-E21</f>
        <v>282.26</v>
      </c>
      <c r="F22" s="65"/>
      <c r="G22" s="65" t="n">
        <f aca="false">+G20-G21</f>
        <v>1122.86502580645</v>
      </c>
      <c r="H22" s="65" t="n">
        <f aca="false">+(H20-H21)</f>
        <v>-470.146251612903</v>
      </c>
      <c r="I22" s="32"/>
      <c r="L22" s="0"/>
    </row>
    <row r="23" customFormat="false" ht="4.5" hidden="false" customHeight="true" outlineLevel="0" collapsed="false">
      <c r="A23" s="66"/>
      <c r="B23" s="6"/>
      <c r="C23" s="67"/>
      <c r="D23" s="68"/>
      <c r="E23" s="69"/>
      <c r="F23" s="69"/>
      <c r="G23" s="70"/>
      <c r="H23" s="70"/>
      <c r="I23" s="32"/>
      <c r="L23" s="0"/>
    </row>
    <row r="24" customFormat="false" ht="12.75" hidden="false" customHeight="false" outlineLevel="0" collapsed="false">
      <c r="A24" s="16"/>
      <c r="C24" s="71" t="s">
        <v>37</v>
      </c>
      <c r="D24" s="72" t="n">
        <f aca="false">38.059</f>
        <v>38.059</v>
      </c>
      <c r="E24" s="69"/>
      <c r="F24" s="69"/>
      <c r="G24" s="69"/>
      <c r="H24" s="69"/>
      <c r="I24" s="32"/>
      <c r="L24" s="0"/>
    </row>
    <row r="25" customFormat="false" ht="12.75" hidden="false" customHeight="false" outlineLevel="0" collapsed="false">
      <c r="A25" s="16"/>
      <c r="C25" s="73" t="s">
        <v>38</v>
      </c>
      <c r="D25" s="72" t="n">
        <v>0</v>
      </c>
      <c r="E25" s="69"/>
      <c r="F25" s="69"/>
      <c r="G25" s="69"/>
      <c r="H25" s="69"/>
      <c r="I25" s="32"/>
      <c r="L25" s="0"/>
    </row>
    <row r="26" customFormat="false" ht="13.5" hidden="false" customHeight="true" outlineLevel="0" collapsed="false">
      <c r="A26" s="74"/>
      <c r="B26" s="75"/>
      <c r="C26" s="76" t="s">
        <v>39</v>
      </c>
      <c r="D26" s="77" t="n">
        <f aca="false">D22+D25+D24</f>
        <v>-178.424258064516</v>
      </c>
      <c r="E26" s="69"/>
      <c r="F26" s="69"/>
      <c r="G26" s="69"/>
      <c r="H26" s="69"/>
      <c r="I26" s="32"/>
      <c r="J26" s="78"/>
      <c r="K26" s="78"/>
      <c r="L26" s="79"/>
      <c r="M26" s="78"/>
      <c r="N26" s="78"/>
      <c r="O26" s="78"/>
      <c r="P26" s="78"/>
      <c r="Q26" s="78"/>
      <c r="R26" s="78"/>
      <c r="S26" s="78"/>
      <c r="T26" s="78"/>
      <c r="U26" s="78"/>
      <c r="V26" s="78"/>
      <c r="W26" s="78"/>
      <c r="X26" s="78"/>
      <c r="Y26" s="78"/>
      <c r="Z26" s="78"/>
      <c r="AA26" s="78"/>
      <c r="AB26" s="78"/>
      <c r="AC26" s="78"/>
      <c r="AD26" s="78"/>
      <c r="AE26" s="78"/>
      <c r="AF26" s="78"/>
      <c r="AG26" s="78"/>
      <c r="AH26" s="78"/>
      <c r="AI26" s="78"/>
      <c r="AJ26" s="78"/>
      <c r="AK26" s="80"/>
      <c r="AL26" s="80"/>
      <c r="AM26" s="80"/>
      <c r="AN26" s="80"/>
      <c r="AO26" s="80"/>
      <c r="AP26" s="80"/>
      <c r="AQ26" s="80"/>
      <c r="AR26" s="80"/>
      <c r="AS26" s="80"/>
      <c r="AT26" s="80"/>
      <c r="AU26" s="80"/>
      <c r="AV26" s="80"/>
      <c r="AW26" s="80"/>
      <c r="AX26" s="80"/>
      <c r="AY26" s="80"/>
      <c r="AZ26" s="80"/>
      <c r="BA26" s="80"/>
      <c r="BB26" s="80"/>
      <c r="BC26" s="80"/>
      <c r="BD26" s="80"/>
      <c r="BE26" s="80"/>
      <c r="BF26" s="80"/>
      <c r="BG26" s="80"/>
      <c r="BH26" s="80"/>
      <c r="BI26" s="80"/>
      <c r="BJ26" s="80"/>
      <c r="BK26" s="80"/>
      <c r="BL26" s="80"/>
      <c r="BM26" s="80"/>
      <c r="BN26" s="80"/>
      <c r="BO26" s="80"/>
      <c r="BP26" s="80"/>
      <c r="BQ26" s="80"/>
      <c r="BR26" s="80"/>
      <c r="BS26" s="80"/>
      <c r="BT26" s="80"/>
      <c r="BU26" s="80"/>
      <c r="BV26" s="80"/>
      <c r="BW26" s="80"/>
      <c r="BX26" s="80"/>
      <c r="BY26" s="80"/>
      <c r="BZ26" s="80"/>
      <c r="CA26" s="80"/>
      <c r="CB26" s="80"/>
      <c r="CC26" s="80"/>
      <c r="CD26" s="80"/>
      <c r="CE26" s="80"/>
      <c r="CF26" s="80"/>
      <c r="CG26" s="80"/>
      <c r="CH26" s="80"/>
      <c r="CI26" s="80"/>
      <c r="CJ26" s="80"/>
      <c r="CK26" s="80"/>
      <c r="CL26" s="80"/>
      <c r="CM26" s="80"/>
      <c r="CN26" s="80"/>
      <c r="CO26" s="80"/>
      <c r="CP26" s="80"/>
      <c r="CQ26" s="80"/>
      <c r="CR26" s="80"/>
      <c r="CS26" s="80"/>
      <c r="CT26" s="80"/>
      <c r="CU26" s="80"/>
      <c r="CV26" s="80"/>
      <c r="CW26" s="80"/>
      <c r="CX26" s="80"/>
      <c r="CY26" s="80"/>
      <c r="CZ26" s="80"/>
      <c r="DA26" s="80"/>
      <c r="DB26" s="80"/>
      <c r="DC26" s="80"/>
      <c r="DD26" s="80"/>
      <c r="DE26" s="80"/>
      <c r="DF26" s="80"/>
      <c r="DG26" s="80"/>
      <c r="DH26" s="80"/>
      <c r="DI26" s="80"/>
      <c r="DJ26" s="80"/>
      <c r="DK26" s="80"/>
      <c r="DL26" s="80"/>
      <c r="DM26" s="80"/>
      <c r="DN26" s="80"/>
      <c r="DO26" s="80"/>
      <c r="DP26" s="80"/>
      <c r="DQ26" s="80"/>
      <c r="DR26" s="80"/>
      <c r="DS26" s="80"/>
      <c r="DT26" s="80"/>
      <c r="DU26" s="80"/>
      <c r="DV26" s="80"/>
      <c r="DW26" s="80"/>
      <c r="DX26" s="80"/>
      <c r="DY26" s="80"/>
      <c r="DZ26" s="80"/>
      <c r="EA26" s="80"/>
      <c r="EB26" s="80"/>
      <c r="EC26" s="80"/>
      <c r="ED26" s="80"/>
      <c r="EE26" s="80"/>
      <c r="EF26" s="80"/>
      <c r="EG26" s="80"/>
      <c r="EH26" s="80"/>
      <c r="EI26" s="80"/>
      <c r="EJ26" s="80"/>
      <c r="EK26" s="80"/>
      <c r="EL26" s="80"/>
      <c r="EM26" s="80"/>
      <c r="EN26" s="80"/>
      <c r="EO26" s="80"/>
      <c r="EP26" s="80"/>
      <c r="EQ26" s="80"/>
      <c r="ER26" s="80"/>
      <c r="ES26" s="80"/>
      <c r="ET26" s="80"/>
      <c r="EU26" s="80"/>
      <c r="EV26" s="80"/>
      <c r="EW26" s="80"/>
      <c r="EX26" s="80"/>
      <c r="EY26" s="80"/>
      <c r="EZ26" s="80"/>
      <c r="FA26" s="80"/>
      <c r="FB26" s="80"/>
      <c r="FC26" s="80"/>
      <c r="FD26" s="80"/>
      <c r="FE26" s="80"/>
      <c r="FF26" s="80"/>
      <c r="FG26" s="80"/>
      <c r="FH26" s="80"/>
      <c r="FI26" s="80"/>
      <c r="FJ26" s="80"/>
      <c r="FK26" s="80"/>
      <c r="FL26" s="80"/>
      <c r="FM26" s="80"/>
      <c r="FN26" s="80"/>
      <c r="FO26" s="80"/>
      <c r="FP26" s="80"/>
      <c r="FQ26" s="80"/>
      <c r="FR26" s="80"/>
      <c r="FS26" s="80"/>
      <c r="FT26" s="80"/>
      <c r="FU26" s="80"/>
      <c r="FV26" s="80"/>
      <c r="FW26" s="80"/>
      <c r="FX26" s="80"/>
      <c r="FY26" s="80"/>
      <c r="FZ26" s="80"/>
      <c r="GA26" s="80"/>
      <c r="GB26" s="80"/>
      <c r="GC26" s="80"/>
      <c r="GD26" s="80"/>
      <c r="GE26" s="80"/>
      <c r="GF26" s="80"/>
      <c r="GG26" s="80"/>
      <c r="GH26" s="80"/>
      <c r="GI26" s="80"/>
      <c r="GJ26" s="80"/>
      <c r="GK26" s="80"/>
      <c r="GL26" s="80"/>
      <c r="GM26" s="80"/>
      <c r="GN26" s="80"/>
      <c r="GO26" s="80"/>
      <c r="GP26" s="80"/>
      <c r="GQ26" s="80"/>
      <c r="GR26" s="80"/>
      <c r="GS26" s="80"/>
      <c r="GT26" s="80"/>
      <c r="GU26" s="80"/>
      <c r="GV26" s="80"/>
      <c r="GW26" s="80"/>
      <c r="GX26" s="80"/>
      <c r="GY26" s="80"/>
      <c r="GZ26" s="80"/>
      <c r="HA26" s="80"/>
      <c r="HB26" s="80"/>
      <c r="HC26" s="80"/>
      <c r="HD26" s="80"/>
      <c r="HE26" s="80"/>
      <c r="HF26" s="80"/>
      <c r="HG26" s="80"/>
      <c r="HH26" s="80"/>
      <c r="HI26" s="80"/>
      <c r="HJ26" s="80"/>
      <c r="HK26" s="80"/>
      <c r="HL26" s="80"/>
      <c r="HM26" s="80"/>
      <c r="HN26" s="80"/>
      <c r="HO26" s="80"/>
      <c r="HP26" s="80"/>
      <c r="HQ26" s="80"/>
      <c r="HR26" s="80"/>
      <c r="HS26" s="80"/>
      <c r="HT26" s="80"/>
      <c r="HU26" s="80"/>
      <c r="HV26" s="80"/>
      <c r="HW26" s="80"/>
      <c r="HX26" s="80"/>
      <c r="HY26" s="80"/>
      <c r="HZ26" s="80"/>
      <c r="IA26" s="80"/>
      <c r="IB26" s="80"/>
      <c r="IC26" s="80"/>
      <c r="ID26" s="80"/>
      <c r="IE26" s="80"/>
      <c r="IF26" s="80"/>
      <c r="IG26" s="80"/>
      <c r="IH26" s="80"/>
      <c r="II26" s="80"/>
      <c r="IJ26" s="80"/>
      <c r="IK26" s="80"/>
      <c r="IL26" s="80"/>
      <c r="IM26" s="80"/>
      <c r="IN26" s="80"/>
      <c r="IO26" s="80"/>
      <c r="IP26" s="80"/>
      <c r="IQ26" s="80"/>
      <c r="IR26" s="80"/>
      <c r="IS26" s="80"/>
      <c r="IT26" s="80"/>
      <c r="IU26" s="80"/>
      <c r="IV26" s="80"/>
      <c r="IW26" s="80"/>
    </row>
    <row r="27" customFormat="false" ht="8.25" hidden="false" customHeight="true" outlineLevel="0" collapsed="false">
      <c r="A27" s="81"/>
      <c r="B27" s="82"/>
      <c r="C27" s="83"/>
      <c r="D27" s="84"/>
      <c r="E27" s="6"/>
      <c r="F27" s="6"/>
      <c r="G27" s="85"/>
      <c r="H27" s="86"/>
      <c r="I27" s="87"/>
      <c r="L27" s="0"/>
    </row>
    <row r="28" customFormat="false" ht="13.5" hidden="false" customHeight="false" outlineLevel="0" collapsed="false">
      <c r="A28" s="88" t="s">
        <v>40</v>
      </c>
      <c r="B28" s="88"/>
      <c r="C28" s="88"/>
      <c r="D28" s="88"/>
      <c r="E28" s="89" t="s">
        <v>41</v>
      </c>
      <c r="F28" s="89"/>
      <c r="G28" s="89"/>
      <c r="H28" s="89"/>
      <c r="I28" s="90" t="s">
        <v>42</v>
      </c>
      <c r="J28" s="90"/>
      <c r="L28" s="0"/>
    </row>
    <row r="29" customFormat="false" ht="13.5" hidden="false" customHeight="false" outlineLevel="0" collapsed="false">
      <c r="A29" s="27" t="s">
        <v>43</v>
      </c>
      <c r="B29" s="85"/>
      <c r="C29" s="85"/>
      <c r="D29" s="91" t="n">
        <f aca="false">(B30+B31)/31</f>
        <v>-64.5161290322581</v>
      </c>
      <c r="E29" s="92" t="s">
        <v>44</v>
      </c>
      <c r="F29" s="92"/>
      <c r="G29" s="90" t="s">
        <v>45</v>
      </c>
      <c r="H29" s="90"/>
      <c r="I29" s="93" t="s">
        <v>46</v>
      </c>
      <c r="J29" s="94" t="s">
        <v>47</v>
      </c>
      <c r="L29" s="0"/>
    </row>
    <row r="30" customFormat="false" ht="13.5" hidden="false" customHeight="false" outlineLevel="0" collapsed="false">
      <c r="A30" s="16" t="s">
        <v>48</v>
      </c>
      <c r="B30" s="95" t="n">
        <v>-2000</v>
      </c>
      <c r="C30" s="0" t="s">
        <v>49</v>
      </c>
      <c r="D30" s="96"/>
      <c r="E30" s="97" t="s">
        <v>50</v>
      </c>
      <c r="F30" s="98" t="n">
        <v>42</v>
      </c>
      <c r="G30" s="99" t="s">
        <v>51</v>
      </c>
      <c r="H30" s="100" t="n">
        <v>1.2</v>
      </c>
      <c r="I30" s="101" t="n">
        <f aca="false">37.5+5+25</f>
        <v>67.5</v>
      </c>
      <c r="J30" s="102" t="n">
        <f aca="false">45+10</f>
        <v>55</v>
      </c>
      <c r="K30" s="0"/>
    </row>
    <row r="31" customFormat="false" ht="13.5" hidden="false" customHeight="false" outlineLevel="0" collapsed="false">
      <c r="A31" s="16" t="s">
        <v>52</v>
      </c>
      <c r="B31" s="103" t="n">
        <v>0</v>
      </c>
      <c r="C31" s="6"/>
      <c r="D31" s="104"/>
      <c r="E31" s="105" t="s">
        <v>53</v>
      </c>
      <c r="F31" s="106" t="n">
        <v>9</v>
      </c>
      <c r="G31" s="99" t="s">
        <v>54</v>
      </c>
      <c r="H31" s="100" t="n">
        <v>0.66</v>
      </c>
      <c r="I31" s="107" t="s">
        <v>55</v>
      </c>
      <c r="J31" s="108" t="n">
        <f aca="false">+I30-J30</f>
        <v>12.5</v>
      </c>
      <c r="K31" s="109"/>
      <c r="L31" s="109"/>
    </row>
    <row r="32" customFormat="false" ht="13.5" hidden="false" customHeight="false" outlineLevel="0" collapsed="false">
      <c r="A32" s="110"/>
      <c r="B32" s="63"/>
      <c r="C32" s="63"/>
      <c r="D32" s="111"/>
      <c r="E32" s="97" t="s">
        <v>56</v>
      </c>
      <c r="F32" s="98" t="n">
        <v>25</v>
      </c>
      <c r="G32" s="99" t="s">
        <v>57</v>
      </c>
      <c r="H32" s="100" t="n">
        <v>2</v>
      </c>
      <c r="I32" s="0"/>
      <c r="J32" s="0"/>
      <c r="K32" s="112"/>
      <c r="L32" s="112"/>
    </row>
    <row r="33" customFormat="false" ht="13.5" hidden="false" customHeight="false" outlineLevel="0" collapsed="false">
      <c r="A33" s="113"/>
      <c r="B33" s="114"/>
      <c r="C33" s="114"/>
      <c r="D33" s="115"/>
      <c r="E33" s="97" t="s">
        <v>58</v>
      </c>
      <c r="F33" s="98" t="n">
        <v>2</v>
      </c>
      <c r="G33" s="99" t="s">
        <v>59</v>
      </c>
      <c r="H33" s="100" t="n">
        <v>0.861</v>
      </c>
      <c r="I33" s="90" t="s">
        <v>60</v>
      </c>
      <c r="J33" s="90"/>
      <c r="K33" s="87"/>
      <c r="L33" s="87"/>
    </row>
    <row r="34" customFormat="false" ht="13.5" hidden="false" customHeight="false" outlineLevel="0" collapsed="false">
      <c r="A34" s="116" t="s">
        <v>61</v>
      </c>
      <c r="B34" s="116"/>
      <c r="C34" s="116"/>
      <c r="D34" s="116"/>
      <c r="E34" s="117" t="s">
        <v>62</v>
      </c>
      <c r="F34" s="118" t="n">
        <v>0.9</v>
      </c>
      <c r="G34" s="119" t="s">
        <v>63</v>
      </c>
      <c r="H34" s="120" t="n">
        <v>0.01</v>
      </c>
      <c r="I34" s="93" t="s">
        <v>64</v>
      </c>
      <c r="J34" s="94" t="s">
        <v>65</v>
      </c>
      <c r="K34" s="0"/>
      <c r="L34" s="0"/>
    </row>
    <row r="35" customFormat="false" ht="13.5" hidden="false" customHeight="false" outlineLevel="0" collapsed="false">
      <c r="A35" s="27"/>
      <c r="B35" s="6"/>
      <c r="C35" s="6"/>
      <c r="D35" s="121"/>
      <c r="E35" s="117" t="s">
        <v>66</v>
      </c>
      <c r="F35" s="118" t="n">
        <v>6</v>
      </c>
      <c r="G35" s="119"/>
      <c r="H35" s="120"/>
      <c r="I35" s="122" t="n">
        <v>0</v>
      </c>
      <c r="J35" s="123" t="n">
        <f aca="false">-30+20</f>
        <v>-10</v>
      </c>
      <c r="K35" s="0"/>
      <c r="L35" s="0"/>
    </row>
    <row r="36" customFormat="false" ht="13.5" hidden="false" customHeight="false" outlineLevel="0" collapsed="false">
      <c r="A36" s="27" t="s">
        <v>67</v>
      </c>
      <c r="B36" s="6"/>
      <c r="C36" s="6"/>
      <c r="D36" s="124" t="n">
        <f aca="false">K196/1000</f>
        <v>91.921</v>
      </c>
      <c r="E36" s="117"/>
      <c r="F36" s="118"/>
      <c r="G36" s="119"/>
      <c r="H36" s="120"/>
      <c r="I36" s="125" t="s">
        <v>68</v>
      </c>
      <c r="J36" s="94" t="s">
        <v>69</v>
      </c>
      <c r="K36" s="126"/>
      <c r="L36" s="0"/>
    </row>
    <row r="37" customFormat="false" ht="13.5" hidden="false" customHeight="false" outlineLevel="0" collapsed="false">
      <c r="A37" s="27" t="s">
        <v>70</v>
      </c>
      <c r="B37" s="6"/>
      <c r="C37" s="6"/>
      <c r="D37" s="121" t="n">
        <f aca="false">L78</f>
        <v>415.578</v>
      </c>
      <c r="E37" s="117"/>
      <c r="F37" s="118"/>
      <c r="G37" s="127"/>
      <c r="H37" s="128"/>
      <c r="I37" s="129" t="n">
        <v>30</v>
      </c>
      <c r="J37" s="130" t="n">
        <v>0</v>
      </c>
      <c r="K37" s="126"/>
      <c r="L37" s="0"/>
    </row>
    <row r="38" customFormat="false" ht="13.5" hidden="false" customHeight="false" outlineLevel="0" collapsed="false">
      <c r="A38" s="27" t="s">
        <v>71</v>
      </c>
      <c r="B38" s="6"/>
      <c r="C38" s="6"/>
      <c r="D38" s="131" t="n">
        <v>40</v>
      </c>
      <c r="E38" s="117"/>
      <c r="F38" s="118"/>
      <c r="G38" s="127"/>
      <c r="H38" s="128"/>
      <c r="I38" s="132" t="s">
        <v>72</v>
      </c>
      <c r="J38" s="108" t="n">
        <f aca="false">J31+I35+J35+I37+J37</f>
        <v>32.5</v>
      </c>
      <c r="K38" s="126"/>
      <c r="L38" s="0"/>
    </row>
    <row r="39" customFormat="false" ht="13.5" hidden="false" customHeight="false" outlineLevel="0" collapsed="false">
      <c r="A39" s="27" t="s">
        <v>73</v>
      </c>
      <c r="B39" s="6"/>
      <c r="C39" s="6"/>
      <c r="D39" s="133" t="n">
        <f aca="false">637.762+14-19.33-2.759-7.672-0.148-0.7+0.16-0.2+0.214</f>
        <v>621.327</v>
      </c>
      <c r="E39" s="117"/>
      <c r="F39" s="118"/>
      <c r="G39" s="6"/>
      <c r="H39" s="7"/>
      <c r="K39" s="0"/>
      <c r="L39" s="0"/>
    </row>
    <row r="40" customFormat="false" ht="13.5" hidden="false" customHeight="false" outlineLevel="0" collapsed="false">
      <c r="A40" s="27"/>
      <c r="B40" s="6"/>
      <c r="C40" s="6"/>
      <c r="D40" s="121"/>
      <c r="E40" s="117"/>
      <c r="F40" s="118"/>
      <c r="G40" s="6"/>
      <c r="H40" s="7"/>
      <c r="I40" s="90" t="s">
        <v>74</v>
      </c>
      <c r="J40" s="90"/>
      <c r="K40" s="0"/>
      <c r="L40" s="0"/>
    </row>
    <row r="41" customFormat="false" ht="13.5" hidden="false" customHeight="false" outlineLevel="0" collapsed="false">
      <c r="A41" s="62"/>
      <c r="B41" s="134" t="s">
        <v>75</v>
      </c>
      <c r="C41" s="135" t="str">
        <f aca="false">+F5</f>
        <v>January</v>
      </c>
      <c r="D41" s="136" t="n">
        <f aca="false">SUM(D36:D39)</f>
        <v>1168.826</v>
      </c>
      <c r="E41" s="137" t="s">
        <v>76</v>
      </c>
      <c r="F41" s="136" t="n">
        <f aca="false">SUM(F30:F39)</f>
        <v>84.9</v>
      </c>
      <c r="G41" s="137" t="s">
        <v>76</v>
      </c>
      <c r="H41" s="136" t="n">
        <f aca="false">SUM(H30:H40)</f>
        <v>4.731</v>
      </c>
      <c r="I41" s="0"/>
      <c r="J41" s="108" t="n">
        <v>15</v>
      </c>
      <c r="K41" s="0"/>
      <c r="L41" s="0"/>
    </row>
    <row r="42" customFormat="false" ht="12.75" hidden="false" customHeight="false" outlineLevel="0" collapsed="false"/>
    <row r="43" customFormat="false" ht="12.75" hidden="false" customHeight="false" outlineLevel="0" collapsed="false">
      <c r="A43" s="138" t="s">
        <v>77</v>
      </c>
      <c r="B43" s="138"/>
      <c r="C43" s="138"/>
      <c r="D43" s="138"/>
      <c r="E43" s="139"/>
      <c r="F43" s="140"/>
      <c r="G43" s="93" t="s">
        <v>78</v>
      </c>
      <c r="H43" s="93"/>
      <c r="I43" s="93"/>
      <c r="J43" s="93"/>
      <c r="K43" s="93"/>
      <c r="L43" s="93"/>
      <c r="P43" s="1" t="s">
        <v>79</v>
      </c>
    </row>
    <row r="44" customFormat="false" ht="12" hidden="false" customHeight="false" outlineLevel="0" collapsed="false">
      <c r="A44" s="141" t="s">
        <v>80</v>
      </c>
      <c r="B44" s="141"/>
      <c r="C44" s="142" t="s">
        <v>81</v>
      </c>
      <c r="D44" s="142"/>
      <c r="E44" s="143" t="s">
        <v>82</v>
      </c>
      <c r="F44" s="143"/>
      <c r="G44" s="144"/>
      <c r="H44" s="142"/>
      <c r="I44" s="142" t="s">
        <v>81</v>
      </c>
      <c r="J44" s="142"/>
      <c r="K44" s="143" t="s">
        <v>82</v>
      </c>
      <c r="L44" s="143"/>
      <c r="P44" s="1" t="s">
        <v>83</v>
      </c>
      <c r="Q44" s="1" t="n">
        <v>6789</v>
      </c>
      <c r="R44" s="1" t="n">
        <v>8000</v>
      </c>
    </row>
    <row r="45" customFormat="false" ht="12" hidden="false" customHeight="false" outlineLevel="0" collapsed="false">
      <c r="A45" s="145" t="s">
        <v>84</v>
      </c>
      <c r="B45" s="146" t="n">
        <v>0.2</v>
      </c>
      <c r="C45" s="147" t="s">
        <v>85</v>
      </c>
      <c r="D45" s="146" t="n">
        <v>10</v>
      </c>
      <c r="E45" s="148" t="s">
        <v>86</v>
      </c>
      <c r="F45" s="146" t="n">
        <v>4</v>
      </c>
      <c r="G45" s="149"/>
      <c r="H45" s="150"/>
      <c r="I45" s="147" t="s">
        <v>87</v>
      </c>
      <c r="J45" s="151" t="n">
        <v>40</v>
      </c>
      <c r="K45" s="147" t="s">
        <v>88</v>
      </c>
      <c r="L45" s="152" t="n">
        <v>25</v>
      </c>
    </row>
    <row r="46" customFormat="false" ht="12" hidden="false" customHeight="false" outlineLevel="0" collapsed="false">
      <c r="A46" s="145" t="s">
        <v>89</v>
      </c>
      <c r="B46" s="146" t="n">
        <v>0.212</v>
      </c>
      <c r="C46" s="147" t="s">
        <v>84</v>
      </c>
      <c r="D46" s="146" t="n">
        <v>5</v>
      </c>
      <c r="E46" s="147" t="s">
        <v>90</v>
      </c>
      <c r="F46" s="152" t="n">
        <v>28</v>
      </c>
      <c r="G46" s="149"/>
      <c r="H46" s="150"/>
      <c r="I46" s="153" t="s">
        <v>91</v>
      </c>
      <c r="J46" s="154" t="n">
        <v>10</v>
      </c>
      <c r="K46" s="147" t="s">
        <v>90</v>
      </c>
      <c r="L46" s="152" t="n">
        <v>28</v>
      </c>
    </row>
    <row r="47" customFormat="false" ht="12" hidden="false" customHeight="false" outlineLevel="0" collapsed="false">
      <c r="A47" s="145" t="s">
        <v>92</v>
      </c>
      <c r="B47" s="146" t="n">
        <v>0.048</v>
      </c>
      <c r="C47" s="147" t="s">
        <v>15</v>
      </c>
      <c r="D47" s="146" t="n">
        <v>5</v>
      </c>
      <c r="E47" s="155" t="s">
        <v>93</v>
      </c>
      <c r="F47" s="152" t="n">
        <v>10</v>
      </c>
      <c r="G47" s="149"/>
      <c r="H47" s="150"/>
      <c r="I47" s="153" t="s">
        <v>94</v>
      </c>
      <c r="J47" s="146" t="n">
        <v>20</v>
      </c>
      <c r="K47" s="147" t="s">
        <v>95</v>
      </c>
      <c r="L47" s="152" t="n">
        <v>20</v>
      </c>
    </row>
    <row r="48" customFormat="false" ht="12" hidden="false" customHeight="false" outlineLevel="0" collapsed="false">
      <c r="A48" s="145" t="s">
        <v>96</v>
      </c>
      <c r="B48" s="146" t="n">
        <v>0.45</v>
      </c>
      <c r="C48" s="147" t="s">
        <v>97</v>
      </c>
      <c r="D48" s="146" t="n">
        <v>4</v>
      </c>
      <c r="E48" s="147" t="s">
        <v>98</v>
      </c>
      <c r="F48" s="152" t="n">
        <v>10</v>
      </c>
      <c r="G48" s="149"/>
      <c r="H48" s="150"/>
      <c r="I48" s="153" t="s">
        <v>99</v>
      </c>
      <c r="J48" s="146" t="n">
        <v>20</v>
      </c>
      <c r="K48" s="147" t="s">
        <v>100</v>
      </c>
      <c r="L48" s="152" t="n">
        <v>5</v>
      </c>
    </row>
    <row r="49" customFormat="false" ht="12" hidden="false" customHeight="false" outlineLevel="0" collapsed="false">
      <c r="A49" s="145" t="s">
        <v>101</v>
      </c>
      <c r="B49" s="146" t="n">
        <v>0.048</v>
      </c>
      <c r="C49" s="147" t="s">
        <v>58</v>
      </c>
      <c r="D49" s="146" t="n">
        <v>2</v>
      </c>
      <c r="E49" s="147"/>
      <c r="F49" s="152"/>
      <c r="G49" s="149"/>
      <c r="H49" s="150"/>
      <c r="I49" s="153" t="s">
        <v>102</v>
      </c>
      <c r="J49" s="146" t="n">
        <v>4</v>
      </c>
      <c r="K49" s="147"/>
      <c r="L49" s="152"/>
    </row>
    <row r="50" customFormat="false" ht="12" hidden="false" customHeight="false" outlineLevel="0" collapsed="false">
      <c r="A50" s="145"/>
      <c r="B50" s="146"/>
      <c r="C50" s="156" t="s">
        <v>103</v>
      </c>
      <c r="D50" s="157" t="n">
        <v>7.21</v>
      </c>
      <c r="E50" s="158" t="n">
        <v>36516</v>
      </c>
      <c r="F50" s="159"/>
      <c r="G50" s="149"/>
      <c r="H50" s="150"/>
      <c r="I50" s="153" t="s">
        <v>104</v>
      </c>
      <c r="J50" s="146" t="n">
        <v>33.7</v>
      </c>
      <c r="K50" s="158" t="n">
        <v>36516</v>
      </c>
      <c r="L50" s="159"/>
    </row>
    <row r="51" customFormat="false" ht="12" hidden="false" customHeight="false" outlineLevel="0" collapsed="false">
      <c r="A51" s="145" t="s">
        <v>105</v>
      </c>
      <c r="B51" s="146" t="n">
        <v>0.5</v>
      </c>
      <c r="C51" s="147" t="s">
        <v>21</v>
      </c>
      <c r="D51" s="146" t="n">
        <v>35</v>
      </c>
      <c r="E51" s="147" t="s">
        <v>106</v>
      </c>
      <c r="F51" s="152" t="n">
        <v>10</v>
      </c>
      <c r="G51" s="149"/>
      <c r="H51" s="150"/>
      <c r="I51" s="153" t="s">
        <v>107</v>
      </c>
      <c r="J51" s="146" t="n">
        <v>15</v>
      </c>
      <c r="K51" s="147" t="s">
        <v>108</v>
      </c>
      <c r="L51" s="152" t="n">
        <v>5</v>
      </c>
    </row>
    <row r="52" customFormat="false" ht="12" hidden="false" customHeight="false" outlineLevel="0" collapsed="false">
      <c r="A52" s="145" t="s">
        <v>109</v>
      </c>
      <c r="B52" s="146" t="n">
        <v>9.1</v>
      </c>
      <c r="C52" s="147" t="s">
        <v>110</v>
      </c>
      <c r="D52" s="146" t="n">
        <v>30</v>
      </c>
      <c r="E52" s="147" t="s">
        <v>111</v>
      </c>
      <c r="F52" s="152" t="n">
        <v>10</v>
      </c>
      <c r="G52" s="149"/>
      <c r="H52" s="150"/>
      <c r="I52" s="153" t="s">
        <v>112</v>
      </c>
      <c r="J52" s="146" t="n">
        <v>2</v>
      </c>
      <c r="K52" s="147" t="s">
        <v>113</v>
      </c>
      <c r="L52" s="152" t="n">
        <v>10</v>
      </c>
    </row>
    <row r="53" customFormat="false" ht="12" hidden="false" customHeight="false" outlineLevel="0" collapsed="false">
      <c r="A53" s="145"/>
      <c r="B53" s="146"/>
      <c r="C53" s="147" t="s">
        <v>98</v>
      </c>
      <c r="D53" s="146" t="n">
        <v>2.5</v>
      </c>
      <c r="E53" s="147" t="s">
        <v>114</v>
      </c>
      <c r="F53" s="152" t="n">
        <v>2</v>
      </c>
      <c r="G53" s="149"/>
      <c r="H53" s="150"/>
      <c r="I53" s="153" t="s">
        <v>115</v>
      </c>
      <c r="J53" s="146" t="n">
        <v>30</v>
      </c>
      <c r="K53" s="147" t="s">
        <v>116</v>
      </c>
      <c r="L53" s="152" t="n">
        <v>5</v>
      </c>
    </row>
    <row r="54" customFormat="false" ht="12" hidden="false" customHeight="false" outlineLevel="0" collapsed="false">
      <c r="A54" s="149"/>
      <c r="B54" s="150"/>
      <c r="C54" s="147" t="s">
        <v>56</v>
      </c>
      <c r="D54" s="146" t="n">
        <v>15</v>
      </c>
      <c r="E54" s="147"/>
      <c r="F54" s="152"/>
      <c r="G54" s="149"/>
      <c r="H54" s="150"/>
      <c r="I54" s="153" t="s">
        <v>117</v>
      </c>
      <c r="J54" s="146" t="n">
        <v>5</v>
      </c>
      <c r="K54" s="147" t="s">
        <v>118</v>
      </c>
      <c r="L54" s="152" t="n">
        <f aca="false">6.345+0.18</f>
        <v>6.525</v>
      </c>
    </row>
    <row r="55" customFormat="false" ht="12" hidden="false" customHeight="false" outlineLevel="0" collapsed="false">
      <c r="A55" s="149"/>
      <c r="B55" s="150"/>
      <c r="C55" s="147" t="s">
        <v>119</v>
      </c>
      <c r="D55" s="146" t="n">
        <v>5</v>
      </c>
      <c r="E55" s="147" t="s">
        <v>120</v>
      </c>
      <c r="F55" s="152"/>
      <c r="G55" s="149"/>
      <c r="H55" s="150"/>
      <c r="I55" s="153" t="s">
        <v>121</v>
      </c>
      <c r="J55" s="146" t="n">
        <v>20</v>
      </c>
      <c r="K55" s="147" t="s">
        <v>122</v>
      </c>
      <c r="L55" s="152" t="n">
        <f aca="false">12.1+7.8</f>
        <v>19.9</v>
      </c>
    </row>
    <row r="56" customFormat="false" ht="12" hidden="false" customHeight="false" outlineLevel="0" collapsed="false">
      <c r="A56" s="149"/>
      <c r="B56" s="150"/>
      <c r="C56" s="147" t="s">
        <v>123</v>
      </c>
      <c r="D56" s="146" t="n">
        <v>20</v>
      </c>
      <c r="E56" s="147" t="s">
        <v>124</v>
      </c>
      <c r="F56" s="146"/>
      <c r="G56" s="149"/>
      <c r="H56" s="150"/>
      <c r="I56" s="153"/>
      <c r="J56" s="146"/>
      <c r="K56" s="158" t="n">
        <v>36516</v>
      </c>
      <c r="L56" s="159"/>
    </row>
    <row r="57" customFormat="false" ht="12" hidden="false" customHeight="false" outlineLevel="0" collapsed="false">
      <c r="A57" s="149"/>
      <c r="B57" s="150"/>
      <c r="C57" s="147" t="s">
        <v>125</v>
      </c>
      <c r="D57" s="146" t="n">
        <v>4.5</v>
      </c>
      <c r="E57" s="147" t="s">
        <v>126</v>
      </c>
      <c r="F57" s="160"/>
      <c r="G57" s="149"/>
      <c r="H57" s="150"/>
      <c r="I57" s="153"/>
      <c r="J57" s="146"/>
      <c r="K57" s="147" t="s">
        <v>127</v>
      </c>
      <c r="L57" s="152" t="n">
        <v>4.72</v>
      </c>
    </row>
    <row r="58" customFormat="false" ht="12" hidden="false" customHeight="false" outlineLevel="0" collapsed="false">
      <c r="A58" s="149"/>
      <c r="B58" s="150"/>
      <c r="C58" s="147" t="s">
        <v>109</v>
      </c>
      <c r="D58" s="146" t="n">
        <v>8</v>
      </c>
      <c r="E58" s="147"/>
      <c r="F58" s="161"/>
      <c r="G58" s="149"/>
      <c r="H58" s="150"/>
      <c r="I58" s="153"/>
      <c r="J58" s="146"/>
      <c r="K58" s="147"/>
      <c r="L58" s="152"/>
    </row>
    <row r="59" customFormat="false" ht="12" hidden="false" customHeight="false" outlineLevel="0" collapsed="false">
      <c r="A59" s="149"/>
      <c r="B59" s="150"/>
      <c r="C59" s="147" t="s">
        <v>128</v>
      </c>
      <c r="D59" s="146" t="n">
        <v>2</v>
      </c>
      <c r="E59" s="147"/>
      <c r="F59" s="160"/>
      <c r="G59" s="149"/>
      <c r="H59" s="150"/>
      <c r="I59" s="153"/>
      <c r="J59" s="146"/>
      <c r="K59" s="147"/>
      <c r="L59" s="152"/>
    </row>
    <row r="60" customFormat="false" ht="12" hidden="false" customHeight="false" outlineLevel="0" collapsed="false">
      <c r="A60" s="149"/>
      <c r="B60" s="150"/>
      <c r="C60" s="147"/>
      <c r="D60" s="146"/>
      <c r="E60" s="147"/>
      <c r="F60" s="161"/>
      <c r="G60" s="149"/>
      <c r="H60" s="150"/>
      <c r="I60" s="153"/>
      <c r="J60" s="146"/>
      <c r="K60" s="147"/>
      <c r="L60" s="152"/>
    </row>
    <row r="61" customFormat="false" ht="12" hidden="false" customHeight="false" outlineLevel="0" collapsed="false">
      <c r="A61" s="149"/>
      <c r="B61" s="150"/>
      <c r="C61" s="147"/>
      <c r="D61" s="146"/>
      <c r="E61" s="147"/>
      <c r="F61" s="161"/>
      <c r="G61" s="149"/>
      <c r="H61" s="150"/>
      <c r="I61" s="153"/>
      <c r="J61" s="146"/>
      <c r="K61" s="147"/>
      <c r="L61" s="152"/>
    </row>
    <row r="62" customFormat="false" ht="12" hidden="false" customHeight="false" outlineLevel="0" collapsed="false">
      <c r="A62" s="149"/>
      <c r="B62" s="150"/>
      <c r="C62" s="147"/>
      <c r="D62" s="146"/>
      <c r="E62" s="147"/>
      <c r="F62" s="161"/>
      <c r="G62" s="149"/>
      <c r="H62" s="150"/>
      <c r="I62" s="153"/>
      <c r="J62" s="146"/>
      <c r="K62" s="147"/>
      <c r="L62" s="152"/>
    </row>
    <row r="63" customFormat="false" ht="12" hidden="false" customHeight="false" outlineLevel="0" collapsed="false">
      <c r="A63" s="162"/>
      <c r="B63" s="163"/>
      <c r="C63" s="147"/>
      <c r="D63" s="146"/>
      <c r="E63" s="147"/>
      <c r="F63" s="160"/>
      <c r="G63" s="149"/>
      <c r="H63" s="150"/>
      <c r="I63" s="153"/>
      <c r="J63" s="146"/>
      <c r="K63" s="147"/>
      <c r="L63" s="152"/>
    </row>
    <row r="64" customFormat="false" ht="12" hidden="false" customHeight="false" outlineLevel="0" collapsed="false">
      <c r="A64" s="162"/>
      <c r="B64" s="163"/>
      <c r="C64" s="164" t="s">
        <v>129</v>
      </c>
      <c r="D64" s="165"/>
      <c r="E64" s="166"/>
      <c r="F64" s="167"/>
      <c r="G64" s="149"/>
      <c r="H64" s="150"/>
      <c r="I64" s="164" t="s">
        <v>129</v>
      </c>
      <c r="J64" s="168"/>
      <c r="K64" s="169"/>
      <c r="L64" s="170"/>
    </row>
    <row r="65" customFormat="false" ht="12" hidden="false" customHeight="false" outlineLevel="0" collapsed="false">
      <c r="A65" s="162"/>
      <c r="B65" s="163"/>
      <c r="C65" s="147" t="s">
        <v>130</v>
      </c>
      <c r="D65" s="146" t="n">
        <v>18</v>
      </c>
      <c r="E65" s="147"/>
      <c r="F65" s="152"/>
      <c r="G65" s="171"/>
      <c r="H65" s="150"/>
      <c r="I65" s="147" t="s">
        <v>113</v>
      </c>
      <c r="J65" s="146" t="n">
        <v>5</v>
      </c>
      <c r="K65" s="147" t="s">
        <v>121</v>
      </c>
      <c r="L65" s="152" t="n">
        <v>5</v>
      </c>
    </row>
    <row r="66" customFormat="false" ht="12" hidden="false" customHeight="false" outlineLevel="0" collapsed="false">
      <c r="A66" s="162"/>
      <c r="B66" s="163"/>
      <c r="C66" s="147" t="s">
        <v>131</v>
      </c>
      <c r="D66" s="146" t="n">
        <v>10</v>
      </c>
      <c r="E66" s="147"/>
      <c r="F66" s="152"/>
      <c r="G66" s="149"/>
      <c r="H66" s="150"/>
      <c r="I66" s="147" t="s">
        <v>132</v>
      </c>
      <c r="J66" s="146" t="n">
        <v>8</v>
      </c>
      <c r="K66" s="147"/>
      <c r="L66" s="152"/>
    </row>
    <row r="67" customFormat="false" ht="12" hidden="false" customHeight="false" outlineLevel="0" collapsed="false">
      <c r="A67" s="162"/>
      <c r="B67" s="163"/>
      <c r="C67" s="147"/>
      <c r="D67" s="146"/>
      <c r="E67" s="147"/>
      <c r="F67" s="152"/>
      <c r="G67" s="149"/>
      <c r="H67" s="150"/>
      <c r="I67" s="147" t="s">
        <v>111</v>
      </c>
      <c r="J67" s="146" t="n">
        <v>5</v>
      </c>
      <c r="K67" s="147"/>
      <c r="L67" s="152"/>
    </row>
    <row r="68" customFormat="false" ht="12" hidden="false" customHeight="false" outlineLevel="0" collapsed="false">
      <c r="A68" s="162"/>
      <c r="B68" s="163"/>
      <c r="C68" s="147"/>
      <c r="D68" s="146"/>
      <c r="E68" s="147"/>
      <c r="F68" s="152"/>
      <c r="G68" s="149"/>
      <c r="H68" s="150"/>
      <c r="I68" s="147" t="s">
        <v>133</v>
      </c>
      <c r="J68" s="146" t="n">
        <v>10</v>
      </c>
      <c r="K68" s="158" t="n">
        <v>36516</v>
      </c>
      <c r="L68" s="159"/>
    </row>
    <row r="69" customFormat="false" ht="12" hidden="false" customHeight="false" outlineLevel="0" collapsed="false">
      <c r="A69" s="162"/>
      <c r="B69" s="163"/>
      <c r="C69" s="172"/>
      <c r="D69" s="163"/>
      <c r="E69" s="147"/>
      <c r="F69" s="152"/>
      <c r="G69" s="149"/>
      <c r="H69" s="150"/>
      <c r="I69" s="171"/>
      <c r="J69" s="150"/>
      <c r="K69" s="147" t="s">
        <v>134</v>
      </c>
      <c r="L69" s="152" t="n">
        <v>5</v>
      </c>
    </row>
    <row r="70" customFormat="false" ht="12" hidden="false" customHeight="false" outlineLevel="0" collapsed="false">
      <c r="A70" s="162"/>
      <c r="B70" s="163"/>
      <c r="C70" s="172"/>
      <c r="D70" s="163"/>
      <c r="E70" s="147"/>
      <c r="F70" s="152"/>
      <c r="G70" s="149"/>
      <c r="H70" s="150"/>
      <c r="I70" s="171"/>
      <c r="J70" s="150"/>
      <c r="K70" s="147" t="s">
        <v>99</v>
      </c>
      <c r="L70" s="152" t="n">
        <f aca="false">6.533+3.5</f>
        <v>10.033</v>
      </c>
    </row>
    <row r="71" customFormat="false" ht="12" hidden="false" customHeight="false" outlineLevel="0" collapsed="false">
      <c r="A71" s="162"/>
      <c r="B71" s="163"/>
      <c r="C71" s="172"/>
      <c r="D71" s="163"/>
      <c r="E71" s="147"/>
      <c r="F71" s="152"/>
      <c r="G71" s="149"/>
      <c r="H71" s="150"/>
      <c r="I71" s="171"/>
      <c r="J71" s="150"/>
      <c r="K71" s="147" t="s">
        <v>135</v>
      </c>
      <c r="L71" s="152" t="n">
        <f aca="false">15.5+10.7</f>
        <v>26.2</v>
      </c>
    </row>
    <row r="72" customFormat="false" ht="12" hidden="false" customHeight="false" outlineLevel="0" collapsed="false">
      <c r="A72" s="162"/>
      <c r="B72" s="163"/>
      <c r="C72" s="172"/>
      <c r="D72" s="163"/>
      <c r="E72" s="147"/>
      <c r="F72" s="152"/>
      <c r="G72" s="149"/>
      <c r="H72" s="150"/>
      <c r="I72" s="171"/>
      <c r="J72" s="150"/>
      <c r="K72" s="158" t="n">
        <v>36516</v>
      </c>
      <c r="L72" s="159"/>
    </row>
    <row r="73" customFormat="false" ht="12" hidden="false" customHeight="false" outlineLevel="0" collapsed="false">
      <c r="A73" s="162"/>
      <c r="B73" s="163"/>
      <c r="C73" s="172"/>
      <c r="D73" s="163"/>
      <c r="E73" s="147"/>
      <c r="F73" s="152"/>
      <c r="G73" s="149"/>
      <c r="H73" s="150"/>
      <c r="I73" s="171"/>
      <c r="J73" s="150"/>
      <c r="K73" s="147" t="s">
        <v>136</v>
      </c>
      <c r="L73" s="152" t="n">
        <v>12.5</v>
      </c>
    </row>
    <row r="74" customFormat="false" ht="12" hidden="false" customHeight="false" outlineLevel="0" collapsed="false">
      <c r="A74" s="162"/>
      <c r="B74" s="163"/>
      <c r="C74" s="172"/>
      <c r="D74" s="163"/>
      <c r="E74" s="147"/>
      <c r="F74" s="152"/>
      <c r="G74" s="149"/>
      <c r="H74" s="150"/>
      <c r="I74" s="171"/>
      <c r="J74" s="150"/>
      <c r="K74" s="147"/>
      <c r="L74" s="152"/>
    </row>
    <row r="75" customFormat="false" ht="12" hidden="false" customHeight="false" outlineLevel="0" collapsed="false">
      <c r="A75" s="162"/>
      <c r="B75" s="163"/>
      <c r="C75" s="172"/>
      <c r="D75" s="163"/>
      <c r="E75" s="147"/>
      <c r="F75" s="152"/>
      <c r="G75" s="149"/>
      <c r="H75" s="150"/>
      <c r="I75" s="171"/>
      <c r="J75" s="150"/>
      <c r="K75" s="147"/>
      <c r="L75" s="152"/>
    </row>
    <row r="76" customFormat="false" ht="12" hidden="false" customHeight="false" outlineLevel="0" collapsed="false">
      <c r="A76" s="173"/>
      <c r="B76" s="174"/>
      <c r="C76" s="175"/>
      <c r="D76" s="174"/>
      <c r="E76" s="176"/>
      <c r="F76" s="177"/>
      <c r="G76" s="173"/>
      <c r="H76" s="174"/>
      <c r="I76" s="175"/>
      <c r="J76" s="174"/>
      <c r="K76" s="178"/>
      <c r="L76" s="179"/>
    </row>
    <row r="77" customFormat="false" ht="12" hidden="false" customHeight="false" outlineLevel="0" collapsed="false">
      <c r="A77" s="180" t="s">
        <v>137</v>
      </c>
      <c r="B77" s="181" t="n">
        <f aca="false">SUM(B44:B76)</f>
        <v>10.558</v>
      </c>
      <c r="C77" s="182" t="s">
        <v>137</v>
      </c>
      <c r="D77" s="181" t="n">
        <f aca="false">SUM(D44:D76)</f>
        <v>183.21</v>
      </c>
      <c r="E77" s="182" t="s">
        <v>137</v>
      </c>
      <c r="F77" s="183" t="n">
        <f aca="false">SUM(F44:F76)</f>
        <v>74</v>
      </c>
      <c r="G77" s="180"/>
      <c r="H77" s="181"/>
      <c r="I77" s="182" t="s">
        <v>137</v>
      </c>
      <c r="J77" s="184" t="n">
        <f aca="false">SUM(J44:J76)</f>
        <v>227.7</v>
      </c>
      <c r="K77" s="182" t="s">
        <v>137</v>
      </c>
      <c r="L77" s="185" t="n">
        <f aca="false">SUM(L44:L76)</f>
        <v>187.878</v>
      </c>
    </row>
    <row r="78" customFormat="false" ht="12.75" hidden="false" customHeight="false" outlineLevel="0" collapsed="false">
      <c r="A78" s="186"/>
      <c r="B78" s="187"/>
      <c r="C78" s="188"/>
      <c r="D78" s="187"/>
      <c r="E78" s="189" t="s">
        <v>138</v>
      </c>
      <c r="F78" s="190" t="n">
        <f aca="false">+B77+F77+D77</f>
        <v>267.768</v>
      </c>
      <c r="G78" s="186"/>
      <c r="H78" s="187"/>
      <c r="I78" s="188"/>
      <c r="J78" s="187"/>
      <c r="K78" s="189" t="s">
        <v>138</v>
      </c>
      <c r="L78" s="190" t="n">
        <f aca="false">J77+L77</f>
        <v>415.578</v>
      </c>
    </row>
    <row r="79" customFormat="false" ht="12.75" hidden="false" customHeight="false" outlineLevel="0" collapsed="false">
      <c r="G79" s="191"/>
      <c r="H79" s="0"/>
    </row>
    <row r="80" customFormat="false" ht="12.75" hidden="false" customHeight="false" outlineLevel="0" collapsed="false">
      <c r="G80" s="191"/>
      <c r="H80" s="0"/>
    </row>
    <row r="81" customFormat="false" ht="12.75" hidden="false" customHeight="false" outlineLevel="0" collapsed="false">
      <c r="H81" s="0"/>
    </row>
    <row r="82" customFormat="false" ht="12.75" hidden="true" customHeight="false" outlineLevel="0" collapsed="false">
      <c r="E82" s="0"/>
      <c r="G82" s="1" t="s">
        <v>139</v>
      </c>
      <c r="H82" s="0"/>
    </row>
    <row r="83" customFormat="false" ht="24" hidden="true" customHeight="false" outlineLevel="0" collapsed="false">
      <c r="A83" s="192" t="s">
        <v>140</v>
      </c>
      <c r="B83" s="192" t="s">
        <v>141</v>
      </c>
      <c r="C83" s="192" t="s">
        <v>142</v>
      </c>
      <c r="D83" s="192" t="s">
        <v>143</v>
      </c>
      <c r="E83" s="192" t="s">
        <v>144</v>
      </c>
      <c r="F83" s="192" t="s">
        <v>145</v>
      </c>
      <c r="G83" s="1" t="n">
        <v>1.65</v>
      </c>
      <c r="H83" s="0"/>
    </row>
    <row r="84" customFormat="false" ht="12.75" hidden="true" customHeight="false" outlineLevel="0" collapsed="false">
      <c r="A84" s="0" t="s">
        <v>146</v>
      </c>
      <c r="B84" s="0" t="s">
        <v>147</v>
      </c>
      <c r="C84" s="0" t="n">
        <v>10</v>
      </c>
      <c r="D84" s="0" t="n">
        <v>95</v>
      </c>
      <c r="E84" s="0" t="n">
        <v>0.09</v>
      </c>
      <c r="F84" s="0" t="n">
        <f aca="false">+$G$83*(E84/100)</f>
        <v>0.001485</v>
      </c>
      <c r="G84" s="0"/>
      <c r="H84" s="0"/>
      <c r="I84" s="0"/>
      <c r="J84" s="0"/>
      <c r="K84" s="0"/>
      <c r="L84" s="0"/>
      <c r="M84" s="0"/>
      <c r="N84" s="0"/>
      <c r="O84" s="0"/>
    </row>
    <row r="85" customFormat="false" ht="12.75" hidden="true" customHeight="false" outlineLevel="0" collapsed="false">
      <c r="A85" s="0"/>
      <c r="B85" s="0" t="s">
        <v>148</v>
      </c>
      <c r="C85" s="0" t="n">
        <v>42</v>
      </c>
      <c r="D85" s="0" t="n">
        <v>65</v>
      </c>
      <c r="E85" s="0" t="n">
        <v>0.27</v>
      </c>
      <c r="F85" s="0" t="n">
        <f aca="false">+$G$83*(E85/100)</f>
        <v>0.004455</v>
      </c>
      <c r="G85" s="0"/>
      <c r="H85" s="0"/>
      <c r="I85" s="0"/>
      <c r="J85" s="0"/>
      <c r="K85" s="0"/>
      <c r="L85" s="0"/>
      <c r="M85" s="0"/>
      <c r="N85" s="0"/>
      <c r="O85" s="0"/>
    </row>
    <row r="86" customFormat="false" ht="12.75" hidden="true" customHeight="false" outlineLevel="0" collapsed="false">
      <c r="A86" s="0"/>
      <c r="B86" s="0" t="s">
        <v>149</v>
      </c>
      <c r="C86" s="0" t="n">
        <v>89</v>
      </c>
      <c r="D86" s="0" t="n">
        <v>43.87</v>
      </c>
      <c r="E86" s="0" t="n">
        <v>0.39</v>
      </c>
      <c r="F86" s="0" t="n">
        <f aca="false">+$G$83*(E86/100)</f>
        <v>0.006435</v>
      </c>
      <c r="G86" s="0"/>
      <c r="H86" s="0"/>
      <c r="I86" s="0"/>
      <c r="J86" s="0"/>
      <c r="K86" s="0"/>
      <c r="L86" s="0"/>
      <c r="M86" s="0"/>
      <c r="N86" s="0"/>
      <c r="O86" s="0"/>
    </row>
    <row r="87" customFormat="false" ht="12.75" hidden="true" customHeight="false" outlineLevel="0" collapsed="false">
      <c r="A87" s="0"/>
      <c r="B87" s="0" t="s">
        <v>150</v>
      </c>
      <c r="C87" s="0" t="n">
        <v>2.44</v>
      </c>
      <c r="D87" s="0" t="n">
        <v>1.05</v>
      </c>
      <c r="E87" s="0" t="n">
        <v>0.03</v>
      </c>
      <c r="F87" s="0" t="n">
        <f aca="false">+$G$83*(E87/100)</f>
        <v>0.000495</v>
      </c>
      <c r="G87" s="0"/>
      <c r="H87" s="0"/>
      <c r="I87" s="0"/>
      <c r="J87" s="0"/>
      <c r="K87" s="0"/>
      <c r="L87" s="0"/>
      <c r="M87" s="0"/>
      <c r="N87" s="0"/>
      <c r="O87" s="0"/>
    </row>
    <row r="88" customFormat="false" ht="12.75" hidden="true" customHeight="false" outlineLevel="0" collapsed="false">
      <c r="A88" s="0"/>
      <c r="B88" s="0"/>
      <c r="C88" s="0"/>
      <c r="D88" s="0"/>
      <c r="E88" s="193" t="s">
        <v>138</v>
      </c>
      <c r="F88" s="0" t="n">
        <f aca="false">SUM(F84:F87)</f>
        <v>0.01287</v>
      </c>
      <c r="G88" s="0"/>
      <c r="H88" s="0"/>
      <c r="I88" s="0"/>
      <c r="J88" s="0"/>
      <c r="K88" s="0"/>
      <c r="L88" s="0"/>
      <c r="M88" s="0"/>
      <c r="N88" s="0"/>
      <c r="O88" s="0"/>
    </row>
    <row r="89" customFormat="false" ht="12.75" hidden="true" customHeight="false" outlineLevel="0" collapsed="false">
      <c r="A89" s="0"/>
      <c r="B89" s="0"/>
      <c r="C89" s="0"/>
      <c r="D89" s="0"/>
      <c r="E89" s="193"/>
      <c r="F89" s="0"/>
      <c r="G89" s="0"/>
      <c r="H89" s="0"/>
      <c r="I89" s="0"/>
      <c r="J89" s="0"/>
      <c r="K89" s="0"/>
      <c r="L89" s="0"/>
      <c r="M89" s="0"/>
      <c r="N89" s="0"/>
      <c r="O89" s="0"/>
    </row>
    <row r="90" customFormat="false" ht="12.75" hidden="true" customHeight="false" outlineLevel="0" collapsed="false">
      <c r="A90" s="0" t="s">
        <v>151</v>
      </c>
      <c r="B90" s="0" t="s">
        <v>152</v>
      </c>
      <c r="C90" s="194" t="n">
        <v>0.27</v>
      </c>
      <c r="D90" s="194" t="n">
        <v>96.33</v>
      </c>
      <c r="E90" s="194" t="n">
        <v>0.26</v>
      </c>
      <c r="F90" s="194" t="n">
        <f aca="false">+$G$83*(E90/100)</f>
        <v>0.00429</v>
      </c>
      <c r="G90" s="0"/>
      <c r="H90" s="0"/>
      <c r="I90" s="0"/>
      <c r="J90" s="0"/>
      <c r="K90" s="0"/>
      <c r="L90" s="0"/>
      <c r="M90" s="0"/>
      <c r="N90" s="0"/>
      <c r="O90" s="0"/>
    </row>
    <row r="91" customFormat="false" ht="12.75" hidden="true" customHeight="false" outlineLevel="0" collapsed="false">
      <c r="A91" s="0"/>
      <c r="B91" s="0" t="s">
        <v>153</v>
      </c>
      <c r="C91" s="194" t="n">
        <v>0.36</v>
      </c>
      <c r="D91" s="194" t="n">
        <v>85.77</v>
      </c>
      <c r="E91" s="194" t="n">
        <v>0.31</v>
      </c>
      <c r="F91" s="194" t="n">
        <f aca="false">+$G$83*(E91/100)</f>
        <v>0.005115</v>
      </c>
      <c r="G91" s="0"/>
      <c r="H91" s="0"/>
      <c r="I91" s="0"/>
      <c r="J91" s="0"/>
      <c r="K91" s="0"/>
      <c r="L91" s="0"/>
      <c r="M91" s="0"/>
      <c r="N91" s="0"/>
      <c r="O91" s="0"/>
    </row>
    <row r="92" customFormat="false" ht="12.75" hidden="true" customHeight="false" outlineLevel="0" collapsed="false">
      <c r="A92" s="0"/>
      <c r="B92" s="0" t="s">
        <v>154</v>
      </c>
      <c r="C92" s="194" t="n">
        <v>0.8</v>
      </c>
      <c r="D92" s="194" t="n">
        <v>9.94</v>
      </c>
      <c r="E92" s="194" t="n">
        <v>0.08</v>
      </c>
      <c r="F92" s="194" t="n">
        <f aca="false">+$G$83*(E92/100)</f>
        <v>0.00132</v>
      </c>
      <c r="G92" s="0"/>
      <c r="H92" s="0"/>
      <c r="I92" s="0"/>
      <c r="J92" s="0"/>
      <c r="K92" s="0"/>
      <c r="L92" s="0"/>
      <c r="M92" s="0"/>
      <c r="N92" s="0"/>
      <c r="O92" s="0"/>
    </row>
    <row r="93" customFormat="false" ht="12.75" hidden="true" customHeight="false" outlineLevel="0" collapsed="false">
      <c r="A93" s="0"/>
      <c r="B93" s="0" t="s">
        <v>155</v>
      </c>
      <c r="C93" s="194" t="n">
        <v>1.14</v>
      </c>
      <c r="D93" s="194" t="n">
        <v>6.21</v>
      </c>
      <c r="E93" s="194" t="n">
        <v>0.07</v>
      </c>
      <c r="F93" s="194" t="n">
        <f aca="false">+$G$83*(E93/100)</f>
        <v>0.001155</v>
      </c>
      <c r="G93" s="0"/>
      <c r="H93" s="0"/>
      <c r="I93" s="0"/>
      <c r="J93" s="0"/>
      <c r="K93" s="0"/>
      <c r="L93" s="0"/>
      <c r="M93" s="0"/>
      <c r="N93" s="0"/>
      <c r="O93" s="0"/>
    </row>
    <row r="94" customFormat="false" ht="12.75" hidden="true" customHeight="false" outlineLevel="0" collapsed="false">
      <c r="A94" s="0"/>
      <c r="B94" s="0"/>
      <c r="C94" s="194"/>
      <c r="D94" s="194"/>
      <c r="E94" s="195" t="s">
        <v>156</v>
      </c>
      <c r="F94" s="194" t="n">
        <f aca="false">SUM(F91:F93)</f>
        <v>0.00759</v>
      </c>
      <c r="G94" s="0"/>
      <c r="H94" s="0"/>
      <c r="I94" s="0"/>
      <c r="J94" s="0"/>
      <c r="K94" s="0"/>
      <c r="L94" s="0"/>
      <c r="M94" s="0"/>
      <c r="N94" s="0"/>
      <c r="O94" s="0"/>
    </row>
    <row r="95" customFormat="false" ht="12.75" hidden="true" customHeight="false" outlineLevel="0" collapsed="false">
      <c r="A95" s="0"/>
      <c r="B95" s="0"/>
      <c r="C95" s="194"/>
      <c r="D95" s="194"/>
      <c r="E95" s="195" t="s">
        <v>157</v>
      </c>
      <c r="F95" s="194" t="n">
        <f aca="false">SUM(F90:F93)</f>
        <v>0.01188</v>
      </c>
      <c r="G95" s="0"/>
      <c r="H95" s="0"/>
      <c r="I95" s="0"/>
      <c r="J95" s="0"/>
      <c r="K95" s="0"/>
      <c r="L95" s="0"/>
      <c r="M95" s="0"/>
      <c r="N95" s="0"/>
      <c r="O95" s="0"/>
    </row>
    <row r="96" customFormat="false" ht="12.75" hidden="true" customHeight="false" outlineLevel="0" collapsed="false">
      <c r="A96" s="0"/>
      <c r="B96" s="0"/>
      <c r="C96" s="194"/>
      <c r="D96" s="194"/>
      <c r="E96" s="194"/>
      <c r="F96" s="194"/>
      <c r="G96" s="0"/>
      <c r="H96" s="0"/>
      <c r="I96" s="0"/>
      <c r="J96" s="0"/>
      <c r="K96" s="0"/>
      <c r="L96" s="0"/>
      <c r="M96" s="0"/>
      <c r="N96" s="0"/>
      <c r="O96" s="0"/>
    </row>
    <row r="97" customFormat="false" ht="12.75" hidden="true" customHeight="false" outlineLevel="0" collapsed="false">
      <c r="A97" s="0" t="s">
        <v>158</v>
      </c>
      <c r="B97" s="0" t="s">
        <v>158</v>
      </c>
      <c r="C97" s="194" t="n">
        <v>0.62</v>
      </c>
      <c r="D97" s="194" t="n">
        <v>94.29</v>
      </c>
      <c r="E97" s="194" t="n">
        <v>0.58</v>
      </c>
      <c r="F97" s="194" t="n">
        <f aca="false">+$G$83*(E97/100)</f>
        <v>0.00957</v>
      </c>
      <c r="G97" s="0"/>
      <c r="H97" s="0"/>
      <c r="I97" s="0"/>
      <c r="J97" s="0"/>
      <c r="K97" s="0"/>
      <c r="L97" s="0"/>
      <c r="M97" s="0"/>
      <c r="N97" s="0"/>
      <c r="O97" s="0"/>
    </row>
    <row r="98" customFormat="false" ht="12.75" hidden="true" customHeight="false" outlineLevel="0" collapsed="false">
      <c r="A98" s="0"/>
      <c r="B98" s="0"/>
      <c r="C98" s="194"/>
      <c r="D98" s="194"/>
      <c r="E98" s="194"/>
      <c r="F98" s="194"/>
      <c r="G98" s="0"/>
      <c r="H98" s="0"/>
      <c r="I98" s="0"/>
      <c r="J98" s="0"/>
      <c r="K98" s="0"/>
      <c r="L98" s="0"/>
      <c r="M98" s="0"/>
      <c r="N98" s="0"/>
      <c r="O98" s="0"/>
    </row>
    <row r="99" customFormat="false" ht="12.75" hidden="true" customHeight="false" outlineLevel="0" collapsed="false">
      <c r="A99" s="0" t="s">
        <v>159</v>
      </c>
      <c r="B99" s="0" t="s">
        <v>160</v>
      </c>
      <c r="C99" s="194" t="n">
        <v>0.85</v>
      </c>
      <c r="D99" s="194" t="n">
        <v>100</v>
      </c>
      <c r="E99" s="194" t="n">
        <v>0.85</v>
      </c>
      <c r="F99" s="194" t="n">
        <f aca="false">+$G$83*(E99/100)</f>
        <v>0.014025</v>
      </c>
      <c r="G99" s="0"/>
      <c r="H99" s="0"/>
      <c r="I99" s="0"/>
      <c r="J99" s="0"/>
      <c r="K99" s="0"/>
      <c r="L99" s="0"/>
      <c r="M99" s="0"/>
      <c r="N99" s="0"/>
      <c r="O99" s="0"/>
    </row>
    <row r="100" customFormat="false" ht="12.75" hidden="true" customHeight="false" outlineLevel="0" collapsed="false">
      <c r="A100" s="0"/>
      <c r="B100" s="0"/>
      <c r="C100" s="194"/>
      <c r="D100" s="194"/>
      <c r="E100" s="194"/>
      <c r="F100" s="194"/>
      <c r="G100" s="0"/>
      <c r="H100" s="0"/>
      <c r="I100" s="0"/>
      <c r="J100" s="0"/>
      <c r="K100" s="0"/>
      <c r="L100" s="0"/>
      <c r="M100" s="0"/>
      <c r="N100" s="0"/>
      <c r="O100" s="0"/>
    </row>
    <row r="101" customFormat="false" ht="12.75" hidden="true" customHeight="false" outlineLevel="0" collapsed="false">
      <c r="A101" s="0" t="s">
        <v>161</v>
      </c>
      <c r="B101" s="0" t="s">
        <v>162</v>
      </c>
      <c r="C101" s="194" t="s">
        <v>163</v>
      </c>
      <c r="D101" s="194"/>
      <c r="E101" s="194" t="n">
        <v>0.3546</v>
      </c>
      <c r="F101" s="194" t="n">
        <f aca="false">+$G$83*(E101/100)</f>
        <v>0.0058509</v>
      </c>
      <c r="G101" s="0"/>
      <c r="H101" s="0"/>
      <c r="I101" s="0"/>
      <c r="J101" s="0"/>
      <c r="K101" s="0"/>
      <c r="L101" s="0"/>
      <c r="M101" s="0"/>
      <c r="N101" s="0"/>
      <c r="O101" s="0"/>
    </row>
    <row r="102" customFormat="false" ht="12.75" hidden="true" customHeight="false" outlineLevel="0" collapsed="false">
      <c r="A102" s="0"/>
      <c r="B102" s="0" t="s">
        <v>164</v>
      </c>
      <c r="C102" s="194" t="s">
        <v>165</v>
      </c>
      <c r="D102" s="194"/>
      <c r="E102" s="194" t="n">
        <v>0.557</v>
      </c>
      <c r="F102" s="194" t="n">
        <f aca="false">+$G$83*(E102/100)</f>
        <v>0.0091905</v>
      </c>
      <c r="G102" s="0"/>
      <c r="H102" s="0"/>
      <c r="I102" s="0"/>
    </row>
    <row r="103" customFormat="false" ht="12.75" hidden="true" customHeight="false" outlineLevel="0" collapsed="false">
      <c r="A103" s="0"/>
      <c r="B103" s="0" t="s">
        <v>166</v>
      </c>
      <c r="C103" s="194" t="s">
        <v>167</v>
      </c>
      <c r="D103" s="194"/>
      <c r="E103" s="194" t="n">
        <v>0.628</v>
      </c>
      <c r="F103" s="194" t="n">
        <f aca="false">+$G$83*(E103/100)</f>
        <v>0.010362</v>
      </c>
      <c r="G103" s="0"/>
      <c r="H103" s="0"/>
      <c r="I103" s="0"/>
    </row>
    <row r="104" customFormat="false" ht="12.75" hidden="true" customHeight="false" outlineLevel="0" collapsed="false">
      <c r="A104" s="0"/>
      <c r="B104" s="0"/>
      <c r="C104" s="194"/>
      <c r="D104" s="194"/>
      <c r="E104" s="194"/>
      <c r="F104" s="194"/>
      <c r="G104" s="0"/>
      <c r="H104" s="0"/>
      <c r="I104" s="0"/>
    </row>
    <row r="105" customFormat="false" ht="12.75" hidden="true" customHeight="false" outlineLevel="0" collapsed="false">
      <c r="A105" s="0" t="s">
        <v>168</v>
      </c>
      <c r="B105" s="0" t="s">
        <v>169</v>
      </c>
      <c r="C105" s="194" t="s">
        <v>170</v>
      </c>
      <c r="D105" s="194"/>
      <c r="E105" s="194" t="n">
        <v>0.309</v>
      </c>
      <c r="F105" s="194" t="n">
        <f aca="false">+$G$83*(E105/100)</f>
        <v>0.0050985</v>
      </c>
      <c r="G105" s="0"/>
      <c r="H105" s="0"/>
      <c r="I105" s="0"/>
    </row>
    <row r="106" customFormat="false" ht="12.75" hidden="true" customHeight="false" outlineLevel="0" collapsed="false">
      <c r="A106" s="0"/>
      <c r="B106" s="0"/>
      <c r="C106" s="194"/>
      <c r="D106" s="194"/>
      <c r="E106" s="194"/>
      <c r="F106" s="194"/>
      <c r="G106" s="0"/>
      <c r="H106" s="0"/>
      <c r="I106" s="0"/>
    </row>
    <row r="107" customFormat="false" ht="12.75" hidden="true" customHeight="false" outlineLevel="0" collapsed="false">
      <c r="A107" s="0" t="s">
        <v>171</v>
      </c>
      <c r="B107" s="0" t="s">
        <v>172</v>
      </c>
      <c r="C107" s="194" t="s">
        <v>173</v>
      </c>
      <c r="D107" s="194"/>
      <c r="E107" s="194" t="n">
        <v>0.3748</v>
      </c>
      <c r="F107" s="194" t="n">
        <f aca="false">+$G$83*(E107/100)</f>
        <v>0.0061842</v>
      </c>
      <c r="G107" s="0"/>
      <c r="H107" s="0"/>
      <c r="I107" s="0"/>
    </row>
    <row r="108" customFormat="false" ht="12.75" hidden="true" customHeight="false" outlineLevel="0" collapsed="false">
      <c r="A108" s="0"/>
      <c r="B108" s="0"/>
      <c r="C108" s="0"/>
      <c r="D108" s="0"/>
      <c r="E108" s="0"/>
      <c r="F108" s="0"/>
      <c r="G108" s="0"/>
      <c r="H108" s="0"/>
      <c r="I108" s="0"/>
    </row>
    <row r="109" customFormat="false" ht="12.75" hidden="false" customHeight="false" outlineLevel="0" collapsed="false">
      <c r="A109" s="0"/>
      <c r="B109" s="0"/>
      <c r="C109" s="0"/>
      <c r="D109" s="0"/>
      <c r="E109" s="0"/>
      <c r="F109" s="0"/>
      <c r="G109" s="0"/>
      <c r="H109" s="0"/>
      <c r="I109" s="0"/>
    </row>
    <row r="110" customFormat="false" ht="12.75" hidden="false" customHeight="false" outlineLevel="0" collapsed="false">
      <c r="A110" s="0"/>
      <c r="B110" s="0"/>
      <c r="C110" s="0"/>
      <c r="D110" s="0"/>
      <c r="E110" s="0"/>
      <c r="F110" s="0"/>
      <c r="G110" s="0"/>
      <c r="H110" s="0"/>
      <c r="I110" s="0"/>
    </row>
    <row r="111" customFormat="false" ht="12.75" hidden="false" customHeight="false" outlineLevel="0" collapsed="false">
      <c r="A111" s="0"/>
      <c r="B111" s="0"/>
      <c r="C111" s="0"/>
      <c r="D111" s="0"/>
      <c r="E111" s="0"/>
      <c r="F111" s="0"/>
      <c r="G111" s="0"/>
      <c r="H111" s="0"/>
      <c r="I111" s="0"/>
    </row>
    <row r="112" customFormat="false" ht="12.75" hidden="false" customHeight="false" outlineLevel="0" collapsed="false">
      <c r="A112" s="0"/>
      <c r="B112" s="0"/>
      <c r="C112" s="0"/>
      <c r="D112" s="0"/>
      <c r="E112" s="0"/>
      <c r="F112" s="0"/>
      <c r="G112" s="0"/>
      <c r="H112" s="0"/>
      <c r="I112" s="0"/>
    </row>
    <row r="113" customFormat="false" ht="12.75" hidden="false" customHeight="false" outlineLevel="0" collapsed="false">
      <c r="A113" s="196" t="s">
        <v>174</v>
      </c>
      <c r="B113" s="196"/>
      <c r="C113" s="196"/>
      <c r="D113" s="0"/>
      <c r="E113" s="197" t="s">
        <v>175</v>
      </c>
      <c r="F113" s="0"/>
      <c r="G113" s="198"/>
      <c r="H113" s="0"/>
      <c r="I113" s="196" t="s">
        <v>61</v>
      </c>
      <c r="J113" s="196"/>
      <c r="K113" s="196"/>
      <c r="N113" s="1" t="s">
        <v>176</v>
      </c>
    </row>
    <row r="114" customFormat="false" ht="12.75" hidden="false" customHeight="false" outlineLevel="0" collapsed="false">
      <c r="A114" s="199" t="s">
        <v>177</v>
      </c>
      <c r="B114" s="200" t="s">
        <v>178</v>
      </c>
      <c r="C114" s="201" t="n">
        <v>0.845</v>
      </c>
      <c r="D114" s="78"/>
      <c r="E114" s="200" t="n">
        <v>0.833</v>
      </c>
      <c r="F114" s="79" t="n">
        <f aca="false">C114-E114</f>
        <v>0.012</v>
      </c>
      <c r="G114" s="199" t="n">
        <v>0.833</v>
      </c>
      <c r="H114" s="79"/>
      <c r="I114" s="199" t="s">
        <v>179</v>
      </c>
      <c r="J114" s="78"/>
      <c r="K114" s="202" t="n">
        <v>0</v>
      </c>
      <c r="L114" s="78" t="n">
        <v>882</v>
      </c>
      <c r="N114" s="1" t="s">
        <v>180</v>
      </c>
      <c r="O114" s="1" t="n">
        <v>1024</v>
      </c>
    </row>
    <row r="115" customFormat="false" ht="12.75" hidden="false" customHeight="false" outlineLevel="0" collapsed="false">
      <c r="A115" s="78"/>
      <c r="B115" s="200" t="s">
        <v>181</v>
      </c>
      <c r="C115" s="201" t="n">
        <v>0.001</v>
      </c>
      <c r="D115" s="78"/>
      <c r="E115" s="79" t="n">
        <v>0.001</v>
      </c>
      <c r="F115" s="79" t="n">
        <f aca="false">C115-E115</f>
        <v>0</v>
      </c>
      <c r="G115" s="199" t="n">
        <v>0.001</v>
      </c>
      <c r="H115" s="79"/>
      <c r="I115" s="199" t="s">
        <v>182</v>
      </c>
      <c r="J115" s="78" t="n">
        <v>6688</v>
      </c>
      <c r="K115" s="203" t="n">
        <v>17</v>
      </c>
      <c r="L115" s="78"/>
      <c r="N115" s="1" t="s">
        <v>135</v>
      </c>
      <c r="O115" s="1" t="n">
        <v>1500</v>
      </c>
    </row>
    <row r="116" customFormat="false" ht="12.75" hidden="false" customHeight="false" outlineLevel="0" collapsed="false">
      <c r="A116" s="78"/>
      <c r="B116" s="200" t="s">
        <v>183</v>
      </c>
      <c r="C116" s="201" t="n">
        <v>0.5</v>
      </c>
      <c r="D116" s="78"/>
      <c r="E116" s="79" t="n">
        <v>0.5</v>
      </c>
      <c r="F116" s="79" t="n">
        <f aca="false">C116-E116</f>
        <v>0</v>
      </c>
      <c r="G116" s="199" t="n">
        <v>0.5</v>
      </c>
      <c r="H116" s="79"/>
      <c r="I116" s="199" t="s">
        <v>87</v>
      </c>
      <c r="J116" s="78" t="n">
        <v>6888</v>
      </c>
      <c r="K116" s="203" t="n">
        <v>5876</v>
      </c>
      <c r="L116" s="78"/>
      <c r="N116" s="1" t="s">
        <v>184</v>
      </c>
      <c r="O116" s="1" t="n">
        <v>219</v>
      </c>
    </row>
    <row r="117" customFormat="false" ht="12.75" hidden="false" customHeight="false" outlineLevel="0" collapsed="false">
      <c r="A117" s="78"/>
      <c r="B117" s="200" t="s">
        <v>185</v>
      </c>
      <c r="C117" s="201" t="n">
        <v>10</v>
      </c>
      <c r="D117" s="78" t="n">
        <v>2</v>
      </c>
      <c r="E117" s="79" t="n">
        <v>10</v>
      </c>
      <c r="F117" s="79" t="n">
        <f aca="false">C117-E117</f>
        <v>0</v>
      </c>
      <c r="G117" s="199" t="n">
        <v>12</v>
      </c>
      <c r="H117" s="79"/>
      <c r="I117" s="199" t="s">
        <v>88</v>
      </c>
      <c r="J117" s="78"/>
      <c r="K117" s="202" t="n">
        <v>0</v>
      </c>
      <c r="L117" s="78"/>
      <c r="N117" s="1" t="s">
        <v>186</v>
      </c>
      <c r="O117" s="1" t="n">
        <v>1000</v>
      </c>
    </row>
    <row r="118" customFormat="false" ht="12.75" hidden="false" customHeight="false" outlineLevel="0" collapsed="false">
      <c r="A118" s="199" t="s">
        <v>187</v>
      </c>
      <c r="B118" s="200" t="s">
        <v>188</v>
      </c>
      <c r="C118" s="201" t="n">
        <v>3.6</v>
      </c>
      <c r="D118" s="78"/>
      <c r="E118" s="79" t="n">
        <v>3.6</v>
      </c>
      <c r="F118" s="79" t="n">
        <f aca="false">C118-E118</f>
        <v>0</v>
      </c>
      <c r="G118" s="199" t="n">
        <v>3.6</v>
      </c>
      <c r="H118" s="79"/>
      <c r="I118" s="199" t="s">
        <v>189</v>
      </c>
      <c r="J118" s="78" t="n">
        <v>9003</v>
      </c>
      <c r="K118" s="203" t="n">
        <v>9</v>
      </c>
      <c r="L118" s="78"/>
      <c r="N118" s="1" t="s">
        <v>190</v>
      </c>
      <c r="O118" s="1" t="n">
        <v>90</v>
      </c>
    </row>
    <row r="119" customFormat="false" ht="12.75" hidden="false" customHeight="false" outlineLevel="0" collapsed="false">
      <c r="A119" s="199"/>
      <c r="B119" s="200"/>
      <c r="C119" s="200"/>
      <c r="D119" s="78"/>
      <c r="E119" s="79"/>
      <c r="F119" s="79"/>
      <c r="G119" s="199"/>
      <c r="H119" s="79"/>
      <c r="I119" s="199" t="s">
        <v>191</v>
      </c>
      <c r="J119" s="78" t="n">
        <v>5053</v>
      </c>
      <c r="K119" s="203" t="n">
        <v>706</v>
      </c>
      <c r="L119" s="78"/>
    </row>
    <row r="120" customFormat="false" ht="12.75" hidden="false" customHeight="false" outlineLevel="0" collapsed="false">
      <c r="A120" s="78"/>
      <c r="B120" s="200" t="s">
        <v>27</v>
      </c>
      <c r="C120" s="199" t="n">
        <v>0</v>
      </c>
      <c r="D120" s="78" t="s">
        <v>192</v>
      </c>
      <c r="E120" s="79" t="n">
        <v>0</v>
      </c>
      <c r="F120" s="79" t="n">
        <f aca="false">C120-E120</f>
        <v>0</v>
      </c>
      <c r="G120" s="199" t="n">
        <v>0</v>
      </c>
      <c r="H120" s="79"/>
      <c r="I120" s="199" t="s">
        <v>193</v>
      </c>
      <c r="J120" s="78" t="n">
        <v>3405</v>
      </c>
      <c r="K120" s="203" t="n">
        <v>2429</v>
      </c>
      <c r="L120" s="78"/>
      <c r="N120" s="1" t="s">
        <v>123</v>
      </c>
    </row>
    <row r="121" customFormat="false" ht="12.75" hidden="false" customHeight="false" outlineLevel="0" collapsed="false">
      <c r="A121" s="78"/>
      <c r="B121" s="200" t="s">
        <v>194</v>
      </c>
      <c r="C121" s="201" t="n">
        <v>2.4</v>
      </c>
      <c r="D121" s="78"/>
      <c r="E121" s="79" t="n">
        <v>2.4</v>
      </c>
      <c r="F121" s="79" t="n">
        <f aca="false">C121-E121</f>
        <v>0</v>
      </c>
      <c r="G121" s="199" t="n">
        <v>2.4</v>
      </c>
      <c r="H121" s="79"/>
      <c r="I121" s="199" t="s">
        <v>195</v>
      </c>
      <c r="J121" s="78"/>
      <c r="K121" s="204" t="n">
        <v>0</v>
      </c>
      <c r="L121" s="78" t="n">
        <v>660</v>
      </c>
    </row>
    <row r="122" customFormat="false" ht="12.75" hidden="false" customHeight="false" outlineLevel="0" collapsed="false">
      <c r="A122" s="199" t="s">
        <v>196</v>
      </c>
      <c r="B122" s="200" t="s">
        <v>197</v>
      </c>
      <c r="C122" s="201" t="n">
        <v>0.8</v>
      </c>
      <c r="D122" s="79"/>
      <c r="E122" s="79" t="n">
        <v>0.8</v>
      </c>
      <c r="F122" s="79" t="n">
        <f aca="false">C122-E122</f>
        <v>0</v>
      </c>
      <c r="G122" s="199" t="n">
        <v>0.8</v>
      </c>
      <c r="H122" s="79"/>
      <c r="I122" s="199" t="s">
        <v>198</v>
      </c>
      <c r="J122" s="78" t="n">
        <v>5333</v>
      </c>
      <c r="K122" s="204" t="n">
        <v>250</v>
      </c>
      <c r="L122" s="78" t="s">
        <v>199</v>
      </c>
    </row>
    <row r="123" customFormat="false" ht="12.75" hidden="false" customHeight="false" outlineLevel="0" collapsed="false">
      <c r="A123" s="79"/>
      <c r="B123" s="200" t="s">
        <v>9</v>
      </c>
      <c r="C123" s="201" t="n">
        <v>16.5</v>
      </c>
      <c r="D123" s="79"/>
      <c r="E123" s="79" t="n">
        <v>16.941</v>
      </c>
      <c r="F123" s="79" t="n">
        <f aca="false">C123-E123</f>
        <v>-0.440999999999999</v>
      </c>
      <c r="G123" s="199" t="n">
        <v>16.5</v>
      </c>
      <c r="H123" s="199"/>
      <c r="I123" s="202" t="s">
        <v>200</v>
      </c>
      <c r="J123" s="78" t="n">
        <v>6835</v>
      </c>
      <c r="K123" s="203" t="n">
        <v>24</v>
      </c>
      <c r="L123" s="78"/>
    </row>
    <row r="124" customFormat="false" ht="12.75" hidden="false" customHeight="false" outlineLevel="0" collapsed="false">
      <c r="A124" s="79"/>
      <c r="B124" s="200" t="s">
        <v>11</v>
      </c>
      <c r="C124" s="199" t="n">
        <v>0</v>
      </c>
      <c r="D124" s="79" t="s">
        <v>82</v>
      </c>
      <c r="E124" s="79" t="n">
        <v>0</v>
      </c>
      <c r="F124" s="79" t="n">
        <f aca="false">C124-E124</f>
        <v>0</v>
      </c>
      <c r="G124" s="199" t="n">
        <v>20</v>
      </c>
      <c r="H124" s="79"/>
      <c r="I124" s="202" t="s">
        <v>201</v>
      </c>
      <c r="J124" s="78" t="n">
        <v>4286</v>
      </c>
      <c r="K124" s="203" t="n">
        <v>39</v>
      </c>
      <c r="L124" s="78"/>
    </row>
    <row r="125" customFormat="false" ht="12.75" hidden="false" customHeight="false" outlineLevel="0" collapsed="false">
      <c r="A125" s="79"/>
      <c r="B125" s="200"/>
      <c r="C125" s="199"/>
      <c r="D125" s="79"/>
      <c r="E125" s="79"/>
      <c r="F125" s="79"/>
      <c r="G125" s="199"/>
      <c r="H125" s="79"/>
      <c r="I125" s="202" t="s">
        <v>202</v>
      </c>
      <c r="J125" s="78" t="n">
        <v>9676</v>
      </c>
      <c r="K125" s="205" t="n">
        <v>0</v>
      </c>
      <c r="L125" s="206" t="s">
        <v>203</v>
      </c>
    </row>
    <row r="126" customFormat="false" ht="12.75" hidden="false" customHeight="false" outlineLevel="0" collapsed="false">
      <c r="A126" s="79"/>
      <c r="B126" s="200" t="s">
        <v>204</v>
      </c>
      <c r="C126" s="201" t="n">
        <v>0.025</v>
      </c>
      <c r="D126" s="79"/>
      <c r="E126" s="79" t="n">
        <v>0.025</v>
      </c>
      <c r="F126" s="79" t="n">
        <f aca="false">C126-E126</f>
        <v>0</v>
      </c>
      <c r="G126" s="199" t="n">
        <v>0.025</v>
      </c>
      <c r="H126" s="79"/>
      <c r="I126" s="202" t="s">
        <v>205</v>
      </c>
      <c r="J126" s="78" t="n">
        <v>6551</v>
      </c>
      <c r="K126" s="203" t="n">
        <v>100</v>
      </c>
      <c r="L126" s="206"/>
    </row>
    <row r="127" customFormat="false" ht="12.75" hidden="false" customHeight="false" outlineLevel="0" collapsed="false">
      <c r="A127" s="79"/>
      <c r="B127" s="200" t="s">
        <v>206</v>
      </c>
      <c r="C127" s="199" t="n">
        <v>0</v>
      </c>
      <c r="D127" s="79"/>
      <c r="E127" s="79" t="n">
        <v>1.3</v>
      </c>
      <c r="F127" s="79" t="n">
        <f aca="false">C127-E127</f>
        <v>-1.3</v>
      </c>
      <c r="G127" s="199" t="n">
        <v>1.3</v>
      </c>
      <c r="H127" s="79"/>
      <c r="I127" s="202" t="s">
        <v>207</v>
      </c>
      <c r="J127" s="78" t="n">
        <v>6373</v>
      </c>
      <c r="K127" s="203" t="n">
        <v>1</v>
      </c>
      <c r="L127" s="78"/>
    </row>
    <row r="128" customFormat="false" ht="12.75" hidden="false" customHeight="false" outlineLevel="0" collapsed="false">
      <c r="A128" s="79"/>
      <c r="B128" s="207" t="s">
        <v>208</v>
      </c>
      <c r="C128" s="207" t="n">
        <v>7.355</v>
      </c>
      <c r="D128" s="79" t="n">
        <v>8</v>
      </c>
      <c r="E128" s="79" t="n">
        <v>7.407</v>
      </c>
      <c r="F128" s="79" t="n">
        <f aca="false">C128-E128</f>
        <v>-0.0519999999999996</v>
      </c>
      <c r="G128" s="199" t="n">
        <v>8</v>
      </c>
      <c r="H128" s="79"/>
      <c r="I128" s="202" t="s">
        <v>209</v>
      </c>
      <c r="J128" s="78" t="n">
        <v>4132</v>
      </c>
      <c r="K128" s="203" t="n">
        <v>149</v>
      </c>
      <c r="L128" s="78"/>
    </row>
    <row r="129" customFormat="false" ht="12.75" hidden="false" customHeight="false" outlineLevel="0" collapsed="false">
      <c r="A129" s="79"/>
      <c r="B129" s="200"/>
      <c r="C129" s="200"/>
      <c r="D129" s="79"/>
      <c r="E129" s="79"/>
      <c r="F129" s="79"/>
      <c r="G129" s="199"/>
      <c r="H129" s="79"/>
      <c r="I129" s="202" t="s">
        <v>210</v>
      </c>
      <c r="J129" s="78" t="n">
        <v>4120</v>
      </c>
      <c r="K129" s="204" t="n">
        <v>0</v>
      </c>
      <c r="L129" s="78" t="n">
        <v>11</v>
      </c>
    </row>
    <row r="130" customFormat="false" ht="12.75" hidden="false" customHeight="false" outlineLevel="0" collapsed="false">
      <c r="A130" s="79"/>
      <c r="B130" s="207" t="s">
        <v>211</v>
      </c>
      <c r="C130" s="208" t="n">
        <f aca="false">(20*21)/31</f>
        <v>13.5483870967742</v>
      </c>
      <c r="D130" s="79"/>
      <c r="E130" s="79" t="n">
        <v>20</v>
      </c>
      <c r="F130" s="79" t="n">
        <f aca="false">C130-E130</f>
        <v>-6.45161290322581</v>
      </c>
      <c r="G130" s="199" t="n">
        <v>22.5</v>
      </c>
      <c r="H130" s="78"/>
      <c r="I130" s="202" t="s">
        <v>212</v>
      </c>
      <c r="J130" s="78" t="n">
        <v>6840</v>
      </c>
      <c r="K130" s="203" t="n">
        <v>1148</v>
      </c>
      <c r="L130" s="78"/>
    </row>
    <row r="131" customFormat="false" ht="12.75" hidden="false" customHeight="false" outlineLevel="0" collapsed="false">
      <c r="A131" s="79"/>
      <c r="B131" s="200" t="s">
        <v>213</v>
      </c>
      <c r="C131" s="201" t="n">
        <v>3.85</v>
      </c>
      <c r="D131" s="79"/>
      <c r="E131" s="79" t="n">
        <v>3.85</v>
      </c>
      <c r="F131" s="79" t="n">
        <f aca="false">C131-E131</f>
        <v>0</v>
      </c>
      <c r="G131" s="199" t="n">
        <v>3.85</v>
      </c>
      <c r="H131" s="78"/>
      <c r="I131" s="202" t="s">
        <v>214</v>
      </c>
      <c r="J131" s="78" t="n">
        <v>6296</v>
      </c>
      <c r="K131" s="202" t="n">
        <v>0</v>
      </c>
      <c r="L131" s="78"/>
    </row>
    <row r="132" customFormat="false" ht="12.75" hidden="false" customHeight="false" outlineLevel="0" collapsed="false">
      <c r="A132" s="79"/>
      <c r="B132" s="200" t="s">
        <v>15</v>
      </c>
      <c r="C132" s="200" t="n">
        <v>0</v>
      </c>
      <c r="D132" s="79"/>
      <c r="E132" s="79" t="n">
        <v>0</v>
      </c>
      <c r="F132" s="79" t="n">
        <f aca="false">C132-E132</f>
        <v>0</v>
      </c>
      <c r="G132" s="199" t="n">
        <v>62</v>
      </c>
      <c r="H132" s="78"/>
      <c r="I132" s="202" t="s">
        <v>215</v>
      </c>
      <c r="J132" s="78" t="n">
        <v>6519</v>
      </c>
      <c r="K132" s="203" t="n">
        <v>2</v>
      </c>
      <c r="L132" s="78"/>
    </row>
    <row r="133" customFormat="false" ht="12.75" hidden="false" customHeight="false" outlineLevel="0" collapsed="false">
      <c r="A133" s="79"/>
      <c r="B133" s="200" t="s">
        <v>216</v>
      </c>
      <c r="C133" s="201" t="n">
        <v>0.025</v>
      </c>
      <c r="D133" s="79"/>
      <c r="E133" s="79" t="n">
        <v>0.025</v>
      </c>
      <c r="F133" s="79" t="n">
        <f aca="false">C133-E133</f>
        <v>0</v>
      </c>
      <c r="G133" s="199" t="n">
        <v>0.025</v>
      </c>
      <c r="H133" s="78"/>
      <c r="I133" s="202" t="s">
        <v>217</v>
      </c>
      <c r="J133" s="78" t="n">
        <v>5502</v>
      </c>
      <c r="K133" s="203" t="n">
        <v>37</v>
      </c>
      <c r="L133" s="78"/>
    </row>
    <row r="134" customFormat="false" ht="12.75" hidden="false" customHeight="false" outlineLevel="0" collapsed="false">
      <c r="A134" s="79"/>
      <c r="B134" s="200" t="s">
        <v>218</v>
      </c>
      <c r="C134" s="201" t="n">
        <v>0.05</v>
      </c>
      <c r="D134" s="79"/>
      <c r="E134" s="79" t="n">
        <v>0.05</v>
      </c>
      <c r="F134" s="79" t="n">
        <f aca="false">C134-E134</f>
        <v>0</v>
      </c>
      <c r="G134" s="199" t="n">
        <v>0.05</v>
      </c>
      <c r="H134" s="78"/>
      <c r="I134" s="202" t="s">
        <v>219</v>
      </c>
      <c r="J134" s="78" t="n">
        <v>6789</v>
      </c>
      <c r="K134" s="203" t="n">
        <v>12500</v>
      </c>
      <c r="L134" s="78"/>
    </row>
    <row r="135" customFormat="false" ht="12.75" hidden="false" customHeight="false" outlineLevel="0" collapsed="false">
      <c r="A135" s="79"/>
      <c r="B135" s="200" t="s">
        <v>220</v>
      </c>
      <c r="C135" s="201" t="n">
        <v>12</v>
      </c>
      <c r="D135" s="79" t="n">
        <v>11</v>
      </c>
      <c r="E135" s="79" t="n">
        <v>4.665</v>
      </c>
      <c r="F135" s="79" t="n">
        <f aca="false">C135-E135</f>
        <v>7.335</v>
      </c>
      <c r="G135" s="199" t="n">
        <v>6</v>
      </c>
      <c r="H135" s="78"/>
      <c r="I135" s="202" t="s">
        <v>221</v>
      </c>
      <c r="J135" s="209" t="n">
        <v>6545</v>
      </c>
      <c r="K135" s="203" t="n">
        <v>68</v>
      </c>
      <c r="L135" s="78"/>
    </row>
    <row r="136" customFormat="false" ht="12.75" hidden="false" customHeight="false" outlineLevel="0" collapsed="false">
      <c r="A136" s="79"/>
      <c r="B136" s="200" t="s">
        <v>222</v>
      </c>
      <c r="C136" s="201" t="n">
        <v>0.419</v>
      </c>
      <c r="D136" s="78"/>
      <c r="E136" s="79" t="n">
        <v>0.419</v>
      </c>
      <c r="F136" s="79" t="n">
        <f aca="false">C136-E136</f>
        <v>0</v>
      </c>
      <c r="G136" s="199" t="n">
        <v>0.419</v>
      </c>
      <c r="H136" s="78"/>
      <c r="I136" s="202" t="s">
        <v>221</v>
      </c>
      <c r="J136" s="209" t="n">
        <v>275</v>
      </c>
      <c r="K136" s="203" t="n">
        <v>86</v>
      </c>
      <c r="L136" s="78"/>
    </row>
    <row r="137" customFormat="false" ht="12.75" hidden="false" customHeight="false" outlineLevel="0" collapsed="false">
      <c r="A137" s="79"/>
      <c r="B137" s="200"/>
      <c r="C137" s="201"/>
      <c r="D137" s="78"/>
      <c r="E137" s="79"/>
      <c r="F137" s="79"/>
      <c r="G137" s="199"/>
      <c r="H137" s="78"/>
      <c r="I137" s="202" t="s">
        <v>223</v>
      </c>
      <c r="J137" s="209" t="n">
        <v>9812</v>
      </c>
      <c r="K137" s="203" t="n">
        <v>485</v>
      </c>
      <c r="L137" s="78" t="s">
        <v>224</v>
      </c>
    </row>
    <row r="138" customFormat="false" ht="12.75" hidden="false" customHeight="false" outlineLevel="0" collapsed="false">
      <c r="A138" s="78"/>
      <c r="B138" s="200" t="s">
        <v>225</v>
      </c>
      <c r="C138" s="201" t="n">
        <v>5</v>
      </c>
      <c r="D138" s="78"/>
      <c r="E138" s="79" t="n">
        <v>5</v>
      </c>
      <c r="F138" s="79" t="n">
        <f aca="false">C138-E138</f>
        <v>0</v>
      </c>
      <c r="G138" s="199" t="n">
        <v>5</v>
      </c>
      <c r="H138" s="78"/>
      <c r="I138" s="202" t="s">
        <v>226</v>
      </c>
      <c r="J138" s="209" t="n">
        <v>6387</v>
      </c>
      <c r="K138" s="203" t="n">
        <v>400</v>
      </c>
      <c r="L138" s="78"/>
    </row>
    <row r="139" customFormat="false" ht="12.75" hidden="false" customHeight="false" outlineLevel="0" collapsed="false">
      <c r="A139" s="78"/>
      <c r="B139" s="200" t="s">
        <v>227</v>
      </c>
      <c r="C139" s="199" t="n">
        <v>0</v>
      </c>
      <c r="D139" s="78"/>
      <c r="E139" s="79" t="n">
        <v>0</v>
      </c>
      <c r="F139" s="79" t="n">
        <f aca="false">C139-E139</f>
        <v>0</v>
      </c>
      <c r="G139" s="199" t="n">
        <v>20</v>
      </c>
      <c r="H139" s="78"/>
      <c r="I139" s="202" t="s">
        <v>226</v>
      </c>
      <c r="J139" s="209" t="n">
        <v>6347</v>
      </c>
      <c r="K139" s="203" t="n">
        <v>190</v>
      </c>
      <c r="L139" s="78"/>
    </row>
    <row r="140" customFormat="false" ht="12.75" hidden="false" customHeight="false" outlineLevel="0" collapsed="false">
      <c r="A140" s="78"/>
      <c r="B140" s="200" t="s">
        <v>228</v>
      </c>
      <c r="C140" s="201" t="n">
        <v>10</v>
      </c>
      <c r="D140" s="78"/>
      <c r="E140" s="79" t="n">
        <v>9.562</v>
      </c>
      <c r="F140" s="79" t="n">
        <f aca="false">C140-E140</f>
        <v>0.438000000000001</v>
      </c>
      <c r="G140" s="199" t="n">
        <v>10</v>
      </c>
      <c r="H140" s="78"/>
      <c r="I140" s="202" t="s">
        <v>226</v>
      </c>
      <c r="J140" s="209" t="n">
        <v>5892</v>
      </c>
      <c r="K140" s="203" t="n">
        <v>105</v>
      </c>
      <c r="L140" s="78"/>
    </row>
    <row r="141" customFormat="false" ht="12.75" hidden="false" customHeight="false" outlineLevel="0" collapsed="false">
      <c r="A141" s="78"/>
      <c r="B141" s="200" t="s">
        <v>229</v>
      </c>
      <c r="C141" s="201" t="n">
        <v>0.1</v>
      </c>
      <c r="D141" s="78"/>
      <c r="E141" s="79" t="n">
        <v>0.1</v>
      </c>
      <c r="F141" s="79" t="n">
        <f aca="false">C141-E141</f>
        <v>0</v>
      </c>
      <c r="G141" s="199" t="n">
        <v>0.1</v>
      </c>
      <c r="H141" s="78"/>
      <c r="I141" s="202" t="s">
        <v>226</v>
      </c>
      <c r="J141" s="209" t="n">
        <v>6757</v>
      </c>
      <c r="K141" s="203" t="n">
        <v>200</v>
      </c>
      <c r="L141" s="78"/>
    </row>
    <row r="142" customFormat="false" ht="12.75" hidden="false" customHeight="false" outlineLevel="0" collapsed="false">
      <c r="A142" s="78"/>
      <c r="B142" s="200" t="s">
        <v>230</v>
      </c>
      <c r="C142" s="200" t="n">
        <v>0</v>
      </c>
      <c r="D142" s="78"/>
      <c r="E142" s="79" t="n">
        <v>2</v>
      </c>
      <c r="F142" s="79" t="n">
        <f aca="false">C142-E142</f>
        <v>-2</v>
      </c>
      <c r="G142" s="199" t="n">
        <v>2</v>
      </c>
      <c r="H142" s="78"/>
      <c r="I142" s="202" t="s">
        <v>231</v>
      </c>
      <c r="J142" s="78" t="n">
        <v>6598</v>
      </c>
      <c r="K142" s="203" t="n">
        <v>235</v>
      </c>
      <c r="L142" s="78"/>
    </row>
    <row r="143" customFormat="false" ht="12.75" hidden="false" customHeight="false" outlineLevel="0" collapsed="false">
      <c r="A143" s="78"/>
      <c r="B143" s="200" t="s">
        <v>232</v>
      </c>
      <c r="C143" s="201" t="n">
        <v>0.02</v>
      </c>
      <c r="D143" s="78"/>
      <c r="E143" s="79" t="n">
        <v>0.02</v>
      </c>
      <c r="F143" s="79" t="n">
        <f aca="false">C143-E143</f>
        <v>0</v>
      </c>
      <c r="G143" s="199" t="n">
        <v>0.02</v>
      </c>
      <c r="H143" s="78"/>
      <c r="I143" s="202" t="s">
        <v>233</v>
      </c>
      <c r="J143" s="78" t="n">
        <v>6392</v>
      </c>
      <c r="K143" s="203" t="n">
        <v>65</v>
      </c>
      <c r="L143" s="78"/>
    </row>
    <row r="144" customFormat="false" ht="12.75" hidden="false" customHeight="false" outlineLevel="0" collapsed="false">
      <c r="A144" s="78"/>
      <c r="B144" s="200"/>
      <c r="C144" s="199"/>
      <c r="D144" s="78"/>
      <c r="E144" s="79" t="n">
        <v>0</v>
      </c>
      <c r="F144" s="79" t="n">
        <f aca="false">C144-E144</f>
        <v>0</v>
      </c>
      <c r="G144" s="199" t="n">
        <v>10</v>
      </c>
      <c r="H144" s="78"/>
      <c r="I144" s="202" t="s">
        <v>234</v>
      </c>
      <c r="J144" s="78" t="n">
        <v>440</v>
      </c>
      <c r="K144" s="203" t="n">
        <v>444</v>
      </c>
      <c r="L144" s="78" t="n">
        <v>1287</v>
      </c>
    </row>
    <row r="145" customFormat="false" ht="12.75" hidden="false" customHeight="false" outlineLevel="0" collapsed="false">
      <c r="A145" s="78"/>
      <c r="B145" s="200" t="s">
        <v>235</v>
      </c>
      <c r="C145" s="201" t="n">
        <v>0.556</v>
      </c>
      <c r="D145" s="78"/>
      <c r="E145" s="79" t="n">
        <v>0.5</v>
      </c>
      <c r="F145" s="79" t="n">
        <f aca="false">C145-E145</f>
        <v>0.0560000000000001</v>
      </c>
      <c r="G145" s="199" t="n">
        <v>0.705</v>
      </c>
      <c r="H145" s="78"/>
      <c r="I145" s="202" t="s">
        <v>135</v>
      </c>
      <c r="J145" s="78" t="n">
        <v>6173</v>
      </c>
      <c r="K145" s="203" t="n">
        <v>975</v>
      </c>
      <c r="L145" s="78" t="n">
        <v>4770</v>
      </c>
    </row>
    <row r="146" customFormat="false" ht="12.75" hidden="false" customHeight="false" outlineLevel="0" collapsed="false">
      <c r="A146" s="78"/>
      <c r="B146" s="200" t="s">
        <v>53</v>
      </c>
      <c r="C146" s="200" t="n">
        <v>0</v>
      </c>
      <c r="D146" s="78"/>
      <c r="E146" s="79" t="n">
        <v>10.922</v>
      </c>
      <c r="F146" s="79" t="n">
        <f aca="false">C146-E146</f>
        <v>-10.922</v>
      </c>
      <c r="G146" s="199" t="n">
        <v>8.5</v>
      </c>
      <c r="H146" s="78"/>
      <c r="I146" s="202" t="s">
        <v>236</v>
      </c>
      <c r="J146" s="78"/>
      <c r="K146" s="202" t="n">
        <v>0</v>
      </c>
      <c r="L146" s="78"/>
    </row>
    <row r="147" customFormat="false" ht="12.75" hidden="false" customHeight="false" outlineLevel="0" collapsed="false">
      <c r="A147" s="78"/>
      <c r="B147" s="200" t="s">
        <v>237</v>
      </c>
      <c r="C147" s="201" t="n">
        <v>2</v>
      </c>
      <c r="D147" s="78"/>
      <c r="E147" s="79" t="n">
        <v>2</v>
      </c>
      <c r="F147" s="79" t="n">
        <f aca="false">C147-E147</f>
        <v>0</v>
      </c>
      <c r="G147" s="199" t="n">
        <v>0</v>
      </c>
      <c r="H147" s="78"/>
      <c r="I147" s="202" t="s">
        <v>238</v>
      </c>
      <c r="J147" s="78" t="n">
        <v>4132</v>
      </c>
      <c r="K147" s="203" t="n">
        <v>7500</v>
      </c>
      <c r="L147" s="78"/>
    </row>
    <row r="148" customFormat="false" ht="12.75" hidden="false" customHeight="false" outlineLevel="0" collapsed="false">
      <c r="A148" s="78"/>
      <c r="B148" s="200" t="s">
        <v>21</v>
      </c>
      <c r="C148" s="200" t="n">
        <v>0</v>
      </c>
      <c r="D148" s="78"/>
      <c r="E148" s="79" t="n">
        <v>42.671</v>
      </c>
      <c r="F148" s="79" t="n">
        <f aca="false">C148-E148</f>
        <v>-42.671</v>
      </c>
      <c r="G148" s="199" t="n">
        <v>30</v>
      </c>
      <c r="H148" s="78"/>
      <c r="I148" s="202" t="s">
        <v>239</v>
      </c>
      <c r="J148" s="209" t="s">
        <v>240</v>
      </c>
      <c r="K148" s="203" t="n">
        <f aca="false">1445+1+1500+1281</f>
        <v>4227</v>
      </c>
      <c r="L148" s="78"/>
    </row>
    <row r="149" customFormat="false" ht="12.75" hidden="false" customHeight="false" outlineLevel="0" collapsed="false">
      <c r="A149" s="78"/>
      <c r="B149" s="200" t="s">
        <v>19</v>
      </c>
      <c r="C149" s="201" t="n">
        <v>80</v>
      </c>
      <c r="D149" s="78" t="n">
        <v>65</v>
      </c>
      <c r="E149" s="79" t="n">
        <v>63.607</v>
      </c>
      <c r="F149" s="79" t="n">
        <f aca="false">C149-E149</f>
        <v>16.393</v>
      </c>
      <c r="G149" s="199" t="n">
        <v>65</v>
      </c>
      <c r="H149" s="78"/>
      <c r="I149" s="202" t="s">
        <v>241</v>
      </c>
      <c r="J149" s="78" t="n">
        <v>3405</v>
      </c>
      <c r="K149" s="202" t="n">
        <v>0</v>
      </c>
      <c r="L149" s="78"/>
    </row>
    <row r="150" customFormat="false" ht="12.75" hidden="false" customHeight="false" outlineLevel="0" collapsed="false">
      <c r="A150" s="78"/>
      <c r="B150" s="200" t="s">
        <v>242</v>
      </c>
      <c r="C150" s="201" t="n">
        <v>0.18</v>
      </c>
      <c r="D150" s="78"/>
      <c r="E150" s="79" t="n">
        <v>0.18</v>
      </c>
      <c r="F150" s="79" t="n">
        <f aca="false">C150-E150</f>
        <v>0</v>
      </c>
      <c r="G150" s="199" t="n">
        <v>0.18</v>
      </c>
      <c r="H150" s="78"/>
      <c r="I150" s="202" t="s">
        <v>243</v>
      </c>
      <c r="J150" s="78" t="n">
        <v>6353</v>
      </c>
      <c r="K150" s="203" t="n">
        <v>4000</v>
      </c>
      <c r="L150" s="78"/>
    </row>
    <row r="151" customFormat="false" ht="12.75" hidden="false" customHeight="false" outlineLevel="0" collapsed="false">
      <c r="A151" s="78"/>
      <c r="B151" s="210" t="s">
        <v>244</v>
      </c>
      <c r="C151" s="210" t="n">
        <v>0</v>
      </c>
      <c r="D151" s="78"/>
      <c r="E151" s="79" t="n">
        <v>0</v>
      </c>
      <c r="F151" s="79" t="n">
        <f aca="false">C151-E151</f>
        <v>0</v>
      </c>
      <c r="G151" s="199" t="n">
        <v>1.991</v>
      </c>
      <c r="H151" s="78"/>
      <c r="I151" s="202" t="s">
        <v>245</v>
      </c>
      <c r="J151" s="78" t="n">
        <v>6899</v>
      </c>
      <c r="K151" s="203" t="n">
        <v>428</v>
      </c>
      <c r="L151" s="78" t="s">
        <v>224</v>
      </c>
    </row>
    <row r="152" customFormat="false" ht="12.75" hidden="false" customHeight="false" outlineLevel="0" collapsed="false">
      <c r="A152" s="78"/>
      <c r="B152" s="200" t="s">
        <v>23</v>
      </c>
      <c r="C152" s="201" t="n">
        <v>35</v>
      </c>
      <c r="D152" s="78"/>
      <c r="E152" s="79" t="n">
        <v>26.359</v>
      </c>
      <c r="F152" s="79" t="n">
        <f aca="false">C152-E152</f>
        <v>8.641</v>
      </c>
      <c r="G152" s="199" t="n">
        <v>45</v>
      </c>
      <c r="H152" s="78"/>
      <c r="I152" s="202" t="s">
        <v>246</v>
      </c>
      <c r="J152" s="78" t="n">
        <v>6523</v>
      </c>
      <c r="K152" s="203" t="n">
        <v>500</v>
      </c>
      <c r="L152" s="78"/>
    </row>
    <row r="153" customFormat="false" ht="12.75" hidden="false" customHeight="false" outlineLevel="0" collapsed="false">
      <c r="A153" s="78"/>
      <c r="B153" s="200"/>
      <c r="C153" s="201"/>
      <c r="D153" s="78"/>
      <c r="E153" s="79"/>
      <c r="F153" s="79"/>
      <c r="G153" s="199"/>
      <c r="H153" s="78"/>
      <c r="I153" s="202" t="s">
        <v>247</v>
      </c>
      <c r="J153" s="211" t="s">
        <v>248</v>
      </c>
      <c r="K153" s="203" t="n">
        <v>20</v>
      </c>
      <c r="L153" s="78"/>
    </row>
    <row r="154" customFormat="false" ht="12.75" hidden="false" customHeight="false" outlineLevel="0" collapsed="false">
      <c r="A154" s="78"/>
      <c r="B154" s="200" t="s">
        <v>66</v>
      </c>
      <c r="C154" s="200" t="n">
        <v>0</v>
      </c>
      <c r="D154" s="78"/>
      <c r="E154" s="79" t="n">
        <v>6.142</v>
      </c>
      <c r="F154" s="79" t="n">
        <f aca="false">C154-E154</f>
        <v>-6.142</v>
      </c>
      <c r="G154" s="199" t="n">
        <v>6</v>
      </c>
      <c r="H154" s="78"/>
      <c r="I154" s="202" t="s">
        <v>249</v>
      </c>
      <c r="J154" s="78" t="n">
        <v>7491</v>
      </c>
      <c r="K154" s="203" t="n">
        <v>1000</v>
      </c>
      <c r="L154" s="78" t="n">
        <v>2000</v>
      </c>
    </row>
    <row r="155" customFormat="false" ht="12.75" hidden="false" customHeight="false" outlineLevel="0" collapsed="false">
      <c r="A155" s="78"/>
      <c r="B155" s="207" t="s">
        <v>250</v>
      </c>
      <c r="C155" s="207" t="n">
        <v>9.9</v>
      </c>
      <c r="D155" s="78"/>
      <c r="E155" s="79" t="n">
        <v>11.156</v>
      </c>
      <c r="F155" s="79" t="n">
        <f aca="false">C155-E155</f>
        <v>-1.256</v>
      </c>
      <c r="G155" s="199" t="n">
        <v>11.5</v>
      </c>
      <c r="H155" s="78"/>
      <c r="I155" s="202" t="s">
        <v>251</v>
      </c>
      <c r="J155" s="78" t="n">
        <v>6173</v>
      </c>
      <c r="K155" s="203" t="n">
        <v>1000</v>
      </c>
      <c r="L155" s="78"/>
    </row>
    <row r="156" customFormat="false" ht="12.75" hidden="false" customHeight="false" outlineLevel="0" collapsed="false">
      <c r="A156" s="78"/>
      <c r="B156" s="200" t="s">
        <v>252</v>
      </c>
      <c r="C156" s="201" t="n">
        <v>0.5</v>
      </c>
      <c r="D156" s="78"/>
      <c r="E156" s="79" t="n">
        <v>0.5</v>
      </c>
      <c r="F156" s="79" t="n">
        <f aca="false">C156-E156</f>
        <v>0</v>
      </c>
      <c r="G156" s="199" t="n">
        <v>0.3</v>
      </c>
      <c r="H156" s="78"/>
      <c r="I156" s="202" t="s">
        <v>253</v>
      </c>
      <c r="J156" s="78" t="n">
        <v>6210</v>
      </c>
      <c r="K156" s="203" t="n">
        <v>7500</v>
      </c>
      <c r="L156" s="78"/>
    </row>
    <row r="157" customFormat="false" ht="12.75" hidden="false" customHeight="false" outlineLevel="0" collapsed="false">
      <c r="A157" s="78"/>
      <c r="B157" s="200" t="s">
        <v>254</v>
      </c>
      <c r="C157" s="201" t="n">
        <v>0.215</v>
      </c>
      <c r="D157" s="78"/>
      <c r="E157" s="79" t="n">
        <v>0.215</v>
      </c>
      <c r="F157" s="79" t="n">
        <f aca="false">C157-E157</f>
        <v>0</v>
      </c>
      <c r="G157" s="199" t="n">
        <v>0.215</v>
      </c>
      <c r="H157" s="78"/>
      <c r="I157" s="202" t="s">
        <v>255</v>
      </c>
      <c r="J157" s="78" t="n">
        <v>5097</v>
      </c>
      <c r="K157" s="205" t="n">
        <v>0</v>
      </c>
      <c r="L157" s="78" t="n">
        <v>7307</v>
      </c>
    </row>
    <row r="158" customFormat="false" ht="12.75" hidden="false" customHeight="false" outlineLevel="0" collapsed="false">
      <c r="A158" s="78"/>
      <c r="B158" s="200" t="s">
        <v>62</v>
      </c>
      <c r="C158" s="201" t="n">
        <v>0.8</v>
      </c>
      <c r="D158" s="78"/>
      <c r="E158" s="79" t="n">
        <v>0.9</v>
      </c>
      <c r="F158" s="79" t="n">
        <f aca="false">C158-E158</f>
        <v>-0.1</v>
      </c>
      <c r="G158" s="199" t="n">
        <v>0.9</v>
      </c>
      <c r="H158" s="78"/>
      <c r="I158" s="202" t="s">
        <v>256</v>
      </c>
      <c r="J158" s="78" t="s">
        <v>257</v>
      </c>
      <c r="K158" s="203" t="n">
        <f aca="false">200+60</f>
        <v>260</v>
      </c>
      <c r="L158" s="78" t="s">
        <v>258</v>
      </c>
    </row>
    <row r="159" customFormat="false" ht="12.75" hidden="false" customHeight="false" outlineLevel="0" collapsed="false">
      <c r="A159" s="78"/>
      <c r="B159" s="200" t="s">
        <v>259</v>
      </c>
      <c r="C159" s="199" t="n">
        <v>0</v>
      </c>
      <c r="D159" s="78"/>
      <c r="E159" s="79" t="n">
        <v>0</v>
      </c>
      <c r="F159" s="79" t="n">
        <f aca="false">C159-E159</f>
        <v>0</v>
      </c>
      <c r="G159" s="199" t="n">
        <v>0.08</v>
      </c>
      <c r="H159" s="78"/>
      <c r="I159" s="202" t="s">
        <v>260</v>
      </c>
      <c r="J159" s="78"/>
      <c r="K159" s="203" t="n">
        <v>800</v>
      </c>
      <c r="L159" s="78"/>
    </row>
    <row r="160" customFormat="false" ht="12.75" hidden="false" customHeight="false" outlineLevel="0" collapsed="false">
      <c r="A160" s="78"/>
      <c r="B160" s="200" t="s">
        <v>261</v>
      </c>
      <c r="C160" s="200" t="n">
        <v>0</v>
      </c>
      <c r="D160" s="78"/>
      <c r="E160" s="79" t="n">
        <v>0</v>
      </c>
      <c r="F160" s="79" t="n">
        <f aca="false">C160-E160</f>
        <v>0</v>
      </c>
      <c r="G160" s="199" t="n">
        <v>0</v>
      </c>
      <c r="H160" s="78"/>
      <c r="I160" s="202" t="s">
        <v>262</v>
      </c>
      <c r="J160" s="78" t="s">
        <v>257</v>
      </c>
      <c r="K160" s="204" t="n">
        <v>0</v>
      </c>
      <c r="L160" s="78"/>
    </row>
    <row r="161" customFormat="false" ht="12.75" hidden="false" customHeight="false" outlineLevel="0" collapsed="false">
      <c r="A161" s="78"/>
      <c r="B161" s="200" t="s">
        <v>263</v>
      </c>
      <c r="C161" s="201" t="n">
        <v>1</v>
      </c>
      <c r="D161" s="78"/>
      <c r="E161" s="79" t="n">
        <v>1</v>
      </c>
      <c r="F161" s="79" t="n">
        <f aca="false">C161-E161</f>
        <v>0</v>
      </c>
      <c r="G161" s="199" t="n">
        <v>1.5</v>
      </c>
      <c r="H161" s="78"/>
      <c r="I161" s="202" t="s">
        <v>264</v>
      </c>
      <c r="J161" s="78" t="n">
        <v>5310</v>
      </c>
      <c r="K161" s="203" t="n">
        <v>138</v>
      </c>
      <c r="L161" s="78"/>
    </row>
    <row r="162" customFormat="false" ht="12.75" hidden="false" customHeight="false" outlineLevel="0" collapsed="false">
      <c r="A162" s="78"/>
      <c r="B162" s="200" t="s">
        <v>265</v>
      </c>
      <c r="C162" s="201" t="n">
        <v>1.5</v>
      </c>
      <c r="D162" s="78"/>
      <c r="E162" s="79" t="n">
        <v>1.5</v>
      </c>
      <c r="F162" s="79" t="n">
        <f aca="false">C162-E162</f>
        <v>0</v>
      </c>
      <c r="G162" s="199" t="n">
        <v>1</v>
      </c>
      <c r="H162" s="78"/>
      <c r="I162" s="202" t="s">
        <v>266</v>
      </c>
      <c r="J162" s="78" t="n">
        <v>6553</v>
      </c>
      <c r="K162" s="203" t="n">
        <v>4</v>
      </c>
      <c r="L162" s="78"/>
    </row>
    <row r="163" customFormat="false" ht="12.75" hidden="false" customHeight="false" outlineLevel="0" collapsed="false">
      <c r="A163" s="78"/>
      <c r="B163" s="200" t="s">
        <v>267</v>
      </c>
      <c r="C163" s="201" t="n">
        <v>1.4</v>
      </c>
      <c r="D163" s="78"/>
      <c r="E163" s="79" t="n">
        <v>1.4</v>
      </c>
      <c r="F163" s="79" t="n">
        <f aca="false">C163-E163</f>
        <v>0</v>
      </c>
      <c r="G163" s="199" t="n">
        <v>1.5</v>
      </c>
      <c r="H163" s="78"/>
      <c r="I163" s="202" t="s">
        <v>268</v>
      </c>
      <c r="J163" s="78" t="s">
        <v>269</v>
      </c>
      <c r="K163" s="203" t="n">
        <f aca="false">115</f>
        <v>115</v>
      </c>
      <c r="L163" s="78"/>
    </row>
    <row r="164" customFormat="false" ht="12.75" hidden="false" customHeight="false" outlineLevel="0" collapsed="false">
      <c r="A164" s="78"/>
      <c r="B164" s="200" t="s">
        <v>270</v>
      </c>
      <c r="C164" s="200" t="n">
        <v>0</v>
      </c>
      <c r="D164" s="202"/>
      <c r="E164" s="79" t="n">
        <v>25.217</v>
      </c>
      <c r="F164" s="79" t="n">
        <f aca="false">C164-E164</f>
        <v>-25.217</v>
      </c>
      <c r="G164" s="199" t="n">
        <v>1.4</v>
      </c>
      <c r="H164" s="78"/>
      <c r="I164" s="202" t="s">
        <v>271</v>
      </c>
      <c r="J164" s="78" t="n">
        <v>6534</v>
      </c>
      <c r="K164" s="203" t="n">
        <v>2000</v>
      </c>
      <c r="L164" s="78"/>
    </row>
    <row r="165" customFormat="false" ht="12.75" hidden="false" customHeight="false" outlineLevel="0" collapsed="false">
      <c r="A165" s="78"/>
      <c r="B165" s="200" t="s">
        <v>272</v>
      </c>
      <c r="C165" s="201" t="n">
        <v>5.975</v>
      </c>
      <c r="D165" s="78"/>
      <c r="E165" s="79" t="n">
        <v>5.975</v>
      </c>
      <c r="F165" s="79" t="n">
        <f aca="false">C165-E165</f>
        <v>0</v>
      </c>
      <c r="G165" s="199" t="n">
        <v>25</v>
      </c>
      <c r="H165" s="78"/>
      <c r="I165" s="202" t="s">
        <v>273</v>
      </c>
      <c r="J165" s="78" t="n">
        <v>6614</v>
      </c>
      <c r="K165" s="204" t="n">
        <v>0</v>
      </c>
      <c r="L165" s="78"/>
    </row>
    <row r="166" customFormat="false" ht="12.75" hidden="false" customHeight="false" outlineLevel="0" collapsed="false">
      <c r="A166" s="78"/>
      <c r="B166" s="200" t="s">
        <v>274</v>
      </c>
      <c r="C166" s="201" t="n">
        <v>15</v>
      </c>
      <c r="D166" s="78"/>
      <c r="E166" s="79" t="n">
        <v>10</v>
      </c>
      <c r="F166" s="79" t="n">
        <f aca="false">C166-E166</f>
        <v>5</v>
      </c>
      <c r="G166" s="199" t="n">
        <v>5.975</v>
      </c>
      <c r="H166" s="78"/>
      <c r="I166" s="202" t="s">
        <v>275</v>
      </c>
      <c r="J166" s="78" t="n">
        <v>6542</v>
      </c>
      <c r="K166" s="203" t="n">
        <v>1</v>
      </c>
      <c r="L166" s="78"/>
    </row>
    <row r="167" customFormat="false" ht="12.75" hidden="false" customHeight="false" outlineLevel="0" collapsed="false">
      <c r="A167" s="78"/>
      <c r="B167" s="200" t="s">
        <v>276</v>
      </c>
      <c r="C167" s="201" t="n">
        <v>0.05</v>
      </c>
      <c r="D167" s="78"/>
      <c r="E167" s="79" t="n">
        <v>0.05</v>
      </c>
      <c r="F167" s="79" t="n">
        <f aca="false">C167-E167</f>
        <v>0</v>
      </c>
      <c r="G167" s="199" t="n">
        <v>10</v>
      </c>
      <c r="H167" s="78"/>
      <c r="I167" s="202" t="s">
        <v>277</v>
      </c>
      <c r="J167" s="78" t="n">
        <v>5310</v>
      </c>
      <c r="K167" s="203" t="n">
        <v>184</v>
      </c>
      <c r="L167" s="78"/>
    </row>
    <row r="168" customFormat="false" ht="12.75" hidden="false" customHeight="false" outlineLevel="0" collapsed="false">
      <c r="A168" s="78"/>
      <c r="B168" s="200" t="s">
        <v>278</v>
      </c>
      <c r="C168" s="201" t="n">
        <v>0.6</v>
      </c>
      <c r="D168" s="78"/>
      <c r="E168" s="79" t="n">
        <v>0.713</v>
      </c>
      <c r="F168" s="79" t="n">
        <f aca="false">C168-E168</f>
        <v>-0.113</v>
      </c>
      <c r="G168" s="199" t="n">
        <v>0.05</v>
      </c>
      <c r="H168" s="78"/>
      <c r="I168" s="202" t="s">
        <v>279</v>
      </c>
      <c r="J168" s="78" t="n">
        <v>5310</v>
      </c>
      <c r="K168" s="203" t="n">
        <v>1200</v>
      </c>
      <c r="L168" s="78"/>
    </row>
    <row r="169" customFormat="false" ht="12.75" hidden="false" customHeight="false" outlineLevel="0" collapsed="false">
      <c r="A169" s="78"/>
      <c r="B169" s="200" t="s">
        <v>280</v>
      </c>
      <c r="C169" s="201" t="n">
        <v>0.24</v>
      </c>
      <c r="D169" s="78"/>
      <c r="E169" s="79" t="n">
        <v>1.2</v>
      </c>
      <c r="F169" s="79" t="n">
        <f aca="false">C169-E169</f>
        <v>-0.96</v>
      </c>
      <c r="G169" s="199" t="n">
        <v>0.713</v>
      </c>
      <c r="H169" s="78"/>
      <c r="I169" s="202" t="s">
        <v>281</v>
      </c>
      <c r="J169" s="78"/>
      <c r="K169" s="202" t="n">
        <v>0</v>
      </c>
      <c r="L169" s="78"/>
    </row>
    <row r="170" customFormat="false" ht="12.75" hidden="false" customHeight="false" outlineLevel="0" collapsed="false">
      <c r="A170" s="78"/>
      <c r="B170" s="200" t="s">
        <v>119</v>
      </c>
      <c r="C170" s="199" t="n">
        <v>0</v>
      </c>
      <c r="D170" s="78"/>
      <c r="E170" s="79" t="n">
        <v>0</v>
      </c>
      <c r="F170" s="79" t="n">
        <f aca="false">C170-E170</f>
        <v>0</v>
      </c>
      <c r="G170" s="199" t="n">
        <v>1.2</v>
      </c>
      <c r="H170" s="78"/>
      <c r="I170" s="202" t="s">
        <v>282</v>
      </c>
      <c r="J170" s="78"/>
      <c r="K170" s="202" t="n">
        <v>0</v>
      </c>
      <c r="L170" s="78"/>
    </row>
    <row r="171" customFormat="false" ht="12.75" hidden="false" customHeight="false" outlineLevel="0" collapsed="false">
      <c r="A171" s="78"/>
      <c r="B171" s="200" t="s">
        <v>283</v>
      </c>
      <c r="C171" s="201" t="n">
        <v>10</v>
      </c>
      <c r="D171" s="78"/>
      <c r="E171" s="79" t="n">
        <v>10</v>
      </c>
      <c r="F171" s="79" t="n">
        <f aca="false">C171-E171</f>
        <v>0</v>
      </c>
      <c r="G171" s="199" t="n">
        <v>5</v>
      </c>
      <c r="H171" s="78"/>
      <c r="I171" s="202" t="s">
        <v>284</v>
      </c>
      <c r="J171" s="78"/>
      <c r="K171" s="202" t="n">
        <v>0</v>
      </c>
      <c r="L171" s="78"/>
    </row>
    <row r="172" customFormat="false" ht="12.75" hidden="false" customHeight="false" outlineLevel="0" collapsed="false">
      <c r="A172" s="78"/>
      <c r="B172" s="200"/>
      <c r="C172" s="201"/>
      <c r="D172" s="78"/>
      <c r="E172" s="79"/>
      <c r="F172" s="79"/>
      <c r="G172" s="199"/>
      <c r="H172" s="78"/>
      <c r="I172" s="202" t="s">
        <v>285</v>
      </c>
      <c r="J172" s="78"/>
      <c r="K172" s="202" t="n">
        <v>0</v>
      </c>
      <c r="L172" s="78"/>
    </row>
    <row r="173" customFormat="false" ht="12.75" hidden="false" customHeight="false" outlineLevel="0" collapsed="false">
      <c r="A173" s="78"/>
      <c r="B173" s="200" t="s">
        <v>286</v>
      </c>
      <c r="C173" s="201" t="n">
        <v>0.45</v>
      </c>
      <c r="D173" s="78"/>
      <c r="E173" s="79" t="n">
        <v>0.45</v>
      </c>
      <c r="F173" s="79" t="n">
        <f aca="false">C173-E173</f>
        <v>0</v>
      </c>
      <c r="G173" s="199" t="n">
        <v>10</v>
      </c>
      <c r="H173" s="78"/>
      <c r="I173" s="202" t="s">
        <v>287</v>
      </c>
      <c r="J173" s="78"/>
      <c r="K173" s="202" t="n">
        <v>0</v>
      </c>
      <c r="L173" s="78"/>
    </row>
    <row r="174" customFormat="false" ht="12.75" hidden="false" customHeight="false" outlineLevel="0" collapsed="false">
      <c r="A174" s="78"/>
      <c r="B174" s="79" t="s">
        <v>288</v>
      </c>
      <c r="C174" s="79" t="n">
        <v>0</v>
      </c>
      <c r="D174" s="78"/>
      <c r="E174" s="79" t="n">
        <v>0</v>
      </c>
      <c r="F174" s="79" t="n">
        <f aca="false">C174-E174</f>
        <v>0</v>
      </c>
      <c r="G174" s="199" t="n">
        <v>0.45</v>
      </c>
      <c r="H174" s="78"/>
      <c r="I174" s="202" t="s">
        <v>289</v>
      </c>
      <c r="J174" s="78" t="n">
        <v>7211</v>
      </c>
      <c r="K174" s="203" t="n">
        <v>1000</v>
      </c>
      <c r="L174" s="78"/>
    </row>
    <row r="175" customFormat="false" ht="12.75" hidden="false" customHeight="false" outlineLevel="0" collapsed="false">
      <c r="A175" s="78"/>
      <c r="B175" s="200" t="s">
        <v>290</v>
      </c>
      <c r="C175" s="201" t="n">
        <v>20</v>
      </c>
      <c r="D175" s="78"/>
      <c r="E175" s="79" t="n">
        <v>20</v>
      </c>
      <c r="F175" s="79" t="n">
        <f aca="false">C175-E175</f>
        <v>0</v>
      </c>
      <c r="G175" s="199" t="n">
        <v>19</v>
      </c>
      <c r="H175" s="78"/>
      <c r="I175" s="202" t="s">
        <v>291</v>
      </c>
      <c r="J175" s="78" t="n">
        <v>6722</v>
      </c>
      <c r="K175" s="203" t="n">
        <v>48</v>
      </c>
      <c r="L175" s="78" t="n">
        <v>12500</v>
      </c>
    </row>
    <row r="176" customFormat="false" ht="12.75" hidden="false" customHeight="false" outlineLevel="0" collapsed="false">
      <c r="A176" s="78"/>
      <c r="B176" s="200" t="s">
        <v>292</v>
      </c>
      <c r="C176" s="201" t="n">
        <v>1.5</v>
      </c>
      <c r="D176" s="78"/>
      <c r="E176" s="79" t="n">
        <v>1.5</v>
      </c>
      <c r="F176" s="79" t="n">
        <f aca="false">C176-E176</f>
        <v>0</v>
      </c>
      <c r="G176" s="199" t="n">
        <v>10</v>
      </c>
      <c r="H176" s="78"/>
      <c r="I176" s="202" t="s">
        <v>293</v>
      </c>
      <c r="J176" s="78"/>
      <c r="K176" s="203" t="n">
        <v>845</v>
      </c>
      <c r="L176" s="78"/>
    </row>
    <row r="177" customFormat="false" ht="12.75" hidden="false" customHeight="false" outlineLevel="0" collapsed="false">
      <c r="A177" s="78"/>
      <c r="B177" s="79" t="s">
        <v>125</v>
      </c>
      <c r="C177" s="79" t="n">
        <v>0</v>
      </c>
      <c r="D177" s="78"/>
      <c r="E177" s="79" t="n">
        <v>0</v>
      </c>
      <c r="F177" s="79" t="n">
        <f aca="false">C177-E177</f>
        <v>0</v>
      </c>
      <c r="G177" s="199" t="n">
        <v>1.5</v>
      </c>
      <c r="H177" s="78"/>
      <c r="I177" s="202" t="s">
        <v>294</v>
      </c>
      <c r="J177" s="78" t="n">
        <v>4063</v>
      </c>
      <c r="K177" s="203" t="n">
        <v>231</v>
      </c>
      <c r="L177" s="78"/>
    </row>
    <row r="178" customFormat="false" ht="12.75" hidden="false" customHeight="false" outlineLevel="0" collapsed="false">
      <c r="A178" s="78"/>
      <c r="B178" s="79"/>
      <c r="C178" s="79"/>
      <c r="D178" s="78"/>
      <c r="E178" s="79"/>
      <c r="F178" s="79"/>
      <c r="G178" s="199"/>
      <c r="H178" s="78"/>
      <c r="I178" s="202" t="s">
        <v>117</v>
      </c>
      <c r="J178" s="78" t="n">
        <v>3405</v>
      </c>
      <c r="K178" s="203" t="n">
        <v>2553</v>
      </c>
      <c r="L178" s="78"/>
    </row>
    <row r="179" customFormat="false" ht="12.75" hidden="false" customHeight="false" outlineLevel="0" collapsed="false">
      <c r="A179" s="78"/>
      <c r="B179" s="79"/>
      <c r="C179" s="79"/>
      <c r="D179" s="78"/>
      <c r="E179" s="79"/>
      <c r="F179" s="79"/>
      <c r="G179" s="199"/>
      <c r="H179" s="78"/>
      <c r="I179" s="202" t="s">
        <v>69</v>
      </c>
      <c r="J179" s="78" t="n">
        <v>9643</v>
      </c>
      <c r="K179" s="203" t="n">
        <v>7000</v>
      </c>
      <c r="L179" s="78"/>
    </row>
    <row r="180" customFormat="false" ht="12.75" hidden="false" customHeight="false" outlineLevel="0" collapsed="false">
      <c r="A180" s="78"/>
      <c r="B180" s="200" t="s">
        <v>295</v>
      </c>
      <c r="C180" s="201" t="n">
        <v>4</v>
      </c>
      <c r="D180" s="78"/>
      <c r="E180" s="79" t="n">
        <v>4</v>
      </c>
      <c r="F180" s="79" t="n">
        <f aca="false">C180-E180</f>
        <v>0</v>
      </c>
      <c r="G180" s="199" t="n">
        <v>4.5</v>
      </c>
      <c r="H180" s="78"/>
      <c r="I180" s="202" t="s">
        <v>296</v>
      </c>
      <c r="J180" s="78" t="n">
        <v>9643</v>
      </c>
      <c r="K180" s="203" t="n">
        <v>4300</v>
      </c>
      <c r="L180" s="78"/>
    </row>
    <row r="181" customFormat="false" ht="12.75" hidden="false" customHeight="false" outlineLevel="0" collapsed="false">
      <c r="A181" s="78"/>
      <c r="B181" s="200" t="s">
        <v>297</v>
      </c>
      <c r="C181" s="201" t="n">
        <v>0.08</v>
      </c>
      <c r="D181" s="78"/>
      <c r="E181" s="79" t="n">
        <v>0.061</v>
      </c>
      <c r="F181" s="79" t="n">
        <f aca="false">C181-E181</f>
        <v>0.019</v>
      </c>
      <c r="G181" s="199" t="n">
        <v>4</v>
      </c>
      <c r="H181" s="78"/>
      <c r="I181" s="202" t="s">
        <v>298</v>
      </c>
      <c r="J181" s="78" t="n">
        <v>6788</v>
      </c>
      <c r="K181" s="203" t="n">
        <v>250</v>
      </c>
      <c r="L181" s="78"/>
    </row>
    <row r="182" customFormat="false" ht="12.75" hidden="false" customHeight="false" outlineLevel="0" collapsed="false">
      <c r="A182" s="78"/>
      <c r="B182" s="200" t="s">
        <v>299</v>
      </c>
      <c r="C182" s="201" t="n">
        <v>40</v>
      </c>
      <c r="D182" s="78"/>
      <c r="E182" s="79" t="n">
        <v>41.425</v>
      </c>
      <c r="F182" s="210" t="n">
        <f aca="false">C182-E182</f>
        <v>-1.425</v>
      </c>
      <c r="G182" s="199" t="n">
        <v>0.061</v>
      </c>
      <c r="H182" s="78"/>
      <c r="I182" s="202" t="s">
        <v>300</v>
      </c>
      <c r="J182" s="78" t="n">
        <v>6683</v>
      </c>
      <c r="K182" s="203" t="n">
        <v>2800</v>
      </c>
      <c r="L182" s="78" t="n">
        <v>863</v>
      </c>
    </row>
    <row r="183" customFormat="false" ht="12.75" hidden="false" customHeight="false" outlineLevel="0" collapsed="false">
      <c r="A183" s="78"/>
      <c r="B183" s="200" t="s">
        <v>31</v>
      </c>
      <c r="C183" s="201" t="n">
        <v>19</v>
      </c>
      <c r="D183" s="78"/>
      <c r="E183" s="79" t="n">
        <v>18.899</v>
      </c>
      <c r="F183" s="79" t="n">
        <f aca="false">C183-E183</f>
        <v>0.100999999999999</v>
      </c>
      <c r="G183" s="199" t="n">
        <v>40</v>
      </c>
      <c r="H183" s="78"/>
      <c r="I183" s="202" t="s">
        <v>301</v>
      </c>
      <c r="J183" s="78" t="n">
        <v>2185</v>
      </c>
      <c r="K183" s="203" t="n">
        <v>35</v>
      </c>
      <c r="L183" s="78"/>
    </row>
    <row r="184" customFormat="false" ht="12.75" hidden="false" customHeight="false" outlineLevel="0" collapsed="false">
      <c r="A184" s="78"/>
      <c r="B184" s="200" t="s">
        <v>302</v>
      </c>
      <c r="C184" s="201" t="n">
        <v>1</v>
      </c>
      <c r="D184" s="78"/>
      <c r="E184" s="79" t="n">
        <v>1</v>
      </c>
      <c r="F184" s="79" t="n">
        <f aca="false">C184-E184</f>
        <v>0</v>
      </c>
      <c r="G184" s="199" t="n">
        <v>20</v>
      </c>
      <c r="H184" s="78"/>
      <c r="I184" s="202" t="s">
        <v>303</v>
      </c>
      <c r="J184" s="78" t="n">
        <v>6296</v>
      </c>
      <c r="K184" s="203" t="n">
        <v>36</v>
      </c>
      <c r="L184" s="78" t="n">
        <v>4581</v>
      </c>
    </row>
    <row r="185" customFormat="false" ht="12.75" hidden="false" customHeight="false" outlineLevel="0" collapsed="false">
      <c r="A185" s="78"/>
      <c r="B185" s="200" t="s">
        <v>185</v>
      </c>
      <c r="C185" s="200" t="n">
        <v>0</v>
      </c>
      <c r="D185" s="78"/>
      <c r="E185" s="79" t="n">
        <v>0</v>
      </c>
      <c r="F185" s="79" t="n">
        <f aca="false">C185-E185</f>
        <v>0</v>
      </c>
      <c r="G185" s="199" t="n">
        <v>1</v>
      </c>
      <c r="H185" s="78"/>
      <c r="I185" s="202" t="s">
        <v>304</v>
      </c>
      <c r="J185" s="78" t="n">
        <v>5053</v>
      </c>
      <c r="K185" s="212" t="n">
        <v>0</v>
      </c>
      <c r="L185" s="78"/>
    </row>
    <row r="186" customFormat="false" ht="12.75" hidden="false" customHeight="false" outlineLevel="0" collapsed="false">
      <c r="A186" s="78"/>
      <c r="B186" s="200" t="s">
        <v>305</v>
      </c>
      <c r="C186" s="201" t="n">
        <v>1</v>
      </c>
      <c r="D186" s="78"/>
      <c r="E186" s="79" t="n">
        <v>1</v>
      </c>
      <c r="F186" s="79" t="n">
        <f aca="false">C186-E186</f>
        <v>0</v>
      </c>
      <c r="G186" s="199" t="n">
        <v>10</v>
      </c>
      <c r="H186" s="78"/>
      <c r="I186" s="202" t="s">
        <v>306</v>
      </c>
      <c r="J186" s="78" t="s">
        <v>307</v>
      </c>
      <c r="K186" s="203" t="n">
        <f aca="false">1+8000+677</f>
        <v>8678</v>
      </c>
      <c r="L186" s="78" t="n">
        <v>10</v>
      </c>
    </row>
    <row r="187" customFormat="false" ht="12.75" hidden="false" customHeight="false" outlineLevel="0" collapsed="false">
      <c r="A187" s="78"/>
      <c r="B187" s="200" t="s">
        <v>308</v>
      </c>
      <c r="C187" s="201" t="n">
        <v>65</v>
      </c>
      <c r="D187" s="78"/>
      <c r="E187" s="79" t="n">
        <v>67.478</v>
      </c>
      <c r="F187" s="79" t="n">
        <f aca="false">C187-E187</f>
        <v>-2.47799999999999</v>
      </c>
      <c r="G187" s="199" t="n">
        <v>1</v>
      </c>
      <c r="H187" s="78"/>
      <c r="I187" s="202" t="s">
        <v>309</v>
      </c>
      <c r="J187" s="78" t="n">
        <v>4132</v>
      </c>
      <c r="K187" s="203" t="n">
        <v>8</v>
      </c>
      <c r="L187" s="78"/>
    </row>
    <row r="188" customFormat="false" ht="12.75" hidden="false" customHeight="false" outlineLevel="0" collapsed="false">
      <c r="A188" s="78"/>
      <c r="B188" s="200" t="s">
        <v>310</v>
      </c>
      <c r="C188" s="201" t="n">
        <v>0.2</v>
      </c>
      <c r="D188" s="78"/>
      <c r="E188" s="79" t="n">
        <v>0.2</v>
      </c>
      <c r="F188" s="79" t="n">
        <f aca="false">C188-E188</f>
        <v>0</v>
      </c>
      <c r="G188" s="199" t="n">
        <v>65</v>
      </c>
      <c r="H188" s="78"/>
      <c r="I188" s="202" t="s">
        <v>118</v>
      </c>
      <c r="J188" s="78" t="n">
        <v>2540</v>
      </c>
      <c r="K188" s="205" t="n">
        <v>0</v>
      </c>
      <c r="L188" s="78"/>
    </row>
    <row r="189" customFormat="false" ht="12.75" hidden="false" customHeight="false" outlineLevel="0" collapsed="false">
      <c r="A189" s="78"/>
      <c r="B189" s="200" t="s">
        <v>311</v>
      </c>
      <c r="C189" s="201" t="n">
        <v>0.043</v>
      </c>
      <c r="D189" s="78"/>
      <c r="E189" s="79"/>
      <c r="F189" s="79"/>
      <c r="G189" s="199"/>
      <c r="H189" s="78"/>
      <c r="I189" s="202" t="s">
        <v>312</v>
      </c>
      <c r="J189" s="78" t="n">
        <v>3405</v>
      </c>
      <c r="K189" s="203" t="n">
        <v>15</v>
      </c>
      <c r="L189" s="78"/>
    </row>
    <row r="190" customFormat="false" ht="12.75" hidden="false" customHeight="false" outlineLevel="0" collapsed="false">
      <c r="A190" s="78"/>
      <c r="B190" s="200" t="s">
        <v>313</v>
      </c>
      <c r="C190" s="201" t="n">
        <v>4</v>
      </c>
      <c r="D190" s="78"/>
      <c r="E190" s="79" t="n">
        <v>4.665</v>
      </c>
      <c r="F190" s="79" t="n">
        <f aca="false">C190-E190</f>
        <v>-0.665</v>
      </c>
      <c r="G190" s="199" t="n">
        <v>0.2</v>
      </c>
      <c r="H190" s="78"/>
      <c r="I190" s="202" t="s">
        <v>312</v>
      </c>
      <c r="J190" s="78" t="n">
        <v>5801</v>
      </c>
      <c r="K190" s="203" t="n">
        <v>1</v>
      </c>
      <c r="L190" s="78"/>
    </row>
    <row r="191" customFormat="false" ht="12.75" hidden="false" customHeight="false" outlineLevel="0" collapsed="false">
      <c r="A191" s="78"/>
      <c r="B191" s="200" t="s">
        <v>314</v>
      </c>
      <c r="C191" s="201" t="n">
        <v>0.05</v>
      </c>
      <c r="D191" s="78"/>
      <c r="E191" s="79" t="n">
        <v>0.05</v>
      </c>
      <c r="F191" s="79" t="n">
        <f aca="false">C191-E191</f>
        <v>0</v>
      </c>
      <c r="G191" s="199" t="n">
        <v>4</v>
      </c>
      <c r="H191" s="78"/>
      <c r="I191" s="202" t="s">
        <v>315</v>
      </c>
      <c r="J191" s="78" t="n">
        <v>6589</v>
      </c>
      <c r="K191" s="203" t="n">
        <v>1100</v>
      </c>
      <c r="L191" s="78"/>
    </row>
    <row r="192" customFormat="false" ht="12.75" hidden="false" customHeight="false" outlineLevel="0" collapsed="false">
      <c r="A192" s="78"/>
      <c r="B192" s="79" t="s">
        <v>216</v>
      </c>
      <c r="C192" s="79" t="n">
        <v>0</v>
      </c>
      <c r="D192" s="78"/>
      <c r="E192" s="79" t="n">
        <v>0</v>
      </c>
      <c r="F192" s="79" t="n">
        <f aca="false">C192-E192</f>
        <v>0</v>
      </c>
      <c r="G192" s="199" t="n">
        <v>0.05</v>
      </c>
      <c r="H192" s="78"/>
      <c r="I192" s="202" t="s">
        <v>316</v>
      </c>
      <c r="J192" s="78" t="n">
        <v>106</v>
      </c>
      <c r="K192" s="203" t="n">
        <v>1068</v>
      </c>
      <c r="L192" s="78"/>
    </row>
    <row r="193" customFormat="false" ht="12.75" hidden="false" customHeight="false" outlineLevel="0" collapsed="false">
      <c r="A193" s="78"/>
      <c r="B193" s="200" t="s">
        <v>317</v>
      </c>
      <c r="C193" s="200" t="n">
        <v>0</v>
      </c>
      <c r="D193" s="78"/>
      <c r="E193" s="79" t="n">
        <v>0</v>
      </c>
      <c r="F193" s="79" t="n">
        <f aca="false">C193-E193</f>
        <v>0</v>
      </c>
      <c r="G193" s="199" t="n">
        <v>0</v>
      </c>
      <c r="H193" s="78"/>
      <c r="I193" s="202" t="s">
        <v>318</v>
      </c>
      <c r="J193" s="78" t="n">
        <v>5053</v>
      </c>
      <c r="K193" s="203" t="n">
        <v>330</v>
      </c>
      <c r="L193" s="78"/>
    </row>
    <row r="194" customFormat="false" ht="12.75" hidden="false" customHeight="false" outlineLevel="0" collapsed="false">
      <c r="B194" s="0" t="s">
        <v>319</v>
      </c>
      <c r="C194" s="79" t="n">
        <v>0</v>
      </c>
      <c r="D194" s="78" t="s">
        <v>320</v>
      </c>
      <c r="E194" s="79" t="n">
        <v>0</v>
      </c>
      <c r="F194" s="79" t="n">
        <f aca="false">C194-E194</f>
        <v>0</v>
      </c>
      <c r="G194" s="199" t="n">
        <v>12.5</v>
      </c>
      <c r="H194" s="78"/>
      <c r="I194" s="202" t="s">
        <v>321</v>
      </c>
      <c r="J194" s="78" t="n">
        <v>6598</v>
      </c>
      <c r="K194" s="203" t="n">
        <v>4206</v>
      </c>
      <c r="L194" s="78" t="s">
        <v>224</v>
      </c>
    </row>
    <row r="195" customFormat="false" ht="12.75" hidden="false" customHeight="false" outlineLevel="0" collapsed="false">
      <c r="B195" s="0" t="s">
        <v>322</v>
      </c>
      <c r="C195" s="79" t="n">
        <v>0</v>
      </c>
      <c r="D195" s="78"/>
      <c r="E195" s="79" t="n">
        <v>0</v>
      </c>
      <c r="F195" s="79" t="n">
        <f aca="false">C195-E195</f>
        <v>0</v>
      </c>
      <c r="G195" s="199" t="n">
        <v>0</v>
      </c>
      <c r="H195" s="78"/>
      <c r="I195" s="79"/>
      <c r="J195" s="78"/>
      <c r="K195" s="204"/>
    </row>
    <row r="196" customFormat="false" ht="12.75" hidden="false" customHeight="false" outlineLevel="0" collapsed="false">
      <c r="B196" s="0"/>
      <c r="C196" s="213" t="n">
        <f aca="false">SUM(C114:C195)</f>
        <v>408.277387096774</v>
      </c>
      <c r="D196" s="78"/>
      <c r="E196" s="213" t="n">
        <f aca="false">SUM(E114:E195)</f>
        <v>472.433</v>
      </c>
      <c r="F196" s="79" t="n">
        <f aca="false">C195-E195</f>
        <v>0</v>
      </c>
      <c r="G196" s="202"/>
      <c r="H196" s="78"/>
      <c r="I196" s="78"/>
      <c r="J196" s="78"/>
      <c r="K196" s="214" t="n">
        <f aca="false">SUM(K114:K195)</f>
        <v>91921</v>
      </c>
    </row>
    <row r="197" customFormat="false" ht="12.75" hidden="false" customHeight="false" outlineLevel="0" collapsed="false">
      <c r="B197" s="0"/>
      <c r="C197" s="79"/>
      <c r="D197" s="78"/>
      <c r="E197" s="78"/>
      <c r="F197" s="78"/>
      <c r="G197" s="78"/>
      <c r="H197" s="78"/>
      <c r="I197" s="78"/>
      <c r="J197" s="78"/>
      <c r="K197" s="78"/>
    </row>
    <row r="198" customFormat="false" ht="12.75" hidden="false" customHeight="false" outlineLevel="0" collapsed="false">
      <c r="A198" s="215"/>
      <c r="B198" s="0"/>
      <c r="C198" s="79"/>
      <c r="D198" s="78"/>
      <c r="E198" s="78"/>
      <c r="F198" s="78"/>
      <c r="G198" s="78"/>
      <c r="H198" s="78"/>
      <c r="I198" s="78"/>
      <c r="J198" s="78"/>
      <c r="K198" s="78"/>
    </row>
    <row r="199" customFormat="false" ht="12.75" hidden="false" customHeight="false" outlineLevel="0" collapsed="false">
      <c r="B199" s="0"/>
      <c r="C199" s="79"/>
      <c r="D199" s="78"/>
      <c r="E199" s="78"/>
      <c r="F199" s="78"/>
      <c r="G199" s="78"/>
      <c r="H199" s="78"/>
      <c r="I199" s="78"/>
      <c r="J199" s="78"/>
      <c r="K199" s="78"/>
    </row>
    <row r="200" customFormat="false" ht="12.75" hidden="false" customHeight="false" outlineLevel="0" collapsed="false">
      <c r="B200" s="216" t="s">
        <v>11</v>
      </c>
      <c r="C200" s="200" t="n">
        <v>0</v>
      </c>
      <c r="D200" s="78"/>
      <c r="E200" s="78"/>
      <c r="F200" s="78"/>
      <c r="G200" s="78"/>
      <c r="H200" s="78"/>
      <c r="I200" s="78"/>
      <c r="J200" s="78"/>
      <c r="K200" s="78"/>
    </row>
    <row r="201" customFormat="false" ht="12.75" hidden="false" customHeight="false" outlineLevel="0" collapsed="false">
      <c r="B201" s="216" t="s">
        <v>9</v>
      </c>
      <c r="C201" s="200" t="n">
        <v>0</v>
      </c>
      <c r="D201" s="78" t="n">
        <v>3</v>
      </c>
      <c r="E201" s="78"/>
      <c r="F201" s="78"/>
      <c r="G201" s="78"/>
      <c r="H201" s="78"/>
      <c r="I201" s="78"/>
      <c r="J201" s="78"/>
      <c r="K201" s="78"/>
    </row>
    <row r="202" customFormat="false" ht="12.75" hidden="false" customHeight="false" outlineLevel="0" collapsed="false">
      <c r="B202" s="216" t="s">
        <v>323</v>
      </c>
      <c r="C202" s="200" t="n">
        <v>0</v>
      </c>
      <c r="D202" s="78" t="s">
        <v>324</v>
      </c>
      <c r="E202" s="78"/>
      <c r="F202" s="78"/>
      <c r="G202" s="78"/>
      <c r="H202" s="78"/>
      <c r="I202" s="79"/>
      <c r="J202" s="78"/>
      <c r="K202" s="78"/>
    </row>
    <row r="203" customFormat="false" ht="12.75" hidden="false" customHeight="false" outlineLevel="0" collapsed="false">
      <c r="B203" s="216" t="s">
        <v>15</v>
      </c>
      <c r="C203" s="200" t="n">
        <v>0</v>
      </c>
      <c r="D203" s="78"/>
      <c r="E203" s="78"/>
      <c r="F203" s="78" t="n">
        <v>5</v>
      </c>
      <c r="G203" s="78"/>
      <c r="H203" s="78"/>
      <c r="I203" s="78"/>
      <c r="J203" s="78"/>
    </row>
    <row r="204" customFormat="false" ht="12.75" hidden="false" customHeight="false" outlineLevel="0" collapsed="false">
      <c r="B204" s="216" t="s">
        <v>227</v>
      </c>
      <c r="C204" s="200" t="n">
        <v>0</v>
      </c>
      <c r="D204" s="78" t="s">
        <v>325</v>
      </c>
      <c r="E204" s="78"/>
      <c r="F204" s="78" t="n">
        <v>10</v>
      </c>
      <c r="G204" s="78"/>
      <c r="H204" s="78"/>
      <c r="I204" s="78"/>
      <c r="J204" s="78"/>
    </row>
    <row r="205" customFormat="false" ht="12.75" hidden="false" customHeight="false" outlineLevel="0" collapsed="false">
      <c r="B205" s="216" t="s">
        <v>53</v>
      </c>
      <c r="C205" s="200" t="n">
        <v>0</v>
      </c>
      <c r="D205" s="78"/>
      <c r="E205" s="78"/>
      <c r="F205" s="78"/>
      <c r="G205" s="78"/>
      <c r="H205" s="78"/>
      <c r="I205" s="78"/>
      <c r="J205" s="78"/>
    </row>
    <row r="206" customFormat="false" ht="12.75" hidden="false" customHeight="false" outlineLevel="0" collapsed="false">
      <c r="B206" s="216" t="s">
        <v>21</v>
      </c>
      <c r="C206" s="200" t="n">
        <v>0</v>
      </c>
      <c r="D206" s="78"/>
      <c r="E206" s="78"/>
      <c r="F206" s="78"/>
      <c r="G206" s="78"/>
      <c r="H206" s="78"/>
      <c r="I206" s="78"/>
      <c r="J206" s="78"/>
    </row>
    <row r="207" customFormat="false" ht="12.75" hidden="false" customHeight="false" outlineLevel="0" collapsed="false">
      <c r="B207" s="216" t="s">
        <v>19</v>
      </c>
      <c r="C207" s="200" t="n">
        <v>0</v>
      </c>
      <c r="D207" s="78" t="s">
        <v>324</v>
      </c>
      <c r="E207" s="78"/>
      <c r="F207" s="78" t="n">
        <v>5</v>
      </c>
      <c r="G207" s="78"/>
      <c r="H207" s="78"/>
      <c r="I207" s="78"/>
      <c r="J207" s="78"/>
    </row>
    <row r="208" customFormat="false" ht="12.75" hidden="false" customHeight="false" outlineLevel="0" collapsed="false">
      <c r="A208" s="1" t="s">
        <v>326</v>
      </c>
      <c r="B208" s="216" t="s">
        <v>23</v>
      </c>
      <c r="C208" s="200" t="n">
        <v>0</v>
      </c>
      <c r="D208" s="78" t="s">
        <v>324</v>
      </c>
      <c r="E208" s="78"/>
      <c r="F208" s="78" t="n">
        <v>15</v>
      </c>
      <c r="G208" s="78"/>
      <c r="H208" s="78"/>
      <c r="I208" s="78"/>
      <c r="J208" s="78"/>
    </row>
    <row r="209" customFormat="false" ht="12.75" hidden="false" customHeight="false" outlineLevel="0" collapsed="false">
      <c r="B209" s="0" t="s">
        <v>250</v>
      </c>
      <c r="C209" s="79" t="n">
        <v>0</v>
      </c>
      <c r="D209" s="78" t="s">
        <v>324</v>
      </c>
      <c r="E209" s="78"/>
      <c r="F209" s="78" t="n">
        <v>15</v>
      </c>
      <c r="G209" s="78"/>
      <c r="H209" s="78"/>
      <c r="I209" s="78"/>
      <c r="J209" s="78"/>
    </row>
    <row r="210" customFormat="false" ht="12.75" hidden="false" customHeight="false" outlineLevel="0" collapsed="false">
      <c r="B210" s="216" t="s">
        <v>270</v>
      </c>
      <c r="C210" s="200" t="n">
        <v>0</v>
      </c>
      <c r="D210" s="78"/>
      <c r="E210" s="78"/>
      <c r="F210" s="78" t="n">
        <v>5</v>
      </c>
      <c r="G210" s="78"/>
      <c r="H210" s="78"/>
      <c r="I210" s="78"/>
      <c r="J210" s="78"/>
    </row>
    <row r="211" customFormat="false" ht="12.75" hidden="false" customHeight="false" outlineLevel="0" collapsed="false">
      <c r="B211" s="216" t="s">
        <v>327</v>
      </c>
      <c r="C211" s="200" t="n">
        <v>0</v>
      </c>
      <c r="D211" s="78" t="s">
        <v>328</v>
      </c>
      <c r="E211" s="78"/>
      <c r="F211" s="78"/>
      <c r="G211" s="78"/>
      <c r="H211" s="78"/>
      <c r="I211" s="78"/>
      <c r="J211" s="78"/>
    </row>
    <row r="212" customFormat="false" ht="12.75" hidden="false" customHeight="false" outlineLevel="0" collapsed="false">
      <c r="B212" s="0" t="s">
        <v>299</v>
      </c>
      <c r="C212" s="199" t="n">
        <v>0</v>
      </c>
      <c r="D212" s="78"/>
      <c r="E212" s="78"/>
      <c r="F212" s="78" t="n">
        <f aca="false">SUM(F203:F211)</f>
        <v>55</v>
      </c>
      <c r="G212" s="78"/>
      <c r="H212" s="78"/>
      <c r="I212" s="78"/>
      <c r="J212" s="78"/>
    </row>
    <row r="213" customFormat="false" ht="12.75" hidden="false" customHeight="false" outlineLevel="0" collapsed="false">
      <c r="B213" s="0" t="s">
        <v>31</v>
      </c>
      <c r="C213" s="199" t="n">
        <v>0</v>
      </c>
      <c r="D213" s="78"/>
      <c r="E213" s="78"/>
      <c r="F213" s="78"/>
      <c r="G213" s="78"/>
      <c r="H213" s="78"/>
      <c r="I213" s="79"/>
      <c r="J213" s="78"/>
    </row>
    <row r="214" customFormat="false" ht="12.75" hidden="false" customHeight="false" outlineLevel="0" collapsed="false">
      <c r="B214" s="0" t="s">
        <v>317</v>
      </c>
      <c r="C214" s="199" t="n">
        <v>0</v>
      </c>
      <c r="D214" s="78"/>
      <c r="E214" s="78"/>
      <c r="F214" s="78"/>
      <c r="G214" s="78"/>
      <c r="H214" s="78"/>
      <c r="I214" s="79"/>
      <c r="J214" s="78"/>
    </row>
    <row r="215" customFormat="false" ht="12.75" hidden="false" customHeight="false" outlineLevel="0" collapsed="false">
      <c r="B215" s="0" t="s">
        <v>329</v>
      </c>
      <c r="C215" s="199" t="n">
        <v>0</v>
      </c>
      <c r="D215" s="78"/>
      <c r="E215" s="78"/>
      <c r="F215" s="78"/>
      <c r="G215" s="78"/>
      <c r="H215" s="78"/>
      <c r="I215" s="78"/>
      <c r="J215" s="78"/>
    </row>
    <row r="216" customFormat="false" ht="12.75" hidden="false" customHeight="false" outlineLevel="0" collapsed="false">
      <c r="B216" s="0" t="s">
        <v>330</v>
      </c>
      <c r="C216" s="217" t="n">
        <f aca="false">SUM(C200:C215)</f>
        <v>0</v>
      </c>
      <c r="D216" s="78"/>
      <c r="F216" s="78"/>
      <c r="G216" s="78"/>
      <c r="H216" s="78"/>
      <c r="I216" s="78"/>
      <c r="J216" s="78"/>
    </row>
    <row r="217" customFormat="false" ht="12.75" hidden="false" customHeight="false" outlineLevel="0" collapsed="false">
      <c r="B217" s="48"/>
      <c r="C217" s="48"/>
      <c r="I217" s="78"/>
      <c r="J217" s="78"/>
    </row>
    <row r="218" customFormat="false" ht="12.75" hidden="false" customHeight="false" outlineLevel="0" collapsed="false">
      <c r="B218" s="0"/>
      <c r="C218" s="0" t="n">
        <f aca="false">C196+C216</f>
        <v>408.277387096774</v>
      </c>
      <c r="I218" s="78"/>
      <c r="J218" s="78"/>
    </row>
    <row r="219" customFormat="false" ht="12.75" hidden="false" customHeight="false" outlineLevel="0" collapsed="false">
      <c r="B219" s="0"/>
      <c r="C219" s="0"/>
      <c r="I219" s="78"/>
      <c r="J219" s="78"/>
    </row>
    <row r="220" customFormat="false" ht="12.75" hidden="false" customHeight="false" outlineLevel="0" collapsed="false">
      <c r="B220" s="0"/>
      <c r="C220" s="0" t="n">
        <f aca="false">E196-C218</f>
        <v>64.1556129032257</v>
      </c>
      <c r="G220" s="218" t="s">
        <v>331</v>
      </c>
      <c r="H220" s="219"/>
      <c r="I220" s="78"/>
      <c r="J220" s="78"/>
      <c r="Q220" s="219"/>
      <c r="R220" s="219"/>
      <c r="S220" s="220"/>
    </row>
    <row r="221" customFormat="false" ht="12.75" hidden="false" customHeight="false" outlineLevel="0" collapsed="false">
      <c r="B221" s="0"/>
      <c r="C221" s="0"/>
      <c r="G221" s="221"/>
      <c r="H221" s="222" t="s">
        <v>332</v>
      </c>
      <c r="I221" s="78"/>
      <c r="J221" s="78"/>
      <c r="N221" s="219"/>
      <c r="O221" s="219"/>
      <c r="P221" s="219"/>
      <c r="Q221" s="223"/>
      <c r="R221" s="223"/>
      <c r="S221" s="181"/>
    </row>
    <row r="222" customFormat="false" ht="12" hidden="false" customHeight="false" outlineLevel="0" collapsed="false">
      <c r="G222" s="224"/>
      <c r="H222" s="87"/>
      <c r="I222" s="78"/>
      <c r="J222" s="78"/>
      <c r="N222" s="223"/>
      <c r="O222" s="223"/>
      <c r="P222" s="223"/>
      <c r="Q222" s="87"/>
      <c r="R222" s="87"/>
      <c r="S222" s="184"/>
    </row>
    <row r="223" customFormat="false" ht="12" hidden="false" customHeight="false" outlineLevel="0" collapsed="false">
      <c r="G223" s="224"/>
      <c r="H223" s="87"/>
      <c r="I223" s="78"/>
      <c r="J223" s="78"/>
      <c r="N223" s="87"/>
      <c r="O223" s="87"/>
      <c r="P223" s="87"/>
      <c r="Q223" s="87"/>
      <c r="R223" s="87"/>
      <c r="S223" s="184"/>
    </row>
    <row r="224" customFormat="false" ht="12.75" hidden="false" customHeight="false" outlineLevel="0" collapsed="false">
      <c r="B224" s="0"/>
      <c r="C224" s="225"/>
      <c r="G224" s="224"/>
      <c r="H224" s="87"/>
      <c r="I224" s="78"/>
      <c r="J224" s="78"/>
      <c r="N224" s="87"/>
      <c r="O224" s="87"/>
      <c r="P224" s="87"/>
      <c r="Q224" s="87"/>
      <c r="R224" s="87"/>
      <c r="S224" s="184"/>
    </row>
    <row r="225" customFormat="false" ht="12.75" hidden="false" customHeight="false" outlineLevel="0" collapsed="false">
      <c r="B225" s="0"/>
      <c r="C225" s="225"/>
      <c r="G225" s="224"/>
      <c r="H225" s="87"/>
      <c r="I225" s="78"/>
      <c r="J225" s="78"/>
      <c r="N225" s="87"/>
      <c r="O225" s="87"/>
      <c r="P225" s="87"/>
      <c r="Q225" s="87"/>
      <c r="R225" s="87"/>
      <c r="S225" s="184"/>
    </row>
    <row r="226" customFormat="false" ht="12.75" hidden="false" customHeight="false" outlineLevel="0" collapsed="false">
      <c r="B226" s="0"/>
      <c r="C226" s="225"/>
      <c r="G226" s="224"/>
      <c r="H226" s="87"/>
      <c r="I226" s="78"/>
      <c r="J226" s="78"/>
      <c r="M226" s="219"/>
      <c r="N226" s="87"/>
      <c r="O226" s="87"/>
      <c r="P226" s="87"/>
      <c r="Q226" s="87"/>
      <c r="R226" s="87"/>
      <c r="S226" s="184"/>
    </row>
    <row r="227" customFormat="false" ht="12.75" hidden="false" customHeight="false" outlineLevel="0" collapsed="false">
      <c r="B227" s="0"/>
      <c r="C227" s="225"/>
      <c r="G227" s="224"/>
      <c r="H227" s="87"/>
      <c r="I227" s="78"/>
      <c r="J227" s="78"/>
      <c r="M227" s="223"/>
      <c r="N227" s="87"/>
      <c r="O227" s="87"/>
      <c r="P227" s="87"/>
      <c r="Q227" s="87"/>
      <c r="R227" s="87"/>
      <c r="S227" s="184"/>
    </row>
    <row r="228" customFormat="false" ht="12.75" hidden="false" customHeight="false" outlineLevel="0" collapsed="false">
      <c r="B228" s="0"/>
      <c r="C228" s="225"/>
      <c r="G228" s="224"/>
      <c r="H228" s="87"/>
      <c r="M228" s="87"/>
      <c r="N228" s="87"/>
      <c r="O228" s="87"/>
      <c r="P228" s="87"/>
      <c r="Q228" s="87"/>
      <c r="R228" s="87"/>
      <c r="S228" s="184"/>
    </row>
    <row r="229" customFormat="false" ht="12.75" hidden="false" customHeight="false" outlineLevel="0" collapsed="false">
      <c r="B229" s="0"/>
      <c r="C229" s="225"/>
      <c r="G229" s="224"/>
      <c r="H229" s="87"/>
      <c r="L229" s="219"/>
      <c r="M229" s="87"/>
      <c r="N229" s="87"/>
      <c r="O229" s="87"/>
      <c r="P229" s="87"/>
      <c r="Q229" s="87"/>
      <c r="R229" s="87"/>
      <c r="S229" s="184"/>
    </row>
    <row r="230" customFormat="false" ht="12.75" hidden="false" customHeight="false" outlineLevel="0" collapsed="false">
      <c r="B230" s="0"/>
      <c r="C230" s="225"/>
      <c r="G230" s="224"/>
      <c r="H230" s="87" t="s">
        <v>333</v>
      </c>
      <c r="L230" s="223"/>
      <c r="M230" s="87"/>
      <c r="N230" s="87"/>
      <c r="O230" s="87"/>
      <c r="P230" s="87"/>
      <c r="Q230" s="87"/>
      <c r="R230" s="87"/>
      <c r="S230" s="184"/>
    </row>
    <row r="231" customFormat="false" ht="12.75" hidden="false" customHeight="false" outlineLevel="0" collapsed="false">
      <c r="B231" s="0"/>
      <c r="C231" s="225"/>
      <c r="G231" s="224"/>
      <c r="H231" s="87"/>
      <c r="L231" s="87"/>
      <c r="M231" s="87"/>
      <c r="N231" s="87"/>
      <c r="O231" s="87"/>
      <c r="P231" s="87"/>
      <c r="Q231" s="87"/>
      <c r="R231" s="87"/>
      <c r="S231" s="184"/>
    </row>
    <row r="232" customFormat="false" ht="12.75" hidden="false" customHeight="false" outlineLevel="0" collapsed="false">
      <c r="B232" s="0"/>
      <c r="C232" s="225"/>
      <c r="G232" s="224"/>
      <c r="H232" s="87"/>
      <c r="I232" s="219"/>
      <c r="J232" s="219"/>
      <c r="K232" s="219"/>
      <c r="L232" s="87"/>
      <c r="M232" s="87"/>
      <c r="N232" s="87"/>
      <c r="O232" s="87"/>
      <c r="P232" s="87"/>
      <c r="Q232" s="87"/>
      <c r="R232" s="87"/>
      <c r="S232" s="184"/>
    </row>
    <row r="233" customFormat="false" ht="12.75" hidden="false" customHeight="false" outlineLevel="0" collapsed="false">
      <c r="B233" s="0"/>
      <c r="C233" s="225"/>
      <c r="G233" s="224"/>
      <c r="H233" s="87"/>
      <c r="I233" s="226"/>
      <c r="J233" s="227"/>
      <c r="K233" s="223"/>
      <c r="L233" s="87"/>
      <c r="M233" s="87"/>
      <c r="N233" s="87"/>
      <c r="O233" s="87"/>
      <c r="P233" s="87"/>
      <c r="Q233" s="87"/>
      <c r="R233" s="87"/>
      <c r="S233" s="184"/>
    </row>
    <row r="234" customFormat="false" ht="12.75" hidden="false" customHeight="false" outlineLevel="0" collapsed="false">
      <c r="B234" s="0"/>
      <c r="C234" s="225"/>
      <c r="G234" s="224"/>
      <c r="H234" s="87"/>
      <c r="I234" s="81" t="s">
        <v>334</v>
      </c>
      <c r="J234" s="228" t="n">
        <v>0</v>
      </c>
      <c r="K234" s="87"/>
      <c r="L234" s="87"/>
      <c r="M234" s="87"/>
      <c r="N234" s="87"/>
      <c r="O234" s="87"/>
      <c r="P234" s="87"/>
      <c r="Q234" s="87"/>
      <c r="R234" s="87"/>
      <c r="S234" s="184"/>
    </row>
    <row r="235" customFormat="false" ht="12.75" hidden="false" customHeight="false" outlineLevel="0" collapsed="false">
      <c r="B235" s="0"/>
      <c r="C235" s="225"/>
      <c r="G235" s="224"/>
      <c r="H235" s="87"/>
      <c r="I235" s="87" t="s">
        <v>335</v>
      </c>
      <c r="J235" s="214" t="n">
        <v>0</v>
      </c>
      <c r="K235" s="87"/>
      <c r="L235" s="87"/>
      <c r="M235" s="87"/>
      <c r="N235" s="87"/>
      <c r="O235" s="87"/>
      <c r="P235" s="87"/>
      <c r="Q235" s="87"/>
      <c r="R235" s="87"/>
      <c r="S235" s="184"/>
    </row>
    <row r="236" customFormat="false" ht="12.75" hidden="false" customHeight="false" outlineLevel="0" collapsed="false">
      <c r="B236" s="0"/>
      <c r="C236" s="225"/>
      <c r="G236" s="224"/>
      <c r="H236" s="87"/>
      <c r="I236" s="87" t="s">
        <v>336</v>
      </c>
      <c r="J236" s="214" t="n">
        <v>0</v>
      </c>
      <c r="K236" s="87"/>
      <c r="L236" s="87"/>
      <c r="M236" s="87"/>
      <c r="N236" s="87"/>
      <c r="O236" s="87"/>
      <c r="P236" s="87"/>
      <c r="Q236" s="87"/>
      <c r="R236" s="87"/>
      <c r="S236" s="184"/>
    </row>
    <row r="237" customFormat="false" ht="12.75" hidden="false" customHeight="false" outlineLevel="0" collapsed="false">
      <c r="B237" s="0"/>
      <c r="C237" s="225"/>
      <c r="G237" s="224"/>
      <c r="H237" s="87"/>
      <c r="I237" s="87" t="s">
        <v>337</v>
      </c>
      <c r="J237" s="214" t="n">
        <v>0</v>
      </c>
      <c r="K237" s="87"/>
      <c r="L237" s="87"/>
      <c r="M237" s="87"/>
      <c r="N237" s="87"/>
      <c r="O237" s="87"/>
      <c r="P237" s="87"/>
      <c r="Q237" s="87"/>
      <c r="R237" s="87"/>
      <c r="S237" s="184"/>
    </row>
    <row r="238" customFormat="false" ht="12.75" hidden="false" customHeight="false" outlineLevel="0" collapsed="false">
      <c r="B238" s="0"/>
      <c r="C238" s="225"/>
      <c r="G238" s="224"/>
      <c r="H238" s="87"/>
      <c r="I238" s="87" t="s">
        <v>338</v>
      </c>
      <c r="J238" s="214" t="n">
        <v>0</v>
      </c>
      <c r="K238" s="87"/>
      <c r="L238" s="87"/>
      <c r="M238" s="87"/>
      <c r="N238" s="87"/>
      <c r="O238" s="87"/>
      <c r="P238" s="87"/>
      <c r="Q238" s="87"/>
      <c r="R238" s="87"/>
      <c r="S238" s="184"/>
    </row>
    <row r="239" customFormat="false" ht="12.75" hidden="false" customHeight="false" outlineLevel="0" collapsed="false">
      <c r="B239" s="48"/>
      <c r="C239" s="229"/>
      <c r="G239" s="224"/>
      <c r="H239" s="87"/>
      <c r="I239" s="87" t="s">
        <v>339</v>
      </c>
      <c r="J239" s="214" t="n">
        <v>0</v>
      </c>
      <c r="K239" s="87"/>
      <c r="L239" s="87"/>
      <c r="M239" s="87"/>
      <c r="N239" s="87"/>
      <c r="O239" s="87"/>
      <c r="P239" s="87"/>
      <c r="Q239" s="87"/>
      <c r="R239" s="87"/>
      <c r="S239" s="184"/>
    </row>
    <row r="240" customFormat="false" ht="12.75" hidden="false" customHeight="false" outlineLevel="0" collapsed="false">
      <c r="B240" s="0"/>
      <c r="C240" s="225"/>
      <c r="G240" s="224"/>
      <c r="H240" s="87"/>
      <c r="I240" s="87" t="s">
        <v>340</v>
      </c>
      <c r="J240" s="230" t="n">
        <v>0</v>
      </c>
      <c r="K240" s="87"/>
      <c r="L240" s="87"/>
      <c r="M240" s="87"/>
      <c r="N240" s="87"/>
      <c r="O240" s="87"/>
      <c r="P240" s="87"/>
      <c r="Q240" s="87"/>
      <c r="R240" s="87"/>
      <c r="S240" s="184"/>
    </row>
    <row r="241" customFormat="false" ht="12.75" hidden="false" customHeight="false" outlineLevel="0" collapsed="false">
      <c r="B241" s="0"/>
      <c r="C241" s="225"/>
      <c r="G241" s="224"/>
      <c r="H241" s="87"/>
      <c r="I241" s="87"/>
      <c r="J241" s="214" t="n">
        <f aca="false">SUM(J234:J240)</f>
        <v>0</v>
      </c>
      <c r="K241" s="87"/>
      <c r="L241" s="87"/>
      <c r="M241" s="87"/>
      <c r="N241" s="87"/>
      <c r="O241" s="87"/>
      <c r="P241" s="87"/>
      <c r="Q241" s="87"/>
      <c r="R241" s="87"/>
      <c r="S241" s="184"/>
    </row>
    <row r="242" customFormat="false" ht="12.75" hidden="false" customHeight="false" outlineLevel="0" collapsed="false">
      <c r="B242" s="0"/>
      <c r="C242" s="225"/>
      <c r="G242" s="224"/>
      <c r="H242" s="87" t="s">
        <v>341</v>
      </c>
      <c r="I242" s="87"/>
      <c r="J242" s="214"/>
      <c r="K242" s="87"/>
      <c r="L242" s="87"/>
      <c r="M242" s="87"/>
      <c r="N242" s="87"/>
      <c r="O242" s="87"/>
      <c r="P242" s="87"/>
      <c r="Q242" s="87"/>
      <c r="R242" s="87"/>
      <c r="S242" s="184"/>
    </row>
    <row r="243" customFormat="false" ht="12.75" hidden="false" customHeight="false" outlineLevel="0" collapsed="false">
      <c r="B243" s="0"/>
      <c r="C243" s="225"/>
      <c r="G243" s="224"/>
      <c r="H243" s="87"/>
      <c r="I243" s="87" t="s">
        <v>342</v>
      </c>
      <c r="J243" s="214" t="n">
        <v>0</v>
      </c>
      <c r="K243" s="87"/>
      <c r="L243" s="87"/>
      <c r="M243" s="87"/>
      <c r="N243" s="87"/>
      <c r="O243" s="87"/>
      <c r="P243" s="87"/>
      <c r="Q243" s="87" t="s">
        <v>343</v>
      </c>
      <c r="R243" s="87"/>
      <c r="S243" s="184"/>
    </row>
    <row r="244" customFormat="false" ht="12.75" hidden="false" customHeight="false" outlineLevel="0" collapsed="false">
      <c r="B244" s="0"/>
      <c r="C244" s="225"/>
      <c r="G244" s="224"/>
      <c r="H244" s="87"/>
      <c r="I244" s="87" t="s">
        <v>344</v>
      </c>
      <c r="J244" s="214" t="n">
        <v>0</v>
      </c>
      <c r="K244" s="87"/>
      <c r="L244" s="87"/>
      <c r="M244" s="87"/>
      <c r="N244" s="87"/>
      <c r="O244" s="87"/>
      <c r="P244" s="214" t="n">
        <v>-31732</v>
      </c>
      <c r="Q244" s="87"/>
      <c r="R244" s="87"/>
      <c r="S244" s="184"/>
    </row>
    <row r="245" customFormat="false" ht="12.75" hidden="false" customHeight="false" outlineLevel="0" collapsed="false">
      <c r="B245" s="0"/>
      <c r="C245" s="225"/>
      <c r="G245" s="224"/>
      <c r="H245" s="87"/>
      <c r="I245" s="87" t="s">
        <v>345</v>
      </c>
      <c r="J245" s="214" t="n">
        <v>0</v>
      </c>
      <c r="K245" s="87"/>
      <c r="L245" s="87"/>
      <c r="M245" s="87"/>
      <c r="N245" s="87"/>
      <c r="O245" s="87"/>
      <c r="P245" s="214"/>
      <c r="Q245" s="87"/>
      <c r="R245" s="87"/>
      <c r="S245" s="184"/>
    </row>
    <row r="246" customFormat="false" ht="12.75" hidden="false" customHeight="false" outlineLevel="0" collapsed="false">
      <c r="B246" s="0"/>
      <c r="C246" s="225"/>
      <c r="G246" s="224"/>
      <c r="H246" s="87"/>
      <c r="I246" s="87" t="s">
        <v>346</v>
      </c>
      <c r="J246" s="214" t="n">
        <v>0</v>
      </c>
      <c r="K246" s="87"/>
      <c r="L246" s="87"/>
      <c r="M246" s="87"/>
      <c r="N246" s="87"/>
      <c r="O246" s="87"/>
      <c r="P246" s="214"/>
      <c r="Q246" s="87" t="s">
        <v>44</v>
      </c>
      <c r="R246" s="87"/>
      <c r="S246" s="184"/>
    </row>
    <row r="247" customFormat="false" ht="12.75" hidden="false" customHeight="false" outlineLevel="0" collapsed="false">
      <c r="B247" s="0"/>
      <c r="C247" s="225"/>
      <c r="G247" s="224"/>
      <c r="H247" s="87"/>
      <c r="I247" s="87" t="s">
        <v>347</v>
      </c>
      <c r="J247" s="214" t="n">
        <v>0</v>
      </c>
      <c r="K247" s="87"/>
      <c r="L247" s="87"/>
      <c r="M247" s="87"/>
      <c r="N247" s="87" t="s">
        <v>348</v>
      </c>
      <c r="O247" s="87"/>
      <c r="P247" s="214" t="n">
        <f aca="false">K264</f>
        <v>-4368</v>
      </c>
      <c r="Q247" s="87" t="s">
        <v>349</v>
      </c>
      <c r="R247" s="87"/>
      <c r="S247" s="184"/>
    </row>
    <row r="248" customFormat="false" ht="12.75" hidden="false" customHeight="false" outlineLevel="0" collapsed="false">
      <c r="B248" s="0"/>
      <c r="C248" s="225"/>
      <c r="G248" s="224"/>
      <c r="H248" s="87"/>
      <c r="I248" s="87" t="s">
        <v>350</v>
      </c>
      <c r="J248" s="214" t="n">
        <v>0</v>
      </c>
      <c r="K248" s="87"/>
      <c r="L248" s="87"/>
      <c r="M248" s="87"/>
      <c r="N248" s="87"/>
      <c r="O248" s="87"/>
      <c r="P248" s="230" t="n">
        <v>-2500</v>
      </c>
      <c r="Q248" s="87"/>
      <c r="R248" s="87"/>
      <c r="S248" s="184"/>
    </row>
    <row r="249" customFormat="false" ht="12.75" hidden="false" customHeight="false" outlineLevel="0" collapsed="false">
      <c r="B249" s="0"/>
      <c r="C249" s="225"/>
      <c r="G249" s="224"/>
      <c r="H249" s="87"/>
      <c r="I249" s="87" t="s">
        <v>351</v>
      </c>
      <c r="J249" s="214" t="n">
        <v>0</v>
      </c>
      <c r="K249" s="87"/>
      <c r="L249" s="87"/>
      <c r="M249" s="214" t="n">
        <v>525707</v>
      </c>
      <c r="N249" s="87" t="s">
        <v>352</v>
      </c>
      <c r="O249" s="87"/>
      <c r="P249" s="87"/>
      <c r="Q249" s="87" t="s">
        <v>353</v>
      </c>
      <c r="R249" s="87"/>
      <c r="S249" s="184"/>
    </row>
    <row r="250" customFormat="false" ht="12.75" hidden="false" customHeight="false" outlineLevel="0" collapsed="false">
      <c r="B250" s="0"/>
      <c r="C250" s="0"/>
      <c r="G250" s="224"/>
      <c r="H250" s="87"/>
      <c r="I250" s="87" t="s">
        <v>354</v>
      </c>
      <c r="J250" s="214" t="n">
        <v>0</v>
      </c>
      <c r="K250" s="87"/>
      <c r="L250" s="87"/>
      <c r="M250" s="214"/>
      <c r="N250" s="87"/>
      <c r="O250" s="214"/>
      <c r="P250" s="214" t="n">
        <f aca="false">SUM(P244:P248)</f>
        <v>-38600</v>
      </c>
      <c r="Q250" s="87"/>
      <c r="R250" s="87"/>
      <c r="S250" s="184"/>
    </row>
    <row r="251" customFormat="false" ht="12.75" hidden="false" customHeight="false" outlineLevel="0" collapsed="false">
      <c r="B251" s="0"/>
      <c r="C251" s="0"/>
      <c r="G251" s="224"/>
      <c r="H251" s="87"/>
      <c r="I251" s="87" t="s">
        <v>234</v>
      </c>
      <c r="J251" s="230" t="n">
        <v>0</v>
      </c>
      <c r="K251" s="87"/>
      <c r="L251" s="87"/>
      <c r="M251" s="214"/>
      <c r="N251" s="87"/>
      <c r="O251" s="87"/>
      <c r="P251" s="87"/>
      <c r="Q251" s="87"/>
      <c r="R251" s="87"/>
      <c r="S251" s="231" t="n">
        <f aca="false">22000+P252</f>
        <v>15133</v>
      </c>
    </row>
    <row r="252" customFormat="false" ht="12.75" hidden="false" customHeight="false" outlineLevel="0" collapsed="false">
      <c r="B252" s="0"/>
      <c r="C252" s="0"/>
      <c r="G252" s="224"/>
      <c r="H252" s="87"/>
      <c r="I252" s="87"/>
      <c r="J252" s="214" t="n">
        <f aca="false">SUM(J241:J251)</f>
        <v>0</v>
      </c>
      <c r="K252" s="87"/>
      <c r="L252" s="87"/>
      <c r="M252" s="214" t="n">
        <v>493974</v>
      </c>
      <c r="N252" s="87"/>
      <c r="O252" s="87"/>
      <c r="P252" s="232" t="n">
        <f aca="false">P250+M254</f>
        <v>-6867</v>
      </c>
      <c r="Q252" s="87"/>
      <c r="R252" s="87"/>
      <c r="S252" s="184"/>
    </row>
    <row r="253" customFormat="false" ht="12.75" hidden="false" customHeight="false" outlineLevel="0" collapsed="false">
      <c r="B253" s="0"/>
      <c r="C253" s="0"/>
      <c r="G253" s="224"/>
      <c r="H253" s="87"/>
      <c r="I253" s="87"/>
      <c r="J253" s="214"/>
      <c r="K253" s="87"/>
      <c r="L253" s="87"/>
      <c r="M253" s="214"/>
      <c r="N253" s="87"/>
      <c r="O253" s="87"/>
      <c r="P253" s="87"/>
      <c r="Q253" s="87"/>
      <c r="R253" s="87"/>
      <c r="S253" s="184"/>
    </row>
    <row r="254" customFormat="false" ht="12.75" hidden="false" customHeight="false" outlineLevel="0" collapsed="false">
      <c r="B254" s="0"/>
      <c r="C254" s="0"/>
      <c r="G254" s="224"/>
      <c r="H254" s="87"/>
      <c r="I254" s="87"/>
      <c r="J254" s="214"/>
      <c r="K254" s="87"/>
      <c r="L254" s="87"/>
      <c r="M254" s="214" t="n">
        <f aca="false">M249-M252</f>
        <v>31733</v>
      </c>
      <c r="N254" s="87"/>
      <c r="O254" s="87"/>
      <c r="P254" s="87"/>
      <c r="Q254" s="87"/>
      <c r="R254" s="87"/>
      <c r="S254" s="184"/>
    </row>
    <row r="255" customFormat="false" ht="12.75" hidden="false" customHeight="false" outlineLevel="0" collapsed="false">
      <c r="B255" s="48"/>
      <c r="C255" s="48"/>
      <c r="G255" s="224"/>
      <c r="H255" s="87" t="s">
        <v>355</v>
      </c>
      <c r="I255" s="87" t="s">
        <v>356</v>
      </c>
      <c r="J255" s="233" t="n">
        <v>-862</v>
      </c>
      <c r="K255" s="87"/>
      <c r="L255" s="87"/>
      <c r="M255" s="87"/>
      <c r="N255" s="87"/>
      <c r="O255" s="87"/>
      <c r="P255" s="87"/>
      <c r="Q255" s="87"/>
      <c r="R255" s="87"/>
      <c r="S255" s="184"/>
    </row>
    <row r="256" customFormat="false" ht="12.75" hidden="false" customHeight="false" outlineLevel="0" collapsed="false">
      <c r="B256" s="0"/>
      <c r="C256" s="0"/>
      <c r="G256" s="224"/>
      <c r="H256" s="87"/>
      <c r="I256" s="234" t="s">
        <v>356</v>
      </c>
      <c r="J256" s="235" t="n">
        <v>-1</v>
      </c>
      <c r="K256" s="87"/>
      <c r="L256" s="87"/>
      <c r="M256" s="87"/>
      <c r="N256" s="87"/>
      <c r="O256" s="87"/>
      <c r="P256" s="87"/>
      <c r="Q256" s="87"/>
      <c r="R256" s="87"/>
      <c r="S256" s="184"/>
    </row>
    <row r="257" customFormat="false" ht="12.75" hidden="false" customHeight="false" outlineLevel="0" collapsed="false">
      <c r="B257" s="0"/>
      <c r="C257" s="0"/>
      <c r="G257" s="224"/>
      <c r="H257" s="87"/>
      <c r="I257" s="234" t="s">
        <v>357</v>
      </c>
      <c r="J257" s="235" t="n">
        <v>-1</v>
      </c>
      <c r="K257" s="87"/>
      <c r="L257" s="87"/>
      <c r="M257" s="232" t="n">
        <f aca="false">M254+K264</f>
        <v>27365</v>
      </c>
      <c r="N257" s="87"/>
      <c r="O257" s="87"/>
      <c r="P257" s="87"/>
      <c r="Q257" s="87"/>
      <c r="R257" s="87"/>
      <c r="S257" s="184"/>
    </row>
    <row r="258" customFormat="false" ht="12.75" hidden="false" customHeight="false" outlineLevel="0" collapsed="false">
      <c r="B258" s="0"/>
      <c r="C258" s="0"/>
      <c r="G258" s="224"/>
      <c r="H258" s="236" t="s">
        <v>358</v>
      </c>
      <c r="I258" s="160" t="s">
        <v>359</v>
      </c>
      <c r="J258" s="237" t="n">
        <v>-1500</v>
      </c>
      <c r="K258" s="87"/>
      <c r="L258" s="87"/>
      <c r="M258" s="232"/>
      <c r="N258" s="87"/>
      <c r="O258" s="87"/>
      <c r="P258" s="87"/>
      <c r="Q258" s="87"/>
      <c r="R258" s="87"/>
      <c r="S258" s="184"/>
    </row>
    <row r="259" customFormat="false" ht="12.75" hidden="false" customHeight="false" outlineLevel="0" collapsed="false">
      <c r="B259" s="0"/>
      <c r="C259" s="0"/>
      <c r="G259" s="238"/>
      <c r="H259" s="239"/>
      <c r="I259" s="234" t="s">
        <v>360</v>
      </c>
      <c r="J259" s="235" t="n">
        <v>-1</v>
      </c>
      <c r="K259" s="87"/>
      <c r="L259" s="87"/>
      <c r="M259" s="232"/>
      <c r="N259" s="87"/>
      <c r="O259" s="87"/>
      <c r="P259" s="87"/>
      <c r="Q259" s="239"/>
      <c r="R259" s="239"/>
      <c r="S259" s="174"/>
    </row>
    <row r="260" customFormat="false" ht="12.75" hidden="false" customHeight="false" outlineLevel="0" collapsed="false">
      <c r="B260" s="0"/>
      <c r="C260" s="0"/>
      <c r="I260" s="234" t="s">
        <v>361</v>
      </c>
      <c r="J260" s="235" t="n">
        <v>-1</v>
      </c>
      <c r="K260" s="87"/>
      <c r="L260" s="87"/>
      <c r="M260" s="87"/>
      <c r="N260" s="239"/>
      <c r="O260" s="239"/>
      <c r="P260" s="239"/>
    </row>
    <row r="261" customFormat="false" ht="12.75" hidden="false" customHeight="false" outlineLevel="0" collapsed="false">
      <c r="B261" s="48"/>
      <c r="C261" s="48"/>
      <c r="I261" s="160" t="s">
        <v>362</v>
      </c>
      <c r="J261" s="237" t="n">
        <v>-1000</v>
      </c>
      <c r="K261" s="87"/>
      <c r="L261" s="87"/>
      <c r="M261" s="87"/>
    </row>
    <row r="262" customFormat="false" ht="12.75" hidden="false" customHeight="false" outlineLevel="0" collapsed="false">
      <c r="B262" s="0"/>
      <c r="C262" s="0"/>
      <c r="I262" s="234" t="s">
        <v>363</v>
      </c>
      <c r="J262" s="235" t="n">
        <v>-1</v>
      </c>
      <c r="K262" s="87"/>
      <c r="L262" s="87"/>
      <c r="M262" s="87"/>
    </row>
    <row r="263" customFormat="false" ht="12.75" hidden="false" customHeight="false" outlineLevel="0" collapsed="false">
      <c r="B263" s="79"/>
      <c r="C263" s="79"/>
      <c r="I263" s="160" t="s">
        <v>364</v>
      </c>
      <c r="J263" s="237" t="n">
        <v>-1000</v>
      </c>
      <c r="K263" s="87"/>
      <c r="L263" s="87"/>
      <c r="M263" s="87"/>
    </row>
    <row r="264" customFormat="false" ht="12.75" hidden="false" customHeight="false" outlineLevel="0" collapsed="false">
      <c r="B264" s="0"/>
      <c r="C264" s="0"/>
      <c r="I264" s="234" t="s">
        <v>365</v>
      </c>
      <c r="J264" s="235" t="n">
        <v>-1</v>
      </c>
      <c r="K264" s="232" t="n">
        <f aca="false">SUM(J255:J264)</f>
        <v>-4368</v>
      </c>
      <c r="L264" s="87"/>
      <c r="M264" s="87"/>
    </row>
    <row r="265" customFormat="false" ht="12.75" hidden="false" customHeight="false" outlineLevel="0" collapsed="false">
      <c r="B265" s="0"/>
      <c r="C265" s="0"/>
      <c r="I265" s="87" t="s">
        <v>366</v>
      </c>
      <c r="J265" s="230" t="n">
        <f aca="false">-M254-K264</f>
        <v>-27365</v>
      </c>
      <c r="K265" s="232"/>
      <c r="L265" s="87"/>
      <c r="M265" s="239"/>
    </row>
    <row r="266" customFormat="false" ht="12.75" hidden="false" customHeight="false" outlineLevel="0" collapsed="false">
      <c r="B266" s="0"/>
      <c r="C266" s="0"/>
      <c r="I266" s="87"/>
      <c r="J266" s="214" t="n">
        <f aca="false">SUM(J252:J265)</f>
        <v>-31733</v>
      </c>
      <c r="K266" s="87"/>
      <c r="L266" s="87"/>
    </row>
    <row r="267" customFormat="false" ht="12.75" hidden="false" customHeight="false" outlineLevel="0" collapsed="false">
      <c r="B267" s="0"/>
      <c r="C267" s="0"/>
      <c r="I267" s="87"/>
      <c r="J267" s="214"/>
      <c r="K267" s="87"/>
      <c r="L267" s="87"/>
    </row>
    <row r="268" customFormat="false" ht="12.75" hidden="false" customHeight="false" outlineLevel="0" collapsed="false">
      <c r="B268" s="0"/>
      <c r="C268" s="0"/>
      <c r="I268" s="87" t="s">
        <v>367</v>
      </c>
      <c r="J268" s="214" t="n">
        <v>3915</v>
      </c>
      <c r="K268" s="87"/>
      <c r="L268" s="239"/>
    </row>
    <row r="269" customFormat="false" ht="12.75" hidden="false" customHeight="false" outlineLevel="0" collapsed="false">
      <c r="B269" s="0"/>
      <c r="C269" s="0"/>
      <c r="I269" s="87"/>
      <c r="J269" s="214"/>
      <c r="K269" s="87"/>
    </row>
    <row r="270" customFormat="false" ht="13.5" hidden="false" customHeight="false" outlineLevel="0" collapsed="false">
      <c r="B270" s="0"/>
      <c r="C270" s="0"/>
      <c r="I270" s="87"/>
      <c r="J270" s="240" t="n">
        <f aca="false">SUM(J266:J269)</f>
        <v>-27818</v>
      </c>
      <c r="K270" s="87"/>
    </row>
    <row r="271" customFormat="false" ht="13.5" hidden="false" customHeight="false" outlineLevel="0" collapsed="false">
      <c r="B271" s="0"/>
      <c r="C271" s="0"/>
      <c r="I271" s="239"/>
      <c r="J271" s="230"/>
      <c r="K271" s="239"/>
    </row>
    <row r="272" customFormat="false" ht="12.75" hidden="false" customHeight="false" outlineLevel="0" collapsed="false">
      <c r="B272" s="0"/>
      <c r="C272" s="0"/>
      <c r="J272" s="214"/>
    </row>
    <row r="273" customFormat="false" ht="12.75" hidden="false" customHeight="false" outlineLevel="0" collapsed="false">
      <c r="B273" s="0"/>
      <c r="C273" s="0"/>
      <c r="J273" s="214"/>
    </row>
    <row r="274" customFormat="false" ht="12.75" hidden="false" customHeight="false" outlineLevel="0" collapsed="false">
      <c r="B274" s="0"/>
      <c r="C274" s="0"/>
      <c r="J274" s="214" t="n">
        <f aca="false">551878-11621</f>
        <v>540257</v>
      </c>
    </row>
    <row r="275" customFormat="false" ht="12.75" hidden="false" customHeight="false" outlineLevel="0" collapsed="false">
      <c r="B275" s="0"/>
      <c r="C275" s="0"/>
      <c r="J275" s="214"/>
    </row>
    <row r="276" customFormat="false" ht="12.75" hidden="false" customHeight="false" outlineLevel="0" collapsed="false">
      <c r="B276" s="0"/>
      <c r="C276" s="0"/>
      <c r="J276" s="214"/>
    </row>
    <row r="277" customFormat="false" ht="12.75" hidden="false" customHeight="false" outlineLevel="0" collapsed="false">
      <c r="B277" s="0"/>
      <c r="C277" s="0"/>
      <c r="J277" s="214"/>
    </row>
    <row r="278" customFormat="false" ht="12.75" hidden="false" customHeight="false" outlineLevel="0" collapsed="false">
      <c r="B278" s="0"/>
      <c r="C278" s="0"/>
      <c r="J278" s="214"/>
    </row>
    <row r="279" customFormat="false" ht="12.75" hidden="false" customHeight="false" outlineLevel="0" collapsed="false">
      <c r="B279" s="0"/>
      <c r="C279" s="0"/>
      <c r="J279" s="214"/>
    </row>
    <row r="280" customFormat="false" ht="12.75" hidden="false" customHeight="false" outlineLevel="0" collapsed="false">
      <c r="B280" s="0"/>
      <c r="C280" s="0"/>
      <c r="J280" s="214"/>
    </row>
    <row r="281" customFormat="false" ht="12.75" hidden="false" customHeight="false" outlineLevel="0" collapsed="false">
      <c r="B281" s="241"/>
      <c r="C281" s="241"/>
      <c r="J281" s="214"/>
    </row>
    <row r="282" customFormat="false" ht="12.75" hidden="false" customHeight="false" outlineLevel="0" collapsed="false">
      <c r="B282" s="241"/>
      <c r="C282" s="241"/>
      <c r="J282" s="214"/>
    </row>
    <row r="283" customFormat="false" ht="12.75" hidden="false" customHeight="false" outlineLevel="0" collapsed="false">
      <c r="B283" s="0"/>
      <c r="C283" s="0"/>
      <c r="J283" s="214"/>
    </row>
    <row r="284" customFormat="false" ht="12.75" hidden="false" customHeight="false" outlineLevel="0" collapsed="false">
      <c r="B284" s="0"/>
      <c r="C284" s="0"/>
      <c r="J284" s="214"/>
    </row>
    <row r="285" customFormat="false" ht="12" hidden="false" customHeight="false" outlineLevel="0" collapsed="false">
      <c r="J285" s="214"/>
    </row>
    <row r="286" customFormat="false" ht="12" hidden="false" customHeight="false" outlineLevel="0" collapsed="false">
      <c r="J286" s="214"/>
    </row>
    <row r="287" customFormat="false" ht="12" hidden="false" customHeight="false" outlineLevel="0" collapsed="false">
      <c r="J287" s="214"/>
    </row>
    <row r="288" customFormat="false" ht="12" hidden="false" customHeight="false" outlineLevel="0" collapsed="false">
      <c r="J288" s="214"/>
    </row>
    <row r="289" customFormat="false" ht="12" hidden="false" customHeight="false" outlineLevel="0" collapsed="false">
      <c r="J289" s="214"/>
    </row>
    <row r="290" customFormat="false" ht="12" hidden="false" customHeight="false" outlineLevel="0" collapsed="false">
      <c r="J290" s="214"/>
    </row>
    <row r="291" customFormat="false" ht="12" hidden="false" customHeight="false" outlineLevel="0" collapsed="false">
      <c r="J291" s="214"/>
    </row>
    <row r="292" customFormat="false" ht="12" hidden="false" customHeight="false" outlineLevel="0" collapsed="false">
      <c r="J292" s="214"/>
    </row>
    <row r="293" customFormat="false" ht="12" hidden="false" customHeight="false" outlineLevel="0" collapsed="false">
      <c r="J293" s="214"/>
    </row>
    <row r="294" customFormat="false" ht="12" hidden="false" customHeight="false" outlineLevel="0" collapsed="false">
      <c r="J294" s="214"/>
    </row>
    <row r="295" customFormat="false" ht="12" hidden="false" customHeight="false" outlineLevel="0" collapsed="false">
      <c r="J295" s="214"/>
    </row>
    <row r="296" customFormat="false" ht="12" hidden="false" customHeight="false" outlineLevel="0" collapsed="false">
      <c r="J296" s="214"/>
    </row>
    <row r="297" customFormat="false" ht="12" hidden="false" customHeight="false" outlineLevel="0" collapsed="false">
      <c r="J297" s="214"/>
    </row>
    <row r="298" customFormat="false" ht="12" hidden="false" customHeight="false" outlineLevel="0" collapsed="false">
      <c r="J298" s="214"/>
    </row>
    <row r="299" customFormat="false" ht="12" hidden="false" customHeight="false" outlineLevel="0" collapsed="false">
      <c r="J299" s="214"/>
    </row>
    <row r="300" customFormat="false" ht="12" hidden="false" customHeight="false" outlineLevel="0" collapsed="false">
      <c r="J300" s="214"/>
    </row>
    <row r="301" customFormat="false" ht="12" hidden="false" customHeight="false" outlineLevel="0" collapsed="false">
      <c r="J301" s="214"/>
    </row>
    <row r="302" customFormat="false" ht="12" hidden="false" customHeight="false" outlineLevel="0" collapsed="false">
      <c r="J302" s="214"/>
    </row>
    <row r="303" customFormat="false" ht="12" hidden="false" customHeight="false" outlineLevel="0" collapsed="false">
      <c r="J303" s="214"/>
    </row>
    <row r="304" customFormat="false" ht="12" hidden="false" customHeight="false" outlineLevel="0" collapsed="false">
      <c r="J304" s="214"/>
    </row>
    <row r="305" customFormat="false" ht="12" hidden="false" customHeight="false" outlineLevel="0" collapsed="false">
      <c r="J305" s="214"/>
    </row>
    <row r="306" customFormat="false" ht="12" hidden="false" customHeight="false" outlineLevel="0" collapsed="false">
      <c r="J306" s="214"/>
    </row>
    <row r="307" customFormat="false" ht="12" hidden="false" customHeight="false" outlineLevel="0" collapsed="false">
      <c r="J307" s="214"/>
    </row>
    <row r="308" customFormat="false" ht="12" hidden="false" customHeight="false" outlineLevel="0" collapsed="false">
      <c r="J308" s="214"/>
    </row>
    <row r="309" customFormat="false" ht="12" hidden="false" customHeight="false" outlineLevel="0" collapsed="false">
      <c r="J309" s="214"/>
    </row>
    <row r="310" customFormat="false" ht="12" hidden="false" customHeight="false" outlineLevel="0" collapsed="false">
      <c r="J310" s="214"/>
    </row>
    <row r="311" customFormat="false" ht="12" hidden="false" customHeight="false" outlineLevel="0" collapsed="false">
      <c r="J311" s="214"/>
    </row>
    <row r="312" customFormat="false" ht="12" hidden="false" customHeight="false" outlineLevel="0" collapsed="false">
      <c r="J312" s="214"/>
    </row>
    <row r="313" customFormat="false" ht="12" hidden="false" customHeight="false" outlineLevel="0" collapsed="false">
      <c r="J313" s="214"/>
    </row>
    <row r="314" customFormat="false" ht="12" hidden="false" customHeight="false" outlineLevel="0" collapsed="false">
      <c r="J314" s="214"/>
    </row>
    <row r="315" customFormat="false" ht="12" hidden="false" customHeight="false" outlineLevel="0" collapsed="false">
      <c r="J315" s="214"/>
    </row>
    <row r="316" customFormat="false" ht="12" hidden="false" customHeight="false" outlineLevel="0" collapsed="false">
      <c r="J316" s="214"/>
    </row>
    <row r="317" customFormat="false" ht="12" hidden="false" customHeight="false" outlineLevel="0" collapsed="false">
      <c r="J317" s="214"/>
    </row>
    <row r="318" customFormat="false" ht="12" hidden="false" customHeight="false" outlineLevel="0" collapsed="false">
      <c r="J318" s="214"/>
    </row>
    <row r="319" customFormat="false" ht="12" hidden="false" customHeight="false" outlineLevel="0" collapsed="false">
      <c r="J319" s="214"/>
    </row>
    <row r="320" customFormat="false" ht="12" hidden="false" customHeight="false" outlineLevel="0" collapsed="false">
      <c r="J320" s="214"/>
    </row>
    <row r="321" customFormat="false" ht="12" hidden="false" customHeight="false" outlineLevel="0" collapsed="false">
      <c r="J321" s="214"/>
    </row>
    <row r="322" customFormat="false" ht="12" hidden="false" customHeight="false" outlineLevel="0" collapsed="false">
      <c r="J322" s="214"/>
    </row>
    <row r="323" customFormat="false" ht="12" hidden="false" customHeight="false" outlineLevel="0" collapsed="false">
      <c r="J323" s="214"/>
    </row>
    <row r="324" customFormat="false" ht="12" hidden="false" customHeight="false" outlineLevel="0" collapsed="false">
      <c r="J324" s="214"/>
    </row>
    <row r="325" customFormat="false" ht="12" hidden="false" customHeight="false" outlineLevel="0" collapsed="false">
      <c r="J325" s="214"/>
    </row>
    <row r="326" customFormat="false" ht="12" hidden="false" customHeight="false" outlineLevel="0" collapsed="false">
      <c r="J326" s="214"/>
    </row>
    <row r="327" customFormat="false" ht="12" hidden="false" customHeight="false" outlineLevel="0" collapsed="false">
      <c r="J327" s="214"/>
    </row>
    <row r="328" customFormat="false" ht="12" hidden="false" customHeight="false" outlineLevel="0" collapsed="false">
      <c r="J328" s="214"/>
    </row>
    <row r="329" customFormat="false" ht="12" hidden="false" customHeight="false" outlineLevel="0" collapsed="false">
      <c r="J329" s="214"/>
    </row>
    <row r="330" customFormat="false" ht="12" hidden="false" customHeight="false" outlineLevel="0" collapsed="false">
      <c r="J330" s="214"/>
    </row>
    <row r="331" customFormat="false" ht="12" hidden="false" customHeight="false" outlineLevel="0" collapsed="false">
      <c r="J331" s="214"/>
    </row>
    <row r="332" customFormat="false" ht="12" hidden="false" customHeight="false" outlineLevel="0" collapsed="false">
      <c r="J332" s="214"/>
    </row>
    <row r="333" customFormat="false" ht="12" hidden="false" customHeight="false" outlineLevel="0" collapsed="false">
      <c r="J333" s="214"/>
    </row>
    <row r="334" customFormat="false" ht="12" hidden="false" customHeight="false" outlineLevel="0" collapsed="false">
      <c r="J334" s="214"/>
    </row>
    <row r="335" customFormat="false" ht="12" hidden="false" customHeight="false" outlineLevel="0" collapsed="false">
      <c r="J335" s="214"/>
    </row>
    <row r="336" customFormat="false" ht="12" hidden="false" customHeight="false" outlineLevel="0" collapsed="false">
      <c r="J336" s="214"/>
    </row>
    <row r="337" customFormat="false" ht="12" hidden="false" customHeight="false" outlineLevel="0" collapsed="false">
      <c r="J337" s="214"/>
    </row>
    <row r="338" customFormat="false" ht="12" hidden="false" customHeight="false" outlineLevel="0" collapsed="false">
      <c r="J338" s="214"/>
    </row>
    <row r="339" customFormat="false" ht="12" hidden="false" customHeight="false" outlineLevel="0" collapsed="false">
      <c r="J339" s="214"/>
    </row>
    <row r="340" customFormat="false" ht="12" hidden="false" customHeight="false" outlineLevel="0" collapsed="false">
      <c r="J340" s="214"/>
    </row>
    <row r="341" customFormat="false" ht="12" hidden="false" customHeight="false" outlineLevel="0" collapsed="false">
      <c r="J341" s="214"/>
    </row>
    <row r="342" customFormat="false" ht="12" hidden="false" customHeight="false" outlineLevel="0" collapsed="false">
      <c r="J342" s="214"/>
    </row>
    <row r="343" customFormat="false" ht="12" hidden="false" customHeight="false" outlineLevel="0" collapsed="false">
      <c r="J343" s="214"/>
    </row>
    <row r="344" customFormat="false" ht="12" hidden="false" customHeight="false" outlineLevel="0" collapsed="false">
      <c r="J344" s="214"/>
    </row>
    <row r="345" customFormat="false" ht="12" hidden="false" customHeight="false" outlineLevel="0" collapsed="false">
      <c r="J345" s="214"/>
    </row>
    <row r="346" customFormat="false" ht="12" hidden="false" customHeight="false" outlineLevel="0" collapsed="false">
      <c r="J346" s="214"/>
    </row>
    <row r="347" customFormat="false" ht="12" hidden="false" customHeight="false" outlineLevel="0" collapsed="false">
      <c r="J347" s="214"/>
    </row>
    <row r="348" customFormat="false" ht="12" hidden="false" customHeight="false" outlineLevel="0" collapsed="false">
      <c r="J348" s="214"/>
    </row>
    <row r="349" customFormat="false" ht="12" hidden="false" customHeight="false" outlineLevel="0" collapsed="false">
      <c r="J349" s="214"/>
    </row>
    <row r="350" customFormat="false" ht="12" hidden="false" customHeight="false" outlineLevel="0" collapsed="false">
      <c r="J350" s="214"/>
    </row>
    <row r="351" customFormat="false" ht="12" hidden="false" customHeight="false" outlineLevel="0" collapsed="false">
      <c r="J351" s="214"/>
    </row>
    <row r="352" customFormat="false" ht="12" hidden="false" customHeight="false" outlineLevel="0" collapsed="false">
      <c r="J352" s="214"/>
    </row>
    <row r="353" customFormat="false" ht="12" hidden="false" customHeight="false" outlineLevel="0" collapsed="false">
      <c r="J353" s="214"/>
    </row>
    <row r="354" customFormat="false" ht="12" hidden="false" customHeight="false" outlineLevel="0" collapsed="false">
      <c r="J354" s="214"/>
    </row>
    <row r="355" customFormat="false" ht="12" hidden="false" customHeight="false" outlineLevel="0" collapsed="false">
      <c r="J355" s="214"/>
    </row>
    <row r="356" customFormat="false" ht="12" hidden="false" customHeight="false" outlineLevel="0" collapsed="false">
      <c r="J356" s="214"/>
    </row>
    <row r="357" customFormat="false" ht="12" hidden="false" customHeight="false" outlineLevel="0" collapsed="false">
      <c r="J357" s="214"/>
    </row>
    <row r="358" customFormat="false" ht="12" hidden="false" customHeight="false" outlineLevel="0" collapsed="false">
      <c r="J358" s="214"/>
    </row>
    <row r="359" customFormat="false" ht="12" hidden="false" customHeight="false" outlineLevel="0" collapsed="false">
      <c r="J359" s="214"/>
    </row>
    <row r="360" customFormat="false" ht="12" hidden="false" customHeight="false" outlineLevel="0" collapsed="false">
      <c r="J360" s="214"/>
    </row>
    <row r="361" customFormat="false" ht="12" hidden="false" customHeight="false" outlineLevel="0" collapsed="false">
      <c r="J361" s="214"/>
    </row>
    <row r="362" customFormat="false" ht="12" hidden="false" customHeight="false" outlineLevel="0" collapsed="false">
      <c r="J362" s="214"/>
    </row>
    <row r="363" customFormat="false" ht="12" hidden="false" customHeight="false" outlineLevel="0" collapsed="false">
      <c r="J363" s="214"/>
    </row>
    <row r="364" customFormat="false" ht="12" hidden="false" customHeight="false" outlineLevel="0" collapsed="false">
      <c r="J364" s="214"/>
    </row>
    <row r="365" customFormat="false" ht="12" hidden="false" customHeight="false" outlineLevel="0" collapsed="false">
      <c r="J365" s="214"/>
    </row>
    <row r="366" customFormat="false" ht="12" hidden="false" customHeight="false" outlineLevel="0" collapsed="false">
      <c r="J366" s="214"/>
    </row>
    <row r="367" customFormat="false" ht="12" hidden="false" customHeight="false" outlineLevel="0" collapsed="false">
      <c r="J367" s="214"/>
    </row>
    <row r="368" customFormat="false" ht="12" hidden="false" customHeight="false" outlineLevel="0" collapsed="false">
      <c r="J368" s="214"/>
    </row>
    <row r="369" customFormat="false" ht="12" hidden="false" customHeight="false" outlineLevel="0" collapsed="false">
      <c r="J369" s="214"/>
    </row>
    <row r="370" customFormat="false" ht="12" hidden="false" customHeight="false" outlineLevel="0" collapsed="false">
      <c r="J370" s="214"/>
    </row>
    <row r="371" customFormat="false" ht="12" hidden="false" customHeight="false" outlineLevel="0" collapsed="false">
      <c r="J371" s="214"/>
    </row>
    <row r="372" customFormat="false" ht="12" hidden="false" customHeight="false" outlineLevel="0" collapsed="false">
      <c r="J372" s="214"/>
    </row>
    <row r="373" customFormat="false" ht="12" hidden="false" customHeight="false" outlineLevel="0" collapsed="false">
      <c r="J373" s="214"/>
    </row>
    <row r="374" customFormat="false" ht="12" hidden="false" customHeight="false" outlineLevel="0" collapsed="false">
      <c r="J374" s="214"/>
    </row>
  </sheetData>
  <mergeCells count="19">
    <mergeCell ref="A1:H1"/>
    <mergeCell ref="K6:L6"/>
    <mergeCell ref="A28:D28"/>
    <mergeCell ref="E28:H28"/>
    <mergeCell ref="I28:J28"/>
    <mergeCell ref="E29:F29"/>
    <mergeCell ref="G29:H29"/>
    <mergeCell ref="I33:J33"/>
    <mergeCell ref="A34:D34"/>
    <mergeCell ref="I40:J40"/>
    <mergeCell ref="A43:D43"/>
    <mergeCell ref="G43:L43"/>
    <mergeCell ref="A44:B44"/>
    <mergeCell ref="C44:D44"/>
    <mergeCell ref="E44:F44"/>
    <mergeCell ref="I44:J44"/>
    <mergeCell ref="K44:L44"/>
    <mergeCell ref="A113:C113"/>
    <mergeCell ref="I113:K113"/>
  </mergeCells>
  <printOptions headings="false" gridLines="false" gridLinesSet="true" horizontalCentered="true" verticalCentered="true"/>
  <pageMargins left="0.25" right="0.25" top="0.25" bottom="0.25" header="0.511811023622047" footer="0.2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&amp;L&amp;8Tx Desk Logistics - Daren Farmer&amp;R&amp;8&amp;D
&amp;T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377"/>
  <sheetViews>
    <sheetView showFormulas="false" showGridLines="false" showRowColHeaders="true" showZeros="true" rightToLeft="false" tabSelected="false" showOutlineSymbols="true" defaultGridColor="true" view="normal" topLeftCell="A161" colorId="64" zoomScale="80" zoomScaleNormal="80" zoomScalePageLayoutView="100" workbookViewId="0">
      <selection pane="topLeft" activeCell="F28" activeCellId="0" sqref="F28"/>
    </sheetView>
  </sheetViews>
  <sheetFormatPr defaultColWidth="9.13671875" defaultRowHeight="12" customHeight="true" zeroHeight="false" outlineLevelRow="0" outlineLevelCol="0"/>
  <cols>
    <col collapsed="false" customWidth="true" hidden="false" outlineLevel="0" max="2" min="1" style="1" width="12.14"/>
    <col collapsed="false" customWidth="true" hidden="false" outlineLevel="0" max="3" min="3" style="1" width="11.28"/>
    <col collapsed="false" customWidth="true" hidden="false" outlineLevel="0" max="4" min="4" style="1" width="11.85"/>
    <col collapsed="false" customWidth="true" hidden="false" outlineLevel="0" max="5" min="5" style="1" width="11.56"/>
    <col collapsed="false" customWidth="true" hidden="false" outlineLevel="0" max="6" min="6" style="1" width="11.7"/>
    <col collapsed="false" customWidth="true" hidden="false" outlineLevel="0" max="7" min="7" style="1" width="11.85"/>
    <col collapsed="false" customWidth="true" hidden="false" outlineLevel="0" max="8" min="8" style="1" width="11.7"/>
    <col collapsed="false" customWidth="true" hidden="false" outlineLevel="0" max="9" min="9" style="1" width="11.85"/>
    <col collapsed="false" customWidth="true" hidden="false" outlineLevel="0" max="10" min="10" style="1" width="8.7"/>
    <col collapsed="false" customWidth="true" hidden="false" outlineLevel="0" max="11" min="11" style="1" width="11.85"/>
    <col collapsed="false" customWidth="false" hidden="false" outlineLevel="0" max="12" min="12" style="1" width="9.14"/>
    <col collapsed="false" customWidth="true" hidden="false" outlineLevel="0" max="13" min="13" style="1" width="8.56"/>
    <col collapsed="false" customWidth="false" hidden="false" outlineLevel="0" max="14" min="14" style="1" width="9.14"/>
    <col collapsed="false" customWidth="true" hidden="false" outlineLevel="0" max="15" min="15" style="1" width="5.56"/>
    <col collapsed="false" customWidth="false" hidden="false" outlineLevel="0" max="257" min="16" style="1" width="9.14"/>
  </cols>
  <sheetData>
    <row r="1" customFormat="false" ht="16.5" hidden="false" customHeight="fals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  <c r="IP1" s="3"/>
      <c r="IQ1" s="3"/>
      <c r="IR1" s="3"/>
      <c r="IS1" s="3"/>
      <c r="IT1" s="3"/>
      <c r="IU1" s="3"/>
      <c r="IV1" s="3"/>
      <c r="IW1" s="3"/>
    </row>
    <row r="2" customFormat="false" ht="12.75" hidden="false" customHeight="false" outlineLevel="0" collapsed="false">
      <c r="A2" s="4"/>
      <c r="B2" s="5"/>
      <c r="C2" s="5"/>
      <c r="D2" s="6"/>
      <c r="E2" s="6"/>
      <c r="F2" s="6"/>
      <c r="G2" s="5"/>
      <c r="H2" s="7"/>
    </row>
    <row r="3" customFormat="false" ht="13.5" hidden="false" customHeight="false" outlineLevel="0" collapsed="false">
      <c r="A3" s="8"/>
      <c r="B3" s="9"/>
      <c r="C3" s="10"/>
      <c r="D3" s="6"/>
      <c r="E3" s="10"/>
      <c r="F3" s="10"/>
      <c r="G3" s="10"/>
      <c r="H3" s="7"/>
    </row>
    <row r="4" customFormat="false" ht="12.75" hidden="false" customHeight="false" outlineLevel="0" collapsed="false">
      <c r="A4" s="11"/>
      <c r="B4" s="5"/>
      <c r="C4" s="5"/>
      <c r="D4" s="12" t="s">
        <v>368</v>
      </c>
      <c r="E4" s="13"/>
      <c r="F4" s="242"/>
      <c r="G4" s="243"/>
      <c r="H4" s="244"/>
      <c r="L4" s="0"/>
    </row>
    <row r="5" customFormat="false" ht="13.5" hidden="false" customHeight="false" outlineLevel="0" collapsed="false">
      <c r="A5" s="16"/>
      <c r="B5" s="6"/>
      <c r="C5" s="6"/>
      <c r="D5" s="17" t="s">
        <v>2</v>
      </c>
      <c r="E5" s="18" t="s">
        <v>369</v>
      </c>
      <c r="F5" s="245" t="str">
        <f aca="false">D4</f>
        <v>Feb</v>
      </c>
      <c r="G5" s="246" t="str">
        <f aca="false">+F5</f>
        <v>Feb</v>
      </c>
      <c r="H5" s="247" t="str">
        <f aca="false">+F5</f>
        <v>Feb</v>
      </c>
      <c r="L5" s="0"/>
    </row>
    <row r="6" customFormat="false" ht="13.5" hidden="false" customHeight="false" outlineLevel="0" collapsed="false">
      <c r="A6" s="16"/>
      <c r="B6" s="6"/>
      <c r="C6" s="6"/>
      <c r="D6" s="21" t="s">
        <v>4</v>
      </c>
      <c r="E6" s="22" t="n">
        <v>99</v>
      </c>
      <c r="F6" s="248" t="n">
        <v>99</v>
      </c>
      <c r="G6" s="249" t="s">
        <v>5</v>
      </c>
      <c r="H6" s="250" t="s">
        <v>6</v>
      </c>
      <c r="I6" s="25"/>
      <c r="K6" s="26" t="s">
        <v>7</v>
      </c>
      <c r="L6" s="26"/>
    </row>
    <row r="7" customFormat="false" ht="12.75" hidden="false" customHeight="false" outlineLevel="0" collapsed="false">
      <c r="A7" s="27" t="s">
        <v>8</v>
      </c>
      <c r="B7" s="6"/>
      <c r="D7" s="28" t="n">
        <f aca="false">C199+C219</f>
        <v>416.474</v>
      </c>
      <c r="E7" s="29" t="n">
        <v>408.277387096774</v>
      </c>
      <c r="F7" s="251" t="n">
        <v>541.2</v>
      </c>
      <c r="G7" s="252" t="n">
        <f aca="false">D7*1.1</f>
        <v>458.1214</v>
      </c>
      <c r="H7" s="253" t="n">
        <f aca="false">D7*0.9</f>
        <v>374.8266</v>
      </c>
      <c r="I7" s="32"/>
      <c r="K7" s="33" t="s">
        <v>9</v>
      </c>
      <c r="L7" s="34" t="n">
        <f aca="false">C126</f>
        <v>16.5</v>
      </c>
      <c r="N7" s="0"/>
      <c r="O7" s="0"/>
    </row>
    <row r="8" customFormat="false" ht="12.75" hidden="false" customHeight="false" outlineLevel="0" collapsed="false">
      <c r="A8" s="27" t="s">
        <v>10</v>
      </c>
      <c r="B8" s="6"/>
      <c r="C8" s="35"/>
      <c r="D8" s="37" t="n">
        <f aca="false">73+96</f>
        <v>169</v>
      </c>
      <c r="E8" s="29" t="n">
        <v>161.7</v>
      </c>
      <c r="F8" s="254" t="n">
        <f aca="false">74.712+42.511</f>
        <v>117.223</v>
      </c>
      <c r="G8" s="255" t="n">
        <f aca="false">73+105</f>
        <v>178</v>
      </c>
      <c r="H8" s="253" t="n">
        <f aca="false">65.7+60</f>
        <v>125.7</v>
      </c>
      <c r="I8" s="25"/>
      <c r="K8" s="39" t="s">
        <v>11</v>
      </c>
      <c r="L8" s="40" t="n">
        <f aca="false">C127+C203</f>
        <v>0</v>
      </c>
      <c r="N8" s="0"/>
      <c r="O8" s="0"/>
    </row>
    <row r="9" customFormat="false" ht="12.75" hidden="false" customHeight="false" outlineLevel="0" collapsed="false">
      <c r="A9" s="27" t="s">
        <v>12</v>
      </c>
      <c r="B9" s="6"/>
      <c r="C9" s="6"/>
      <c r="D9" s="37" t="n">
        <v>20</v>
      </c>
      <c r="E9" s="29" t="n">
        <v>20</v>
      </c>
      <c r="F9" s="254" t="n">
        <v>26.906</v>
      </c>
      <c r="G9" s="255" t="n">
        <v>60</v>
      </c>
      <c r="H9" s="253" t="n">
        <v>20</v>
      </c>
      <c r="I9" s="25"/>
      <c r="K9" s="39" t="s">
        <v>13</v>
      </c>
      <c r="L9" s="41" t="n">
        <f aca="false">C133+C205</f>
        <v>20</v>
      </c>
      <c r="N9" s="0"/>
      <c r="O9" s="0"/>
    </row>
    <row r="10" customFormat="false" ht="12.75" hidden="false" customHeight="false" outlineLevel="0" collapsed="false">
      <c r="A10" s="27" t="s">
        <v>14</v>
      </c>
      <c r="B10" s="6"/>
      <c r="C10" s="6"/>
      <c r="D10" s="37" t="n">
        <v>30</v>
      </c>
      <c r="E10" s="29" t="n">
        <v>27.542</v>
      </c>
      <c r="F10" s="254" t="n">
        <v>86.2</v>
      </c>
      <c r="G10" s="255" t="n">
        <v>0</v>
      </c>
      <c r="H10" s="253" t="n">
        <v>0</v>
      </c>
      <c r="I10" s="42"/>
      <c r="K10" s="39" t="s">
        <v>15</v>
      </c>
      <c r="L10" s="40" t="n">
        <f aca="false">C135+C206</f>
        <v>0</v>
      </c>
      <c r="N10" s="0"/>
      <c r="O10" s="0"/>
    </row>
    <row r="11" customFormat="false" ht="12.75" hidden="false" customHeight="false" outlineLevel="0" collapsed="false">
      <c r="A11" s="27" t="s">
        <v>16</v>
      </c>
      <c r="B11" s="6"/>
      <c r="C11" s="6"/>
      <c r="D11" s="37" t="n">
        <v>110</v>
      </c>
      <c r="E11" s="29" t="n">
        <v>120.4</v>
      </c>
      <c r="F11" s="254" t="n">
        <v>75.493</v>
      </c>
      <c r="G11" s="255" t="n">
        <v>145</v>
      </c>
      <c r="H11" s="253" t="n">
        <v>90</v>
      </c>
      <c r="I11" s="25"/>
      <c r="K11" s="39" t="s">
        <v>17</v>
      </c>
      <c r="L11" s="40" t="n">
        <f aca="false">C142+C207</f>
        <v>0</v>
      </c>
      <c r="N11" s="0"/>
      <c r="O11" s="0"/>
    </row>
    <row r="12" customFormat="false" ht="12.75" hidden="false" customHeight="false" outlineLevel="0" collapsed="false">
      <c r="A12" s="27" t="s">
        <v>18</v>
      </c>
      <c r="B12" s="6"/>
      <c r="C12" s="6"/>
      <c r="D12" s="37" t="n">
        <v>95</v>
      </c>
      <c r="E12" s="29" t="n">
        <v>95</v>
      </c>
      <c r="F12" s="254" t="n">
        <v>99.506</v>
      </c>
      <c r="G12" s="255" t="n">
        <f aca="false">90*1.05</f>
        <v>94.5</v>
      </c>
      <c r="H12" s="253" t="n">
        <f aca="false">90*0.95</f>
        <v>85.5</v>
      </c>
      <c r="I12" s="25"/>
      <c r="K12" s="39" t="s">
        <v>19</v>
      </c>
      <c r="L12" s="40" t="n">
        <f aca="false">C152+C210</f>
        <v>80</v>
      </c>
      <c r="N12" s="0"/>
      <c r="O12" s="0"/>
    </row>
    <row r="13" customFormat="false" ht="12.75" hidden="false" customHeight="false" outlineLevel="0" collapsed="false">
      <c r="A13" s="27" t="s">
        <v>20</v>
      </c>
      <c r="B13" s="6"/>
      <c r="C13" s="6"/>
      <c r="D13" s="37" t="n">
        <v>50</v>
      </c>
      <c r="E13" s="29" t="n">
        <v>55</v>
      </c>
      <c r="F13" s="254" t="n">
        <f aca="false">1839.749/31</f>
        <v>59.3467419354839</v>
      </c>
      <c r="G13" s="255" t="n">
        <v>180</v>
      </c>
      <c r="H13" s="253" t="n">
        <v>0</v>
      </c>
      <c r="I13" s="25"/>
      <c r="J13" s="0"/>
      <c r="K13" s="39" t="s">
        <v>21</v>
      </c>
      <c r="L13" s="40" t="n">
        <f aca="false">C151+C209</f>
        <v>0</v>
      </c>
      <c r="N13" s="0"/>
      <c r="O13" s="0"/>
    </row>
    <row r="14" customFormat="false" ht="12.75" hidden="false" customHeight="false" outlineLevel="0" collapsed="false">
      <c r="A14" s="27" t="s">
        <v>22</v>
      </c>
      <c r="B14" s="6"/>
      <c r="C14" s="6"/>
      <c r="D14" s="37" t="n">
        <f aca="false">B80</f>
        <v>11.458</v>
      </c>
      <c r="E14" s="29" t="n">
        <v>10.558</v>
      </c>
      <c r="F14" s="254" t="n">
        <v>14.9</v>
      </c>
      <c r="G14" s="255" t="n">
        <f aca="false">D14*1.05</f>
        <v>12.0309</v>
      </c>
      <c r="H14" s="253" t="n">
        <f aca="false">D14*0.95</f>
        <v>10.8851</v>
      </c>
      <c r="I14" s="25"/>
      <c r="K14" s="39" t="s">
        <v>23</v>
      </c>
      <c r="L14" s="40" t="n">
        <f aca="false">C155+C211</f>
        <v>35</v>
      </c>
      <c r="N14" s="0"/>
      <c r="O14" s="0"/>
    </row>
    <row r="15" customFormat="false" ht="12.75" hidden="false" customHeight="false" outlineLevel="0" collapsed="false">
      <c r="A15" s="27" t="s">
        <v>370</v>
      </c>
      <c r="B15" s="6"/>
      <c r="C15" s="6"/>
      <c r="D15" s="37" t="n">
        <f aca="false">SUM(D16:D18)</f>
        <v>266.433</v>
      </c>
      <c r="E15" s="29" t="n">
        <f aca="false">SUM(E16:E18)</f>
        <v>315</v>
      </c>
      <c r="F15" s="254" t="n">
        <v>224</v>
      </c>
      <c r="G15" s="255" t="n">
        <v>1174</v>
      </c>
      <c r="H15" s="253" t="n">
        <v>0</v>
      </c>
      <c r="I15" s="25"/>
      <c r="K15" s="39"/>
      <c r="L15" s="40"/>
      <c r="N15" s="0"/>
      <c r="O15" s="0"/>
    </row>
    <row r="16" customFormat="false" ht="12.75" hidden="false" customHeight="false" outlineLevel="0" collapsed="false">
      <c r="A16" s="27" t="s">
        <v>371</v>
      </c>
      <c r="B16" s="43"/>
      <c r="C16" s="6"/>
      <c r="D16" s="44" t="n">
        <v>211.78</v>
      </c>
      <c r="E16" s="29" t="n">
        <f aca="false">240+3</f>
        <v>243</v>
      </c>
      <c r="F16" s="254"/>
      <c r="G16" s="255"/>
      <c r="H16" s="253"/>
      <c r="I16" s="25"/>
      <c r="K16" s="39" t="s">
        <v>25</v>
      </c>
      <c r="L16" s="40" t="n">
        <f aca="false">C167+C213</f>
        <v>0</v>
      </c>
      <c r="N16" s="0"/>
      <c r="O16" s="0"/>
      <c r="P16" s="0"/>
    </row>
    <row r="17" customFormat="false" ht="12.75" hidden="false" customHeight="false" outlineLevel="0" collapsed="false">
      <c r="A17" s="27" t="s">
        <v>372</v>
      </c>
      <c r="B17" s="43"/>
      <c r="C17" s="6"/>
      <c r="D17" s="44" t="n">
        <v>9.353</v>
      </c>
      <c r="E17" s="29" t="n">
        <v>13</v>
      </c>
      <c r="F17" s="254"/>
      <c r="G17" s="255"/>
      <c r="H17" s="253"/>
      <c r="I17" s="25"/>
      <c r="K17" s="39"/>
      <c r="L17" s="40"/>
      <c r="N17" s="0"/>
      <c r="O17" s="0"/>
      <c r="P17" s="0"/>
    </row>
    <row r="18" customFormat="false" ht="12.75" hidden="false" customHeight="false" outlineLevel="0" collapsed="false">
      <c r="A18" s="27" t="s">
        <v>373</v>
      </c>
      <c r="B18" s="43"/>
      <c r="C18" s="6"/>
      <c r="D18" s="44" t="n">
        <v>45.3</v>
      </c>
      <c r="E18" s="29" t="n">
        <v>59</v>
      </c>
      <c r="F18" s="254"/>
      <c r="G18" s="255"/>
      <c r="H18" s="253"/>
      <c r="I18" s="25"/>
      <c r="K18" s="39"/>
      <c r="L18" s="40"/>
      <c r="N18" s="0"/>
      <c r="O18" s="0"/>
      <c r="P18" s="0"/>
    </row>
    <row r="19" customFormat="false" ht="12.75" hidden="false" customHeight="false" outlineLevel="0" collapsed="false">
      <c r="A19" s="27" t="s">
        <v>26</v>
      </c>
      <c r="B19" s="35"/>
      <c r="C19" s="35"/>
      <c r="D19" s="37" t="n">
        <f aca="false">F81-B80</f>
        <v>180</v>
      </c>
      <c r="E19" s="29" t="n">
        <v>257.21</v>
      </c>
      <c r="F19" s="254" t="n">
        <v>10</v>
      </c>
      <c r="G19" s="255" t="n">
        <v>0</v>
      </c>
      <c r="H19" s="253" t="n">
        <v>0</v>
      </c>
      <c r="I19" s="45"/>
      <c r="K19" s="39" t="s">
        <v>27</v>
      </c>
      <c r="L19" s="40" t="n">
        <f aca="false">C123</f>
        <v>0</v>
      </c>
      <c r="N19" s="0"/>
      <c r="O19" s="0"/>
    </row>
    <row r="20" customFormat="false" ht="12.75" hidden="false" customHeight="false" outlineLevel="0" collapsed="false">
      <c r="A20" s="27" t="s">
        <v>28</v>
      </c>
      <c r="B20" s="6"/>
      <c r="C20" s="6"/>
      <c r="D20" s="46" t="n">
        <f aca="false">SUM(D7:D19)-D15</f>
        <v>1348.365</v>
      </c>
      <c r="E20" s="256" t="n">
        <v>1447.32538709677</v>
      </c>
      <c r="F20" s="257" t="n">
        <f aca="false">SUM(F7:F19)</f>
        <v>1254.77474193548</v>
      </c>
      <c r="G20" s="257" t="n">
        <f aca="false">SUM(G7:G19)</f>
        <v>2301.6523</v>
      </c>
      <c r="H20" s="258" t="n">
        <f aca="false">SUM(H7:H19)</f>
        <v>706.9117</v>
      </c>
      <c r="I20" s="32"/>
      <c r="K20" s="39" t="s">
        <v>29</v>
      </c>
      <c r="L20" s="40" t="n">
        <f aca="false">C185+C215</f>
        <v>40</v>
      </c>
      <c r="N20" s="0"/>
      <c r="O20" s="48"/>
    </row>
    <row r="21" customFormat="false" ht="12.75" hidden="false" customHeight="false" outlineLevel="0" collapsed="false">
      <c r="A21" s="27" t="s">
        <v>30</v>
      </c>
      <c r="B21" s="6"/>
      <c r="C21" s="6"/>
      <c r="D21" s="49" t="n">
        <f aca="false">D32</f>
        <v>0</v>
      </c>
      <c r="E21" s="50" t="n">
        <v>-64.5161290322581</v>
      </c>
      <c r="F21" s="259" t="n">
        <v>0</v>
      </c>
      <c r="G21" s="260" t="n">
        <v>0</v>
      </c>
      <c r="H21" s="261" t="n">
        <v>0</v>
      </c>
      <c r="I21" s="25"/>
      <c r="K21" s="39" t="s">
        <v>31</v>
      </c>
      <c r="L21" s="40" t="n">
        <f aca="false">C186</f>
        <v>19</v>
      </c>
      <c r="N21" s="48"/>
      <c r="O21" s="0"/>
    </row>
    <row r="22" customFormat="false" ht="13.5" hidden="false" customHeight="false" outlineLevel="0" collapsed="false">
      <c r="A22" s="27" t="s">
        <v>32</v>
      </c>
      <c r="B22" s="6"/>
      <c r="C22" s="6"/>
      <c r="D22" s="37" t="n">
        <v>2.5</v>
      </c>
      <c r="E22" s="37" t="n">
        <v>2.5</v>
      </c>
      <c r="F22" s="254" t="n">
        <v>2.5</v>
      </c>
      <c r="G22" s="262" t="n">
        <v>0</v>
      </c>
      <c r="H22" s="261" t="n">
        <v>0</v>
      </c>
      <c r="I22" s="25"/>
      <c r="K22" s="55" t="s">
        <v>33</v>
      </c>
      <c r="L22" s="56" t="n">
        <f aca="false">C190+C218</f>
        <v>65</v>
      </c>
      <c r="N22" s="0"/>
    </row>
    <row r="23" customFormat="false" ht="12.75" hidden="false" customHeight="false" outlineLevel="0" collapsed="false">
      <c r="A23" s="16"/>
      <c r="B23" s="6"/>
      <c r="C23" s="57" t="s">
        <v>34</v>
      </c>
      <c r="D23" s="46" t="n">
        <f aca="false">D22+D21+D20</f>
        <v>1350.865</v>
      </c>
      <c r="E23" s="256" t="n">
        <v>1385.30925806452</v>
      </c>
      <c r="F23" s="257" t="n">
        <f aca="false">F22+F21+F20</f>
        <v>1257.27474193548</v>
      </c>
      <c r="G23" s="257" t="n">
        <f aca="false">G22+G21+G20</f>
        <v>2301.6523</v>
      </c>
      <c r="H23" s="263" t="n">
        <f aca="false">H22+H21+H20</f>
        <v>706.9117</v>
      </c>
      <c r="I23" s="25"/>
      <c r="L23" s="0"/>
    </row>
    <row r="24" customFormat="false" ht="12.75" hidden="false" customHeight="false" outlineLevel="0" collapsed="false">
      <c r="A24" s="27" t="s">
        <v>35</v>
      </c>
      <c r="B24" s="6"/>
      <c r="C24" s="6"/>
      <c r="D24" s="49" t="n">
        <f aca="false">D44</f>
        <v>972.769</v>
      </c>
      <c r="E24" s="59" t="n">
        <v>1168.826</v>
      </c>
      <c r="F24" s="264" t="n">
        <v>782.9</v>
      </c>
      <c r="G24" s="265" t="n">
        <f aca="false">D24</f>
        <v>972.769</v>
      </c>
      <c r="H24" s="258" t="n">
        <f aca="false">D24</f>
        <v>972.769</v>
      </c>
      <c r="I24" s="25"/>
      <c r="L24" s="0"/>
    </row>
    <row r="25" customFormat="false" ht="13.5" hidden="false" customHeight="false" outlineLevel="0" collapsed="false">
      <c r="A25" s="62"/>
      <c r="B25" s="63"/>
      <c r="C25" s="64" t="s">
        <v>36</v>
      </c>
      <c r="D25" s="65" t="n">
        <f aca="false">D24-D23</f>
        <v>-378.096</v>
      </c>
      <c r="E25" s="266" t="n">
        <f aca="false">E23-E24</f>
        <v>216.483258064516</v>
      </c>
      <c r="F25" s="267"/>
      <c r="G25" s="267" t="n">
        <f aca="false">+G23-G24</f>
        <v>1328.8833</v>
      </c>
      <c r="H25" s="267" t="n">
        <f aca="false">+(H23-H24)</f>
        <v>-265.8573</v>
      </c>
      <c r="I25" s="32"/>
      <c r="L25" s="0"/>
    </row>
    <row r="26" customFormat="false" ht="4.5" hidden="false" customHeight="true" outlineLevel="0" collapsed="false">
      <c r="A26" s="66"/>
      <c r="B26" s="6"/>
      <c r="C26" s="67"/>
      <c r="D26" s="68"/>
      <c r="E26" s="69"/>
      <c r="F26" s="69"/>
      <c r="G26" s="70"/>
      <c r="H26" s="70"/>
      <c r="I26" s="32"/>
      <c r="L26" s="0"/>
    </row>
    <row r="27" customFormat="false" ht="12.75" hidden="false" customHeight="false" outlineLevel="0" collapsed="false">
      <c r="A27" s="16"/>
      <c r="C27" s="71" t="s">
        <v>37</v>
      </c>
      <c r="D27" s="72" t="n">
        <v>54.5</v>
      </c>
      <c r="E27" s="69"/>
      <c r="F27" s="69"/>
      <c r="G27" s="69"/>
      <c r="H27" s="69"/>
      <c r="I27" s="32"/>
      <c r="L27" s="0"/>
    </row>
    <row r="28" customFormat="false" ht="12.75" hidden="false" customHeight="false" outlineLevel="0" collapsed="false">
      <c r="A28" s="16"/>
      <c r="C28" s="73" t="s">
        <v>38</v>
      </c>
      <c r="D28" s="72" t="n">
        <v>0</v>
      </c>
      <c r="E28" s="69"/>
      <c r="F28" s="69"/>
      <c r="G28" s="69"/>
      <c r="H28" s="69"/>
      <c r="I28" s="32"/>
      <c r="L28" s="0"/>
    </row>
    <row r="29" customFormat="false" ht="13.5" hidden="false" customHeight="true" outlineLevel="0" collapsed="false">
      <c r="A29" s="74"/>
      <c r="B29" s="75"/>
      <c r="C29" s="76" t="s">
        <v>39</v>
      </c>
      <c r="D29" s="77" t="n">
        <f aca="false">D25+D28+D27</f>
        <v>-323.596</v>
      </c>
      <c r="E29" s="69"/>
      <c r="F29" s="69"/>
      <c r="G29" s="69"/>
      <c r="H29" s="69"/>
      <c r="I29" s="32"/>
      <c r="J29" s="78"/>
      <c r="K29" s="78"/>
      <c r="L29" s="79"/>
      <c r="M29" s="78"/>
      <c r="N29" s="78"/>
      <c r="O29" s="78"/>
      <c r="P29" s="78"/>
      <c r="Q29" s="78"/>
      <c r="R29" s="78"/>
      <c r="S29" s="78"/>
      <c r="T29" s="78"/>
      <c r="U29" s="78"/>
      <c r="V29" s="78"/>
      <c r="W29" s="78"/>
      <c r="X29" s="78"/>
      <c r="Y29" s="78"/>
      <c r="Z29" s="78"/>
      <c r="AA29" s="78"/>
      <c r="AB29" s="78"/>
      <c r="AC29" s="78"/>
      <c r="AD29" s="78"/>
      <c r="AE29" s="78"/>
      <c r="AF29" s="78"/>
      <c r="AG29" s="78"/>
      <c r="AH29" s="78"/>
      <c r="AI29" s="78"/>
      <c r="AJ29" s="78"/>
      <c r="AK29" s="80"/>
      <c r="AL29" s="80"/>
      <c r="AM29" s="80"/>
      <c r="AN29" s="80"/>
      <c r="AO29" s="80"/>
      <c r="AP29" s="80"/>
      <c r="AQ29" s="80"/>
      <c r="AR29" s="80"/>
      <c r="AS29" s="80"/>
      <c r="AT29" s="80"/>
      <c r="AU29" s="80"/>
      <c r="AV29" s="80"/>
      <c r="AW29" s="80"/>
      <c r="AX29" s="80"/>
      <c r="AY29" s="80"/>
      <c r="AZ29" s="80"/>
      <c r="BA29" s="80"/>
      <c r="BB29" s="80"/>
      <c r="BC29" s="80"/>
      <c r="BD29" s="80"/>
      <c r="BE29" s="80"/>
      <c r="BF29" s="80"/>
      <c r="BG29" s="80"/>
      <c r="BH29" s="80"/>
      <c r="BI29" s="80"/>
      <c r="BJ29" s="80"/>
      <c r="BK29" s="80"/>
      <c r="BL29" s="80"/>
      <c r="BM29" s="80"/>
      <c r="BN29" s="80"/>
      <c r="BO29" s="80"/>
      <c r="BP29" s="80"/>
      <c r="BQ29" s="80"/>
      <c r="BR29" s="80"/>
      <c r="BS29" s="80"/>
      <c r="BT29" s="80"/>
      <c r="BU29" s="80"/>
      <c r="BV29" s="80"/>
      <c r="BW29" s="80"/>
      <c r="BX29" s="80"/>
      <c r="BY29" s="80"/>
      <c r="BZ29" s="80"/>
      <c r="CA29" s="80"/>
      <c r="CB29" s="80"/>
      <c r="CC29" s="80"/>
      <c r="CD29" s="80"/>
      <c r="CE29" s="80"/>
      <c r="CF29" s="80"/>
      <c r="CG29" s="80"/>
      <c r="CH29" s="80"/>
      <c r="CI29" s="80"/>
      <c r="CJ29" s="80"/>
      <c r="CK29" s="80"/>
      <c r="CL29" s="80"/>
      <c r="CM29" s="80"/>
      <c r="CN29" s="80"/>
      <c r="CO29" s="80"/>
      <c r="CP29" s="80"/>
      <c r="CQ29" s="80"/>
      <c r="CR29" s="80"/>
      <c r="CS29" s="80"/>
      <c r="CT29" s="80"/>
      <c r="CU29" s="80"/>
      <c r="CV29" s="80"/>
      <c r="CW29" s="80"/>
      <c r="CX29" s="80"/>
      <c r="CY29" s="80"/>
      <c r="CZ29" s="80"/>
      <c r="DA29" s="80"/>
      <c r="DB29" s="80"/>
      <c r="DC29" s="80"/>
      <c r="DD29" s="80"/>
      <c r="DE29" s="80"/>
      <c r="DF29" s="80"/>
      <c r="DG29" s="80"/>
      <c r="DH29" s="80"/>
      <c r="DI29" s="80"/>
      <c r="DJ29" s="80"/>
      <c r="DK29" s="80"/>
      <c r="DL29" s="80"/>
      <c r="DM29" s="80"/>
      <c r="DN29" s="80"/>
      <c r="DO29" s="80"/>
      <c r="DP29" s="80"/>
      <c r="DQ29" s="80"/>
      <c r="DR29" s="80"/>
      <c r="DS29" s="80"/>
      <c r="DT29" s="80"/>
      <c r="DU29" s="80"/>
      <c r="DV29" s="80"/>
      <c r="DW29" s="80"/>
      <c r="DX29" s="80"/>
      <c r="DY29" s="80"/>
      <c r="DZ29" s="80"/>
      <c r="EA29" s="80"/>
      <c r="EB29" s="80"/>
      <c r="EC29" s="80"/>
      <c r="ED29" s="80"/>
      <c r="EE29" s="80"/>
      <c r="EF29" s="80"/>
      <c r="EG29" s="80"/>
      <c r="EH29" s="80"/>
      <c r="EI29" s="80"/>
      <c r="EJ29" s="80"/>
      <c r="EK29" s="80"/>
      <c r="EL29" s="80"/>
      <c r="EM29" s="80"/>
      <c r="EN29" s="80"/>
      <c r="EO29" s="80"/>
      <c r="EP29" s="80"/>
      <c r="EQ29" s="80"/>
      <c r="ER29" s="80"/>
      <c r="ES29" s="80"/>
      <c r="ET29" s="80"/>
      <c r="EU29" s="80"/>
      <c r="EV29" s="80"/>
      <c r="EW29" s="80"/>
      <c r="EX29" s="80"/>
      <c r="EY29" s="80"/>
      <c r="EZ29" s="80"/>
      <c r="FA29" s="80"/>
      <c r="FB29" s="80"/>
      <c r="FC29" s="80"/>
      <c r="FD29" s="80"/>
      <c r="FE29" s="80"/>
      <c r="FF29" s="80"/>
      <c r="FG29" s="80"/>
      <c r="FH29" s="80"/>
      <c r="FI29" s="80"/>
      <c r="FJ29" s="80"/>
      <c r="FK29" s="80"/>
      <c r="FL29" s="80"/>
      <c r="FM29" s="80"/>
      <c r="FN29" s="80"/>
      <c r="FO29" s="80"/>
      <c r="FP29" s="80"/>
      <c r="FQ29" s="80"/>
      <c r="FR29" s="80"/>
      <c r="FS29" s="80"/>
      <c r="FT29" s="80"/>
      <c r="FU29" s="80"/>
      <c r="FV29" s="80"/>
      <c r="FW29" s="80"/>
      <c r="FX29" s="80"/>
      <c r="FY29" s="80"/>
      <c r="FZ29" s="80"/>
      <c r="GA29" s="80"/>
      <c r="GB29" s="80"/>
      <c r="GC29" s="80"/>
      <c r="GD29" s="80"/>
      <c r="GE29" s="80"/>
      <c r="GF29" s="80"/>
      <c r="GG29" s="80"/>
      <c r="GH29" s="80"/>
      <c r="GI29" s="80"/>
      <c r="GJ29" s="80"/>
      <c r="GK29" s="80"/>
      <c r="GL29" s="80"/>
      <c r="GM29" s="80"/>
      <c r="GN29" s="80"/>
      <c r="GO29" s="80"/>
      <c r="GP29" s="80"/>
      <c r="GQ29" s="80"/>
      <c r="GR29" s="80"/>
      <c r="GS29" s="80"/>
      <c r="GT29" s="80"/>
      <c r="GU29" s="80"/>
      <c r="GV29" s="80"/>
      <c r="GW29" s="80"/>
      <c r="GX29" s="80"/>
      <c r="GY29" s="80"/>
      <c r="GZ29" s="80"/>
      <c r="HA29" s="80"/>
      <c r="HB29" s="80"/>
      <c r="HC29" s="80"/>
      <c r="HD29" s="80"/>
      <c r="HE29" s="80"/>
      <c r="HF29" s="80"/>
      <c r="HG29" s="80"/>
      <c r="HH29" s="80"/>
      <c r="HI29" s="80"/>
      <c r="HJ29" s="80"/>
      <c r="HK29" s="80"/>
      <c r="HL29" s="80"/>
      <c r="HM29" s="80"/>
      <c r="HN29" s="80"/>
      <c r="HO29" s="80"/>
      <c r="HP29" s="80"/>
      <c r="HQ29" s="80"/>
      <c r="HR29" s="80"/>
      <c r="HS29" s="80"/>
      <c r="HT29" s="80"/>
      <c r="HU29" s="80"/>
      <c r="HV29" s="80"/>
      <c r="HW29" s="80"/>
      <c r="HX29" s="80"/>
      <c r="HY29" s="80"/>
      <c r="HZ29" s="80"/>
      <c r="IA29" s="80"/>
      <c r="IB29" s="80"/>
      <c r="IC29" s="80"/>
      <c r="ID29" s="80"/>
      <c r="IE29" s="80"/>
      <c r="IF29" s="80"/>
      <c r="IG29" s="80"/>
      <c r="IH29" s="80"/>
      <c r="II29" s="80"/>
      <c r="IJ29" s="80"/>
      <c r="IK29" s="80"/>
      <c r="IL29" s="80"/>
      <c r="IM29" s="80"/>
      <c r="IN29" s="80"/>
      <c r="IO29" s="80"/>
      <c r="IP29" s="80"/>
      <c r="IQ29" s="80"/>
      <c r="IR29" s="80"/>
      <c r="IS29" s="80"/>
      <c r="IT29" s="80"/>
      <c r="IU29" s="80"/>
      <c r="IV29" s="80"/>
      <c r="IW29" s="80"/>
    </row>
    <row r="30" customFormat="false" ht="8.25" hidden="false" customHeight="true" outlineLevel="0" collapsed="false">
      <c r="A30" s="81"/>
      <c r="B30" s="82"/>
      <c r="C30" s="83"/>
      <c r="D30" s="84"/>
      <c r="E30" s="6"/>
      <c r="F30" s="6"/>
      <c r="G30" s="85"/>
      <c r="H30" s="86"/>
      <c r="I30" s="87"/>
      <c r="L30" s="0"/>
    </row>
    <row r="31" customFormat="false" ht="13.5" hidden="false" customHeight="false" outlineLevel="0" collapsed="false">
      <c r="A31" s="88" t="s">
        <v>40</v>
      </c>
      <c r="B31" s="88"/>
      <c r="C31" s="88"/>
      <c r="D31" s="88"/>
      <c r="E31" s="89" t="s">
        <v>41</v>
      </c>
      <c r="F31" s="89"/>
      <c r="G31" s="89"/>
      <c r="H31" s="89"/>
      <c r="I31" s="90" t="s">
        <v>42</v>
      </c>
      <c r="J31" s="90"/>
      <c r="L31" s="0"/>
    </row>
    <row r="32" customFormat="false" ht="13.5" hidden="false" customHeight="false" outlineLevel="0" collapsed="false">
      <c r="A32" s="27" t="s">
        <v>43</v>
      </c>
      <c r="B32" s="85"/>
      <c r="C32" s="85"/>
      <c r="D32" s="268" t="n">
        <f aca="false">(B33+B34)/31</f>
        <v>0</v>
      </c>
      <c r="E32" s="92" t="s">
        <v>44</v>
      </c>
      <c r="F32" s="92"/>
      <c r="G32" s="90" t="s">
        <v>45</v>
      </c>
      <c r="H32" s="90"/>
      <c r="I32" s="93" t="s">
        <v>46</v>
      </c>
      <c r="J32" s="94" t="s">
        <v>47</v>
      </c>
      <c r="L32" s="0"/>
    </row>
    <row r="33" customFormat="false" ht="13.5" hidden="false" customHeight="false" outlineLevel="0" collapsed="false">
      <c r="A33" s="16" t="s">
        <v>48</v>
      </c>
      <c r="B33" s="95" t="n">
        <v>0</v>
      </c>
      <c r="C33" s="0" t="s">
        <v>49</v>
      </c>
      <c r="D33" s="96"/>
      <c r="E33" s="269" t="s">
        <v>97</v>
      </c>
      <c r="F33" s="270" t="n">
        <v>4</v>
      </c>
      <c r="G33" s="99"/>
      <c r="H33" s="100"/>
      <c r="I33" s="271" t="n">
        <f aca="false">37.5+5+25</f>
        <v>67.5</v>
      </c>
      <c r="J33" s="272" t="n">
        <f aca="false">45+10</f>
        <v>55</v>
      </c>
      <c r="K33" s="0"/>
    </row>
    <row r="34" customFormat="false" ht="13.5" hidden="false" customHeight="false" outlineLevel="0" collapsed="false">
      <c r="A34" s="16" t="s">
        <v>52</v>
      </c>
      <c r="B34" s="103" t="n">
        <v>0</v>
      </c>
      <c r="C34" s="6"/>
      <c r="D34" s="104"/>
      <c r="E34" s="99"/>
      <c r="F34" s="100"/>
      <c r="G34" s="99"/>
      <c r="H34" s="100"/>
      <c r="I34" s="107" t="s">
        <v>55</v>
      </c>
      <c r="J34" s="108" t="n">
        <f aca="false">+I33-J33</f>
        <v>12.5</v>
      </c>
      <c r="K34" s="109"/>
      <c r="L34" s="109"/>
    </row>
    <row r="35" customFormat="false" ht="13.5" hidden="false" customHeight="false" outlineLevel="0" collapsed="false">
      <c r="A35" s="110"/>
      <c r="B35" s="63"/>
      <c r="C35" s="63"/>
      <c r="D35" s="111"/>
      <c r="E35" s="269"/>
      <c r="F35" s="270"/>
      <c r="G35" s="99"/>
      <c r="H35" s="100"/>
      <c r="I35" s="0"/>
      <c r="J35" s="0"/>
      <c r="K35" s="112"/>
      <c r="L35" s="112"/>
    </row>
    <row r="36" customFormat="false" ht="13.5" hidden="false" customHeight="false" outlineLevel="0" collapsed="false">
      <c r="A36" s="113"/>
      <c r="B36" s="114"/>
      <c r="C36" s="114"/>
      <c r="D36" s="115"/>
      <c r="E36" s="269"/>
      <c r="F36" s="270"/>
      <c r="G36" s="99"/>
      <c r="H36" s="100"/>
      <c r="I36" s="90" t="s">
        <v>60</v>
      </c>
      <c r="J36" s="90"/>
      <c r="K36" s="87"/>
      <c r="L36" s="87"/>
    </row>
    <row r="37" customFormat="false" ht="13.5" hidden="false" customHeight="false" outlineLevel="0" collapsed="false">
      <c r="A37" s="116" t="s">
        <v>61</v>
      </c>
      <c r="B37" s="116"/>
      <c r="C37" s="116"/>
      <c r="D37" s="116"/>
      <c r="E37" s="117"/>
      <c r="F37" s="118"/>
      <c r="G37" s="119"/>
      <c r="H37" s="120"/>
      <c r="I37" s="93" t="s">
        <v>64</v>
      </c>
      <c r="J37" s="94" t="s">
        <v>65</v>
      </c>
      <c r="K37" s="0"/>
      <c r="L37" s="0"/>
    </row>
    <row r="38" customFormat="false" ht="13.5" hidden="false" customHeight="false" outlineLevel="0" collapsed="false">
      <c r="A38" s="27"/>
      <c r="B38" s="6"/>
      <c r="C38" s="6"/>
      <c r="D38" s="121"/>
      <c r="E38" s="117"/>
      <c r="F38" s="118"/>
      <c r="G38" s="119"/>
      <c r="H38" s="120"/>
      <c r="I38" s="273" t="n">
        <v>0</v>
      </c>
      <c r="J38" s="274" t="n">
        <f aca="false">-30+20</f>
        <v>-10</v>
      </c>
      <c r="K38" s="0"/>
      <c r="L38" s="0"/>
    </row>
    <row r="39" customFormat="false" ht="13.5" hidden="false" customHeight="false" outlineLevel="0" collapsed="false">
      <c r="A39" s="27" t="s">
        <v>67</v>
      </c>
      <c r="B39" s="6"/>
      <c r="C39" s="6"/>
      <c r="D39" s="124" t="n">
        <f aca="false">K199/1000</f>
        <v>93.742</v>
      </c>
      <c r="E39" s="117"/>
      <c r="F39" s="118"/>
      <c r="G39" s="119"/>
      <c r="H39" s="120"/>
      <c r="I39" s="125" t="s">
        <v>68</v>
      </c>
      <c r="J39" s="94" t="s">
        <v>69</v>
      </c>
      <c r="K39" s="126"/>
      <c r="L39" s="0"/>
    </row>
    <row r="40" customFormat="false" ht="13.5" hidden="false" customHeight="false" outlineLevel="0" collapsed="false">
      <c r="A40" s="27" t="s">
        <v>70</v>
      </c>
      <c r="B40" s="6"/>
      <c r="C40" s="6"/>
      <c r="D40" s="121" t="n">
        <f aca="false">L81</f>
        <v>217.7</v>
      </c>
      <c r="E40" s="117"/>
      <c r="F40" s="118"/>
      <c r="G40" s="127"/>
      <c r="H40" s="128"/>
      <c r="I40" s="275" t="n">
        <v>30</v>
      </c>
      <c r="J40" s="276" t="n">
        <v>0</v>
      </c>
      <c r="K40" s="126"/>
      <c r="L40" s="0"/>
    </row>
    <row r="41" customFormat="false" ht="13.5" hidden="false" customHeight="false" outlineLevel="0" collapsed="false">
      <c r="A41" s="27" t="s">
        <v>71</v>
      </c>
      <c r="B41" s="6"/>
      <c r="C41" s="6"/>
      <c r="D41" s="277" t="n">
        <v>40</v>
      </c>
      <c r="E41" s="117"/>
      <c r="F41" s="118"/>
      <c r="G41" s="127"/>
      <c r="H41" s="128"/>
      <c r="I41" s="132" t="s">
        <v>72</v>
      </c>
      <c r="J41" s="108" t="n">
        <f aca="false">J34+I38+J38+I40+J40</f>
        <v>32.5</v>
      </c>
      <c r="K41" s="126"/>
      <c r="L41" s="0"/>
    </row>
    <row r="42" customFormat="false" ht="13.5" hidden="false" customHeight="false" outlineLevel="0" collapsed="false">
      <c r="A42" s="27" t="s">
        <v>73</v>
      </c>
      <c r="B42" s="6"/>
      <c r="C42" s="6"/>
      <c r="D42" s="133" t="n">
        <f aca="false">637.762+14-19.33-2.759-7.672-0.148-0.7+0.16-0.2+0.214</f>
        <v>621.327</v>
      </c>
      <c r="E42" s="117"/>
      <c r="F42" s="118"/>
      <c r="G42" s="6"/>
      <c r="H42" s="7"/>
      <c r="K42" s="0"/>
      <c r="L42" s="0"/>
    </row>
    <row r="43" customFormat="false" ht="13.5" hidden="false" customHeight="false" outlineLevel="0" collapsed="false">
      <c r="A43" s="27"/>
      <c r="B43" s="6"/>
      <c r="C43" s="6"/>
      <c r="D43" s="121"/>
      <c r="E43" s="117"/>
      <c r="F43" s="118"/>
      <c r="G43" s="6"/>
      <c r="H43" s="7"/>
      <c r="I43" s="90" t="s">
        <v>74</v>
      </c>
      <c r="J43" s="90"/>
      <c r="K43" s="0"/>
      <c r="L43" s="0"/>
    </row>
    <row r="44" customFormat="false" ht="13.5" hidden="false" customHeight="false" outlineLevel="0" collapsed="false">
      <c r="A44" s="62"/>
      <c r="B44" s="134" t="s">
        <v>75</v>
      </c>
      <c r="C44" s="135" t="str">
        <f aca="false">+F5</f>
        <v>Feb</v>
      </c>
      <c r="D44" s="136" t="n">
        <f aca="false">SUM(D39:D42)</f>
        <v>972.769</v>
      </c>
      <c r="E44" s="137" t="s">
        <v>76</v>
      </c>
      <c r="F44" s="136" t="n">
        <f aca="false">SUM(F33:F42)</f>
        <v>4</v>
      </c>
      <c r="G44" s="137" t="s">
        <v>76</v>
      </c>
      <c r="H44" s="136" t="n">
        <f aca="false">SUM(H33:H43)</f>
        <v>0</v>
      </c>
      <c r="I44" s="0"/>
      <c r="J44" s="108" t="n">
        <v>15</v>
      </c>
      <c r="K44" s="0"/>
      <c r="L44" s="0"/>
    </row>
    <row r="45" customFormat="false" ht="12.75" hidden="false" customHeight="false" outlineLevel="0" collapsed="false"/>
    <row r="46" customFormat="false" ht="12.75" hidden="false" customHeight="false" outlineLevel="0" collapsed="false">
      <c r="A46" s="138" t="s">
        <v>77</v>
      </c>
      <c r="B46" s="138"/>
      <c r="C46" s="138"/>
      <c r="D46" s="138"/>
      <c r="E46" s="139"/>
      <c r="F46" s="140"/>
      <c r="G46" s="93" t="s">
        <v>78</v>
      </c>
      <c r="H46" s="93"/>
      <c r="I46" s="93"/>
      <c r="J46" s="93"/>
      <c r="K46" s="93"/>
      <c r="L46" s="93"/>
      <c r="P46" s="1" t="s">
        <v>79</v>
      </c>
    </row>
    <row r="47" customFormat="false" ht="12" hidden="false" customHeight="false" outlineLevel="0" collapsed="false">
      <c r="A47" s="141" t="s">
        <v>80</v>
      </c>
      <c r="B47" s="141"/>
      <c r="C47" s="142" t="s">
        <v>81</v>
      </c>
      <c r="D47" s="142"/>
      <c r="E47" s="143" t="s">
        <v>82</v>
      </c>
      <c r="F47" s="143"/>
      <c r="G47" s="144"/>
      <c r="H47" s="142"/>
      <c r="I47" s="142" t="s">
        <v>81</v>
      </c>
      <c r="J47" s="142"/>
      <c r="K47" s="143" t="s">
        <v>82</v>
      </c>
      <c r="L47" s="143"/>
      <c r="P47" s="1" t="s">
        <v>83</v>
      </c>
      <c r="Q47" s="1" t="n">
        <v>6789</v>
      </c>
      <c r="R47" s="1" t="n">
        <v>8000</v>
      </c>
    </row>
    <row r="48" customFormat="false" ht="12" hidden="false" customHeight="false" outlineLevel="0" collapsed="false">
      <c r="A48" s="145" t="s">
        <v>84</v>
      </c>
      <c r="B48" s="146" t="n">
        <v>0.2</v>
      </c>
      <c r="C48" s="147" t="s">
        <v>85</v>
      </c>
      <c r="D48" s="146" t="n">
        <v>10</v>
      </c>
      <c r="E48" s="148"/>
      <c r="F48" s="146"/>
      <c r="G48" s="149"/>
      <c r="H48" s="150"/>
      <c r="I48" s="147" t="s">
        <v>87</v>
      </c>
      <c r="J48" s="151" t="n">
        <v>40</v>
      </c>
      <c r="K48" s="147"/>
      <c r="L48" s="152"/>
    </row>
    <row r="49" customFormat="false" ht="12" hidden="false" customHeight="false" outlineLevel="0" collapsed="false">
      <c r="A49" s="145" t="s">
        <v>89</v>
      </c>
      <c r="B49" s="146" t="n">
        <v>0.212</v>
      </c>
      <c r="C49" s="147" t="s">
        <v>84</v>
      </c>
      <c r="D49" s="146" t="n">
        <v>5</v>
      </c>
      <c r="E49" s="147"/>
      <c r="F49" s="152"/>
      <c r="G49" s="149"/>
      <c r="H49" s="150"/>
      <c r="I49" s="153" t="s">
        <v>91</v>
      </c>
      <c r="J49" s="154" t="n">
        <v>0</v>
      </c>
      <c r="K49" s="147"/>
      <c r="L49" s="152"/>
    </row>
    <row r="50" customFormat="false" ht="12" hidden="false" customHeight="false" outlineLevel="0" collapsed="false">
      <c r="A50" s="145" t="s">
        <v>92</v>
      </c>
      <c r="B50" s="146" t="n">
        <v>0.048</v>
      </c>
      <c r="C50" s="147" t="s">
        <v>15</v>
      </c>
      <c r="D50" s="146" t="n">
        <v>5</v>
      </c>
      <c r="E50" s="155"/>
      <c r="F50" s="152"/>
      <c r="G50" s="149"/>
      <c r="H50" s="150"/>
      <c r="I50" s="153" t="s">
        <v>94</v>
      </c>
      <c r="J50" s="146" t="n">
        <v>20</v>
      </c>
      <c r="K50" s="147"/>
      <c r="L50" s="152"/>
    </row>
    <row r="51" customFormat="false" ht="12" hidden="false" customHeight="false" outlineLevel="0" collapsed="false">
      <c r="A51" s="145" t="s">
        <v>96</v>
      </c>
      <c r="B51" s="146" t="n">
        <v>0.45</v>
      </c>
      <c r="C51" s="147"/>
      <c r="D51" s="146"/>
      <c r="E51" s="147"/>
      <c r="F51" s="152"/>
      <c r="G51" s="149"/>
      <c r="H51" s="150"/>
      <c r="I51" s="153" t="s">
        <v>99</v>
      </c>
      <c r="J51" s="146" t="n">
        <v>20</v>
      </c>
      <c r="K51" s="147"/>
      <c r="L51" s="152"/>
    </row>
    <row r="52" customFormat="false" ht="12" hidden="false" customHeight="false" outlineLevel="0" collapsed="false">
      <c r="A52" s="145" t="s">
        <v>101</v>
      </c>
      <c r="B52" s="146" t="n">
        <v>0.048</v>
      </c>
      <c r="C52" s="147" t="s">
        <v>58</v>
      </c>
      <c r="D52" s="146" t="n">
        <v>2</v>
      </c>
      <c r="E52" s="147"/>
      <c r="F52" s="152"/>
      <c r="G52" s="149"/>
      <c r="H52" s="150"/>
      <c r="I52" s="153" t="s">
        <v>102</v>
      </c>
      <c r="J52" s="146" t="n">
        <v>4</v>
      </c>
      <c r="K52" s="147"/>
      <c r="L52" s="152"/>
    </row>
    <row r="53" customFormat="false" ht="12" hidden="false" customHeight="false" outlineLevel="0" collapsed="false">
      <c r="A53" s="145"/>
      <c r="B53" s="146"/>
      <c r="C53" s="147" t="s">
        <v>374</v>
      </c>
      <c r="D53" s="146" t="n">
        <v>8</v>
      </c>
      <c r="E53" s="147"/>
      <c r="F53" s="152"/>
      <c r="G53" s="149"/>
      <c r="H53" s="150"/>
      <c r="I53" s="153" t="s">
        <v>104</v>
      </c>
      <c r="J53" s="146" t="n">
        <v>33.7</v>
      </c>
      <c r="K53" s="147"/>
      <c r="L53" s="152"/>
    </row>
    <row r="54" customFormat="false" ht="12" hidden="false" customHeight="false" outlineLevel="0" collapsed="false">
      <c r="A54" s="145" t="s">
        <v>105</v>
      </c>
      <c r="B54" s="146" t="n">
        <v>0.5</v>
      </c>
      <c r="C54" s="147" t="s">
        <v>21</v>
      </c>
      <c r="D54" s="146" t="n">
        <v>35</v>
      </c>
      <c r="E54" s="147"/>
      <c r="F54" s="152"/>
      <c r="G54" s="149"/>
      <c r="H54" s="150"/>
      <c r="I54" s="153" t="s">
        <v>107</v>
      </c>
      <c r="J54" s="146" t="n">
        <v>15</v>
      </c>
      <c r="K54" s="147"/>
      <c r="L54" s="152"/>
    </row>
    <row r="55" customFormat="false" ht="12" hidden="false" customHeight="false" outlineLevel="0" collapsed="false">
      <c r="A55" s="145" t="s">
        <v>109</v>
      </c>
      <c r="B55" s="146" t="n">
        <v>10</v>
      </c>
      <c r="C55" s="147" t="s">
        <v>110</v>
      </c>
      <c r="D55" s="146" t="n">
        <v>30</v>
      </c>
      <c r="E55" s="147"/>
      <c r="F55" s="152"/>
      <c r="G55" s="149"/>
      <c r="H55" s="150"/>
      <c r="I55" s="153" t="s">
        <v>112</v>
      </c>
      <c r="J55" s="146" t="n">
        <v>2</v>
      </c>
      <c r="K55" s="147"/>
      <c r="L55" s="152"/>
    </row>
    <row r="56" customFormat="false" ht="12" hidden="false" customHeight="false" outlineLevel="0" collapsed="false">
      <c r="A56" s="145"/>
      <c r="B56" s="146"/>
      <c r="C56" s="147" t="s">
        <v>98</v>
      </c>
      <c r="D56" s="146" t="n">
        <v>2.5</v>
      </c>
      <c r="E56" s="147"/>
      <c r="F56" s="152"/>
      <c r="G56" s="149"/>
      <c r="H56" s="150"/>
      <c r="I56" s="153" t="s">
        <v>115</v>
      </c>
      <c r="J56" s="146" t="n">
        <v>30</v>
      </c>
      <c r="K56" s="147"/>
      <c r="L56" s="152"/>
    </row>
    <row r="57" customFormat="false" ht="12" hidden="false" customHeight="false" outlineLevel="0" collapsed="false">
      <c r="A57" s="149"/>
      <c r="B57" s="150"/>
      <c r="C57" s="147" t="s">
        <v>56</v>
      </c>
      <c r="D57" s="146" t="n">
        <v>15</v>
      </c>
      <c r="E57" s="147"/>
      <c r="F57" s="152"/>
      <c r="G57" s="149"/>
      <c r="H57" s="150"/>
      <c r="I57" s="153" t="s">
        <v>117</v>
      </c>
      <c r="J57" s="146" t="n">
        <v>5</v>
      </c>
      <c r="K57" s="147"/>
      <c r="L57" s="152"/>
    </row>
    <row r="58" customFormat="false" ht="12" hidden="false" customHeight="false" outlineLevel="0" collapsed="false">
      <c r="A58" s="149"/>
      <c r="B58" s="150"/>
      <c r="C58" s="147" t="s">
        <v>119</v>
      </c>
      <c r="D58" s="146" t="n">
        <v>5</v>
      </c>
      <c r="E58" s="147" t="s">
        <v>120</v>
      </c>
      <c r="F58" s="152"/>
      <c r="G58" s="149"/>
      <c r="H58" s="150"/>
      <c r="I58" s="153" t="s">
        <v>121</v>
      </c>
      <c r="J58" s="146" t="n">
        <v>20</v>
      </c>
      <c r="K58" s="147"/>
      <c r="L58" s="152"/>
    </row>
    <row r="59" customFormat="false" ht="12" hidden="false" customHeight="false" outlineLevel="0" collapsed="false">
      <c r="A59" s="149"/>
      <c r="B59" s="150"/>
      <c r="C59" s="147" t="s">
        <v>123</v>
      </c>
      <c r="D59" s="146" t="n">
        <v>20</v>
      </c>
      <c r="E59" s="147" t="s">
        <v>124</v>
      </c>
      <c r="F59" s="146"/>
      <c r="G59" s="149"/>
      <c r="H59" s="150"/>
      <c r="I59" s="153"/>
      <c r="J59" s="146"/>
      <c r="K59" s="147"/>
      <c r="L59" s="152"/>
    </row>
    <row r="60" customFormat="false" ht="12" hidden="false" customHeight="false" outlineLevel="0" collapsed="false">
      <c r="A60" s="149"/>
      <c r="B60" s="150"/>
      <c r="C60" s="147" t="s">
        <v>125</v>
      </c>
      <c r="D60" s="146" t="n">
        <v>4.5</v>
      </c>
      <c r="E60" s="147" t="s">
        <v>126</v>
      </c>
      <c r="F60" s="160"/>
      <c r="G60" s="149"/>
      <c r="H60" s="150"/>
      <c r="I60" s="153"/>
      <c r="J60" s="146"/>
      <c r="K60" s="147"/>
      <c r="L60" s="152"/>
    </row>
    <row r="61" customFormat="false" ht="12" hidden="false" customHeight="false" outlineLevel="0" collapsed="false">
      <c r="A61" s="149"/>
      <c r="B61" s="150"/>
      <c r="C61" s="147" t="s">
        <v>109</v>
      </c>
      <c r="D61" s="146" t="n">
        <v>8</v>
      </c>
      <c r="E61" s="147"/>
      <c r="F61" s="161"/>
      <c r="G61" s="149"/>
      <c r="H61" s="150"/>
      <c r="I61" s="153"/>
      <c r="J61" s="146"/>
      <c r="K61" s="147"/>
      <c r="L61" s="152"/>
    </row>
    <row r="62" customFormat="false" ht="12" hidden="false" customHeight="false" outlineLevel="0" collapsed="false">
      <c r="A62" s="149"/>
      <c r="B62" s="150"/>
      <c r="C62" s="147" t="s">
        <v>128</v>
      </c>
      <c r="D62" s="146" t="n">
        <v>2</v>
      </c>
      <c r="E62" s="147"/>
      <c r="F62" s="160"/>
      <c r="G62" s="149"/>
      <c r="H62" s="150"/>
      <c r="I62" s="153"/>
      <c r="J62" s="146"/>
      <c r="K62" s="147"/>
      <c r="L62" s="152"/>
    </row>
    <row r="63" customFormat="false" ht="12" hidden="false" customHeight="false" outlineLevel="0" collapsed="false">
      <c r="A63" s="149"/>
      <c r="B63" s="150"/>
      <c r="C63" s="147"/>
      <c r="D63" s="146"/>
      <c r="E63" s="147"/>
      <c r="F63" s="161"/>
      <c r="G63" s="149"/>
      <c r="H63" s="150"/>
      <c r="I63" s="153"/>
      <c r="J63" s="146"/>
      <c r="K63" s="147"/>
      <c r="L63" s="152"/>
    </row>
    <row r="64" customFormat="false" ht="12" hidden="true" customHeight="false" outlineLevel="0" collapsed="false">
      <c r="A64" s="149"/>
      <c r="B64" s="150"/>
      <c r="C64" s="147"/>
      <c r="D64" s="146"/>
      <c r="E64" s="147"/>
      <c r="F64" s="161"/>
      <c r="G64" s="149"/>
      <c r="H64" s="150"/>
      <c r="I64" s="153"/>
      <c r="J64" s="146"/>
      <c r="K64" s="147"/>
      <c r="L64" s="152"/>
    </row>
    <row r="65" customFormat="false" ht="12" hidden="true" customHeight="false" outlineLevel="0" collapsed="false">
      <c r="A65" s="149"/>
      <c r="B65" s="150"/>
      <c r="C65" s="147"/>
      <c r="D65" s="146"/>
      <c r="E65" s="147"/>
      <c r="F65" s="161"/>
      <c r="G65" s="149"/>
      <c r="H65" s="150"/>
      <c r="I65" s="153"/>
      <c r="J65" s="146"/>
      <c r="K65" s="147"/>
      <c r="L65" s="152"/>
    </row>
    <row r="66" customFormat="false" ht="12" hidden="false" customHeight="false" outlineLevel="0" collapsed="false">
      <c r="A66" s="162"/>
      <c r="B66" s="163"/>
      <c r="C66" s="147"/>
      <c r="D66" s="146"/>
      <c r="E66" s="147"/>
      <c r="F66" s="160"/>
      <c r="G66" s="149"/>
      <c r="H66" s="150"/>
      <c r="I66" s="153"/>
      <c r="J66" s="146"/>
      <c r="K66" s="147"/>
      <c r="L66" s="152"/>
    </row>
    <row r="67" customFormat="false" ht="12" hidden="false" customHeight="false" outlineLevel="0" collapsed="false">
      <c r="A67" s="162"/>
      <c r="B67" s="163"/>
      <c r="C67" s="164" t="s">
        <v>129</v>
      </c>
      <c r="D67" s="165"/>
      <c r="E67" s="166"/>
      <c r="F67" s="167"/>
      <c r="G67" s="149"/>
      <c r="H67" s="150"/>
      <c r="I67" s="164" t="s">
        <v>129</v>
      </c>
      <c r="J67" s="168"/>
      <c r="K67" s="169"/>
      <c r="L67" s="170"/>
    </row>
    <row r="68" customFormat="false" ht="12" hidden="false" customHeight="false" outlineLevel="0" collapsed="false">
      <c r="A68" s="162"/>
      <c r="B68" s="163"/>
      <c r="C68" s="147" t="s">
        <v>130</v>
      </c>
      <c r="D68" s="146" t="n">
        <v>18</v>
      </c>
      <c r="E68" s="147"/>
      <c r="F68" s="152"/>
      <c r="G68" s="171"/>
      <c r="H68" s="150"/>
      <c r="I68" s="147" t="s">
        <v>113</v>
      </c>
      <c r="J68" s="146" t="n">
        <v>5</v>
      </c>
      <c r="K68" s="147"/>
      <c r="L68" s="152"/>
    </row>
    <row r="69" customFormat="false" ht="12" hidden="false" customHeight="false" outlineLevel="0" collapsed="false">
      <c r="A69" s="162"/>
      <c r="B69" s="163"/>
      <c r="C69" s="147" t="s">
        <v>131</v>
      </c>
      <c r="D69" s="146" t="n">
        <v>10</v>
      </c>
      <c r="E69" s="147"/>
      <c r="F69" s="152"/>
      <c r="G69" s="149"/>
      <c r="H69" s="150"/>
      <c r="I69" s="147" t="s">
        <v>132</v>
      </c>
      <c r="J69" s="146" t="n">
        <v>8</v>
      </c>
      <c r="K69" s="147"/>
      <c r="L69" s="152"/>
    </row>
    <row r="70" customFormat="false" ht="12" hidden="false" customHeight="false" outlineLevel="0" collapsed="false">
      <c r="A70" s="162"/>
      <c r="B70" s="163"/>
      <c r="C70" s="147"/>
      <c r="D70" s="146"/>
      <c r="E70" s="147"/>
      <c r="F70" s="152"/>
      <c r="G70" s="149"/>
      <c r="H70" s="150"/>
      <c r="I70" s="147" t="s">
        <v>111</v>
      </c>
      <c r="J70" s="146" t="n">
        <v>5</v>
      </c>
      <c r="K70" s="147"/>
      <c r="L70" s="152"/>
    </row>
    <row r="71" customFormat="false" ht="12" hidden="false" customHeight="false" outlineLevel="0" collapsed="false">
      <c r="A71" s="162"/>
      <c r="B71" s="163"/>
      <c r="C71" s="147"/>
      <c r="D71" s="146"/>
      <c r="E71" s="147"/>
      <c r="F71" s="152"/>
      <c r="G71" s="149"/>
      <c r="H71" s="150"/>
      <c r="I71" s="147" t="s">
        <v>133</v>
      </c>
      <c r="J71" s="146" t="n">
        <v>10</v>
      </c>
      <c r="K71" s="147"/>
      <c r="L71" s="152"/>
    </row>
    <row r="72" customFormat="false" ht="12" hidden="false" customHeight="false" outlineLevel="0" collapsed="false">
      <c r="A72" s="162"/>
      <c r="B72" s="163"/>
      <c r="C72" s="172"/>
      <c r="D72" s="163"/>
      <c r="E72" s="147"/>
      <c r="F72" s="152"/>
      <c r="G72" s="149"/>
      <c r="H72" s="150"/>
      <c r="I72" s="171"/>
      <c r="J72" s="150"/>
      <c r="K72" s="147"/>
      <c r="L72" s="152"/>
    </row>
    <row r="73" customFormat="false" ht="12" hidden="true" customHeight="false" outlineLevel="0" collapsed="false">
      <c r="A73" s="162"/>
      <c r="B73" s="163"/>
      <c r="C73" s="172"/>
      <c r="D73" s="163"/>
      <c r="E73" s="147"/>
      <c r="F73" s="152"/>
      <c r="G73" s="149"/>
      <c r="H73" s="150"/>
      <c r="I73" s="171"/>
      <c r="J73" s="150"/>
      <c r="K73" s="147"/>
      <c r="L73" s="152"/>
    </row>
    <row r="74" customFormat="false" ht="12" hidden="true" customHeight="false" outlineLevel="0" collapsed="false">
      <c r="A74" s="162"/>
      <c r="B74" s="163"/>
      <c r="C74" s="172"/>
      <c r="D74" s="163"/>
      <c r="E74" s="147"/>
      <c r="F74" s="152"/>
      <c r="G74" s="149"/>
      <c r="H74" s="150"/>
      <c r="I74" s="171"/>
      <c r="J74" s="150"/>
      <c r="K74" s="147"/>
      <c r="L74" s="152"/>
    </row>
    <row r="75" customFormat="false" ht="12" hidden="true" customHeight="false" outlineLevel="0" collapsed="false">
      <c r="A75" s="162"/>
      <c r="B75" s="163"/>
      <c r="C75" s="172"/>
      <c r="D75" s="163"/>
      <c r="E75" s="147"/>
      <c r="F75" s="152"/>
      <c r="G75" s="149"/>
      <c r="H75" s="150"/>
      <c r="I75" s="171"/>
      <c r="J75" s="150"/>
      <c r="K75" s="147"/>
      <c r="L75" s="152"/>
    </row>
    <row r="76" customFormat="false" ht="12" hidden="true" customHeight="false" outlineLevel="0" collapsed="false">
      <c r="A76" s="162"/>
      <c r="B76" s="163"/>
      <c r="C76" s="172"/>
      <c r="D76" s="163"/>
      <c r="E76" s="147"/>
      <c r="F76" s="152"/>
      <c r="G76" s="149"/>
      <c r="H76" s="150"/>
      <c r="I76" s="171"/>
      <c r="J76" s="150"/>
      <c r="K76" s="147"/>
      <c r="L76" s="152"/>
    </row>
    <row r="77" customFormat="false" ht="12" hidden="true" customHeight="false" outlineLevel="0" collapsed="false">
      <c r="A77" s="162"/>
      <c r="B77" s="163"/>
      <c r="C77" s="172"/>
      <c r="D77" s="163"/>
      <c r="E77" s="147"/>
      <c r="F77" s="152"/>
      <c r="G77" s="149"/>
      <c r="H77" s="150"/>
      <c r="I77" s="171"/>
      <c r="J77" s="150"/>
      <c r="K77" s="147"/>
      <c r="L77" s="152"/>
    </row>
    <row r="78" customFormat="false" ht="12" hidden="true" customHeight="false" outlineLevel="0" collapsed="false">
      <c r="A78" s="162"/>
      <c r="B78" s="163"/>
      <c r="C78" s="172"/>
      <c r="D78" s="163"/>
      <c r="E78" s="147"/>
      <c r="F78" s="152"/>
      <c r="G78" s="149"/>
      <c r="H78" s="150"/>
      <c r="I78" s="171"/>
      <c r="J78" s="150"/>
      <c r="K78" s="147"/>
      <c r="L78" s="152"/>
    </row>
    <row r="79" customFormat="false" ht="12" hidden="false" customHeight="false" outlineLevel="0" collapsed="false">
      <c r="A79" s="173"/>
      <c r="B79" s="174"/>
      <c r="C79" s="175"/>
      <c r="D79" s="174"/>
      <c r="E79" s="176"/>
      <c r="F79" s="177"/>
      <c r="G79" s="173"/>
      <c r="H79" s="174"/>
      <c r="I79" s="175"/>
      <c r="J79" s="174"/>
      <c r="K79" s="178"/>
      <c r="L79" s="179"/>
    </row>
    <row r="80" customFormat="false" ht="12" hidden="false" customHeight="false" outlineLevel="0" collapsed="false">
      <c r="A80" s="180" t="s">
        <v>137</v>
      </c>
      <c r="B80" s="181" t="n">
        <f aca="false">SUM(B47:B79)</f>
        <v>11.458</v>
      </c>
      <c r="C80" s="182" t="s">
        <v>137</v>
      </c>
      <c r="D80" s="181" t="n">
        <f aca="false">SUM(D47:D79)</f>
        <v>180</v>
      </c>
      <c r="E80" s="182" t="s">
        <v>137</v>
      </c>
      <c r="F80" s="183" t="n">
        <f aca="false">SUM(F47:F79)</f>
        <v>0</v>
      </c>
      <c r="G80" s="180"/>
      <c r="H80" s="181"/>
      <c r="I80" s="182" t="s">
        <v>137</v>
      </c>
      <c r="J80" s="184" t="n">
        <f aca="false">SUM(J47:J79)</f>
        <v>217.7</v>
      </c>
      <c r="K80" s="182" t="s">
        <v>137</v>
      </c>
      <c r="L80" s="185" t="n">
        <f aca="false">SUM(L47:L79)</f>
        <v>0</v>
      </c>
    </row>
    <row r="81" customFormat="false" ht="12.75" hidden="false" customHeight="false" outlineLevel="0" collapsed="false">
      <c r="A81" s="186"/>
      <c r="B81" s="187"/>
      <c r="C81" s="188"/>
      <c r="D81" s="187"/>
      <c r="E81" s="189" t="s">
        <v>138</v>
      </c>
      <c r="F81" s="190" t="n">
        <f aca="false">+B80+F80+D80</f>
        <v>191.458</v>
      </c>
      <c r="G81" s="186"/>
      <c r="H81" s="187"/>
      <c r="I81" s="188"/>
      <c r="J81" s="187"/>
      <c r="K81" s="189" t="s">
        <v>138</v>
      </c>
      <c r="L81" s="190" t="n">
        <f aca="false">J80+L80</f>
        <v>217.7</v>
      </c>
    </row>
    <row r="82" customFormat="false" ht="12.75" hidden="false" customHeight="false" outlineLevel="0" collapsed="false">
      <c r="G82" s="191"/>
      <c r="H82" s="0"/>
    </row>
    <row r="83" customFormat="false" ht="12.75" hidden="false" customHeight="false" outlineLevel="0" collapsed="false">
      <c r="G83" s="191"/>
      <c r="H83" s="0"/>
    </row>
    <row r="84" customFormat="false" ht="12.75" hidden="false" customHeight="false" outlineLevel="0" collapsed="false">
      <c r="H84" s="0"/>
    </row>
    <row r="85" customFormat="false" ht="12.75" hidden="true" customHeight="false" outlineLevel="0" collapsed="false">
      <c r="E85" s="0"/>
      <c r="G85" s="1" t="s">
        <v>139</v>
      </c>
      <c r="H85" s="0"/>
    </row>
    <row r="86" customFormat="false" ht="24" hidden="true" customHeight="false" outlineLevel="0" collapsed="false">
      <c r="A86" s="192" t="s">
        <v>140</v>
      </c>
      <c r="B86" s="192" t="s">
        <v>141</v>
      </c>
      <c r="C86" s="192" t="s">
        <v>142</v>
      </c>
      <c r="D86" s="192" t="s">
        <v>143</v>
      </c>
      <c r="E86" s="192" t="s">
        <v>144</v>
      </c>
      <c r="F86" s="192" t="s">
        <v>145</v>
      </c>
      <c r="G86" s="1" t="n">
        <v>1.65</v>
      </c>
      <c r="H86" s="0"/>
    </row>
    <row r="87" customFormat="false" ht="12.75" hidden="true" customHeight="false" outlineLevel="0" collapsed="false">
      <c r="A87" s="0" t="s">
        <v>146</v>
      </c>
      <c r="B87" s="0" t="s">
        <v>147</v>
      </c>
      <c r="C87" s="0" t="n">
        <v>10</v>
      </c>
      <c r="D87" s="0" t="n">
        <v>95</v>
      </c>
      <c r="E87" s="0" t="n">
        <v>0.09</v>
      </c>
      <c r="F87" s="0" t="n">
        <f aca="false">+$G$86*(E87/100)</f>
        <v>0.001485</v>
      </c>
      <c r="G87" s="0"/>
      <c r="H87" s="0"/>
      <c r="I87" s="0"/>
      <c r="J87" s="0"/>
      <c r="K87" s="0"/>
      <c r="L87" s="0"/>
      <c r="M87" s="0"/>
      <c r="N87" s="0"/>
      <c r="O87" s="0"/>
    </row>
    <row r="88" customFormat="false" ht="12.75" hidden="true" customHeight="false" outlineLevel="0" collapsed="false">
      <c r="A88" s="0"/>
      <c r="B88" s="0" t="s">
        <v>148</v>
      </c>
      <c r="C88" s="0" t="n">
        <v>42</v>
      </c>
      <c r="D88" s="0" t="n">
        <v>65</v>
      </c>
      <c r="E88" s="0" t="n">
        <v>0.27</v>
      </c>
      <c r="F88" s="0" t="n">
        <f aca="false">+$G$86*(E88/100)</f>
        <v>0.004455</v>
      </c>
      <c r="G88" s="0"/>
      <c r="H88" s="0"/>
      <c r="I88" s="0"/>
      <c r="J88" s="0"/>
      <c r="K88" s="0"/>
      <c r="L88" s="0"/>
      <c r="M88" s="0"/>
      <c r="N88" s="0"/>
      <c r="O88" s="0"/>
    </row>
    <row r="89" customFormat="false" ht="12.75" hidden="true" customHeight="false" outlineLevel="0" collapsed="false">
      <c r="A89" s="0"/>
      <c r="B89" s="0" t="s">
        <v>149</v>
      </c>
      <c r="C89" s="0" t="n">
        <v>89</v>
      </c>
      <c r="D89" s="0" t="n">
        <v>43.87</v>
      </c>
      <c r="E89" s="0" t="n">
        <v>0.39</v>
      </c>
      <c r="F89" s="0" t="n">
        <f aca="false">+$G$86*(E89/100)</f>
        <v>0.006435</v>
      </c>
      <c r="G89" s="0"/>
      <c r="H89" s="0"/>
      <c r="I89" s="0"/>
      <c r="J89" s="0"/>
      <c r="K89" s="0"/>
      <c r="L89" s="0"/>
      <c r="M89" s="0"/>
      <c r="N89" s="0"/>
      <c r="O89" s="0"/>
    </row>
    <row r="90" customFormat="false" ht="12.75" hidden="true" customHeight="false" outlineLevel="0" collapsed="false">
      <c r="A90" s="0"/>
      <c r="B90" s="0" t="s">
        <v>150</v>
      </c>
      <c r="C90" s="0" t="n">
        <v>2.44</v>
      </c>
      <c r="D90" s="0" t="n">
        <v>1.05</v>
      </c>
      <c r="E90" s="0" t="n">
        <v>0.03</v>
      </c>
      <c r="F90" s="0" t="n">
        <f aca="false">+$G$86*(E90/100)</f>
        <v>0.000495</v>
      </c>
      <c r="G90" s="0"/>
      <c r="H90" s="0"/>
      <c r="I90" s="0"/>
      <c r="J90" s="0"/>
      <c r="K90" s="0"/>
      <c r="L90" s="0"/>
      <c r="M90" s="0"/>
      <c r="N90" s="0"/>
      <c r="O90" s="0"/>
    </row>
    <row r="91" customFormat="false" ht="12.75" hidden="true" customHeight="false" outlineLevel="0" collapsed="false">
      <c r="A91" s="0"/>
      <c r="B91" s="0"/>
      <c r="C91" s="0"/>
      <c r="D91" s="0"/>
      <c r="E91" s="193" t="s">
        <v>138</v>
      </c>
      <c r="F91" s="0" t="n">
        <f aca="false">SUM(F87:F90)</f>
        <v>0.01287</v>
      </c>
      <c r="G91" s="0"/>
      <c r="H91" s="0"/>
      <c r="I91" s="0"/>
      <c r="J91" s="0"/>
      <c r="K91" s="0"/>
      <c r="L91" s="0"/>
      <c r="M91" s="0"/>
      <c r="N91" s="0"/>
      <c r="O91" s="0"/>
    </row>
    <row r="92" customFormat="false" ht="12.75" hidden="true" customHeight="false" outlineLevel="0" collapsed="false">
      <c r="A92" s="0"/>
      <c r="B92" s="0"/>
      <c r="C92" s="0"/>
      <c r="D92" s="0"/>
      <c r="E92" s="193"/>
      <c r="F92" s="0"/>
      <c r="G92" s="0"/>
      <c r="H92" s="0"/>
      <c r="I92" s="0"/>
      <c r="J92" s="0"/>
      <c r="K92" s="0"/>
      <c r="L92" s="0"/>
      <c r="M92" s="0"/>
      <c r="N92" s="0"/>
      <c r="O92" s="0"/>
    </row>
    <row r="93" customFormat="false" ht="12.75" hidden="true" customHeight="false" outlineLevel="0" collapsed="false">
      <c r="A93" s="0" t="s">
        <v>151</v>
      </c>
      <c r="B93" s="0" t="s">
        <v>152</v>
      </c>
      <c r="C93" s="194" t="n">
        <v>0.27</v>
      </c>
      <c r="D93" s="194" t="n">
        <v>96.33</v>
      </c>
      <c r="E93" s="194" t="n">
        <v>0.26</v>
      </c>
      <c r="F93" s="194" t="n">
        <f aca="false">+$G$86*(E93/100)</f>
        <v>0.00429</v>
      </c>
      <c r="G93" s="0"/>
      <c r="H93" s="0"/>
      <c r="I93" s="0"/>
      <c r="J93" s="0"/>
      <c r="K93" s="0"/>
      <c r="L93" s="0"/>
      <c r="M93" s="0"/>
      <c r="N93" s="0"/>
      <c r="O93" s="0"/>
    </row>
    <row r="94" customFormat="false" ht="12.75" hidden="true" customHeight="false" outlineLevel="0" collapsed="false">
      <c r="A94" s="0"/>
      <c r="B94" s="0" t="s">
        <v>153</v>
      </c>
      <c r="C94" s="194" t="n">
        <v>0.36</v>
      </c>
      <c r="D94" s="194" t="n">
        <v>85.77</v>
      </c>
      <c r="E94" s="194" t="n">
        <v>0.31</v>
      </c>
      <c r="F94" s="194" t="n">
        <f aca="false">+$G$86*(E94/100)</f>
        <v>0.005115</v>
      </c>
      <c r="G94" s="0"/>
      <c r="H94" s="0"/>
      <c r="I94" s="0"/>
      <c r="J94" s="0"/>
      <c r="K94" s="0"/>
      <c r="L94" s="0"/>
      <c r="M94" s="0"/>
      <c r="N94" s="0"/>
      <c r="O94" s="0"/>
    </row>
    <row r="95" customFormat="false" ht="12.75" hidden="true" customHeight="false" outlineLevel="0" collapsed="false">
      <c r="A95" s="0"/>
      <c r="B95" s="0" t="s">
        <v>154</v>
      </c>
      <c r="C95" s="194" t="n">
        <v>0.8</v>
      </c>
      <c r="D95" s="194" t="n">
        <v>9.94</v>
      </c>
      <c r="E95" s="194" t="n">
        <v>0.08</v>
      </c>
      <c r="F95" s="194" t="n">
        <f aca="false">+$G$86*(E95/100)</f>
        <v>0.00132</v>
      </c>
      <c r="G95" s="0"/>
      <c r="H95" s="0"/>
      <c r="I95" s="0"/>
      <c r="J95" s="0"/>
      <c r="K95" s="0"/>
      <c r="L95" s="0"/>
      <c r="M95" s="0"/>
      <c r="N95" s="0"/>
      <c r="O95" s="0"/>
    </row>
    <row r="96" customFormat="false" ht="12.75" hidden="true" customHeight="false" outlineLevel="0" collapsed="false">
      <c r="A96" s="0"/>
      <c r="B96" s="0" t="s">
        <v>155</v>
      </c>
      <c r="C96" s="194" t="n">
        <v>1.14</v>
      </c>
      <c r="D96" s="194" t="n">
        <v>6.21</v>
      </c>
      <c r="E96" s="194" t="n">
        <v>0.07</v>
      </c>
      <c r="F96" s="194" t="n">
        <f aca="false">+$G$86*(E96/100)</f>
        <v>0.001155</v>
      </c>
      <c r="G96" s="0"/>
      <c r="H96" s="0"/>
      <c r="I96" s="0"/>
      <c r="J96" s="0"/>
      <c r="K96" s="0"/>
      <c r="L96" s="0"/>
      <c r="M96" s="0"/>
      <c r="N96" s="0"/>
      <c r="O96" s="0"/>
    </row>
    <row r="97" customFormat="false" ht="12.75" hidden="true" customHeight="false" outlineLevel="0" collapsed="false">
      <c r="A97" s="0"/>
      <c r="B97" s="0"/>
      <c r="C97" s="194"/>
      <c r="D97" s="194"/>
      <c r="E97" s="195" t="s">
        <v>156</v>
      </c>
      <c r="F97" s="194" t="n">
        <f aca="false">SUM(F94:F96)</f>
        <v>0.00759</v>
      </c>
      <c r="G97" s="0"/>
      <c r="H97" s="0"/>
      <c r="I97" s="0"/>
      <c r="J97" s="0"/>
      <c r="K97" s="0"/>
      <c r="L97" s="0"/>
      <c r="M97" s="0"/>
      <c r="N97" s="0"/>
      <c r="O97" s="0"/>
    </row>
    <row r="98" customFormat="false" ht="12.75" hidden="true" customHeight="false" outlineLevel="0" collapsed="false">
      <c r="A98" s="0"/>
      <c r="B98" s="0"/>
      <c r="C98" s="194"/>
      <c r="D98" s="194"/>
      <c r="E98" s="195" t="s">
        <v>157</v>
      </c>
      <c r="F98" s="194" t="n">
        <f aca="false">SUM(F93:F96)</f>
        <v>0.01188</v>
      </c>
      <c r="G98" s="0"/>
      <c r="H98" s="0"/>
      <c r="I98" s="0"/>
      <c r="J98" s="0"/>
      <c r="K98" s="0"/>
      <c r="L98" s="0"/>
      <c r="M98" s="0"/>
      <c r="N98" s="0"/>
      <c r="O98" s="0"/>
    </row>
    <row r="99" customFormat="false" ht="12.75" hidden="true" customHeight="false" outlineLevel="0" collapsed="false">
      <c r="A99" s="0"/>
      <c r="B99" s="0"/>
      <c r="C99" s="194"/>
      <c r="D99" s="194"/>
      <c r="E99" s="194"/>
      <c r="F99" s="194"/>
      <c r="G99" s="0"/>
      <c r="H99" s="0"/>
      <c r="I99" s="0"/>
      <c r="J99" s="0"/>
      <c r="K99" s="0"/>
      <c r="L99" s="0"/>
      <c r="M99" s="0"/>
      <c r="N99" s="0"/>
      <c r="O99" s="0"/>
    </row>
    <row r="100" customFormat="false" ht="12.75" hidden="true" customHeight="false" outlineLevel="0" collapsed="false">
      <c r="A100" s="0" t="s">
        <v>158</v>
      </c>
      <c r="B100" s="0" t="s">
        <v>158</v>
      </c>
      <c r="C100" s="194" t="n">
        <v>0.62</v>
      </c>
      <c r="D100" s="194" t="n">
        <v>94.29</v>
      </c>
      <c r="E100" s="194" t="n">
        <v>0.58</v>
      </c>
      <c r="F100" s="194" t="n">
        <f aca="false">+$G$86*(E100/100)</f>
        <v>0.00957</v>
      </c>
      <c r="G100" s="0"/>
      <c r="H100" s="0"/>
      <c r="I100" s="0"/>
      <c r="J100" s="0"/>
      <c r="K100" s="0"/>
      <c r="L100" s="0"/>
      <c r="M100" s="0"/>
      <c r="N100" s="0"/>
      <c r="O100" s="0"/>
    </row>
    <row r="101" customFormat="false" ht="12.75" hidden="true" customHeight="false" outlineLevel="0" collapsed="false">
      <c r="A101" s="0"/>
      <c r="B101" s="0"/>
      <c r="C101" s="194"/>
      <c r="D101" s="194"/>
      <c r="E101" s="194"/>
      <c r="F101" s="194"/>
      <c r="G101" s="0"/>
      <c r="H101" s="0"/>
      <c r="I101" s="0"/>
      <c r="J101" s="0"/>
      <c r="K101" s="0"/>
      <c r="L101" s="0"/>
      <c r="M101" s="0"/>
      <c r="N101" s="0"/>
      <c r="O101" s="0"/>
    </row>
    <row r="102" customFormat="false" ht="12.75" hidden="true" customHeight="false" outlineLevel="0" collapsed="false">
      <c r="A102" s="0" t="s">
        <v>159</v>
      </c>
      <c r="B102" s="0" t="s">
        <v>160</v>
      </c>
      <c r="C102" s="194" t="n">
        <v>0.85</v>
      </c>
      <c r="D102" s="194" t="n">
        <v>100</v>
      </c>
      <c r="E102" s="194" t="n">
        <v>0.85</v>
      </c>
      <c r="F102" s="194" t="n">
        <f aca="false">+$G$86*(E102/100)</f>
        <v>0.014025</v>
      </c>
      <c r="G102" s="0"/>
      <c r="H102" s="0"/>
      <c r="I102" s="0"/>
      <c r="J102" s="0"/>
      <c r="K102" s="0"/>
      <c r="L102" s="0"/>
      <c r="M102" s="0"/>
      <c r="N102" s="0"/>
      <c r="O102" s="0"/>
    </row>
    <row r="103" customFormat="false" ht="12.75" hidden="true" customHeight="false" outlineLevel="0" collapsed="false">
      <c r="A103" s="0"/>
      <c r="B103" s="0"/>
      <c r="C103" s="194"/>
      <c r="D103" s="194"/>
      <c r="E103" s="194"/>
      <c r="F103" s="194"/>
      <c r="G103" s="0"/>
      <c r="H103" s="0"/>
      <c r="I103" s="0"/>
      <c r="J103" s="0"/>
      <c r="K103" s="0"/>
      <c r="L103" s="0"/>
      <c r="M103" s="0"/>
      <c r="N103" s="0"/>
      <c r="O103" s="0"/>
    </row>
    <row r="104" customFormat="false" ht="12.75" hidden="true" customHeight="false" outlineLevel="0" collapsed="false">
      <c r="A104" s="0" t="s">
        <v>161</v>
      </c>
      <c r="B104" s="0" t="s">
        <v>162</v>
      </c>
      <c r="C104" s="194" t="s">
        <v>163</v>
      </c>
      <c r="D104" s="194"/>
      <c r="E104" s="194" t="n">
        <v>0.3546</v>
      </c>
      <c r="F104" s="194" t="n">
        <f aca="false">+$G$86*(E104/100)</f>
        <v>0.0058509</v>
      </c>
      <c r="G104" s="0"/>
      <c r="H104" s="0"/>
      <c r="I104" s="0"/>
      <c r="J104" s="0"/>
      <c r="K104" s="0"/>
      <c r="L104" s="0"/>
      <c r="M104" s="0"/>
      <c r="N104" s="0"/>
      <c r="O104" s="0"/>
    </row>
    <row r="105" customFormat="false" ht="12.75" hidden="true" customHeight="false" outlineLevel="0" collapsed="false">
      <c r="A105" s="0"/>
      <c r="B105" s="0" t="s">
        <v>164</v>
      </c>
      <c r="C105" s="194" t="s">
        <v>165</v>
      </c>
      <c r="D105" s="194"/>
      <c r="E105" s="194" t="n">
        <v>0.557</v>
      </c>
      <c r="F105" s="194" t="n">
        <f aca="false">+$G$86*(E105/100)</f>
        <v>0.0091905</v>
      </c>
      <c r="G105" s="0"/>
      <c r="H105" s="0"/>
      <c r="I105" s="0"/>
    </row>
    <row r="106" customFormat="false" ht="12.75" hidden="true" customHeight="false" outlineLevel="0" collapsed="false">
      <c r="A106" s="0"/>
      <c r="B106" s="0" t="s">
        <v>166</v>
      </c>
      <c r="C106" s="194" t="s">
        <v>167</v>
      </c>
      <c r="D106" s="194"/>
      <c r="E106" s="194" t="n">
        <v>0.628</v>
      </c>
      <c r="F106" s="194" t="n">
        <f aca="false">+$G$86*(E106/100)</f>
        <v>0.010362</v>
      </c>
      <c r="G106" s="0"/>
      <c r="H106" s="0"/>
      <c r="I106" s="0"/>
    </row>
    <row r="107" customFormat="false" ht="12.75" hidden="true" customHeight="false" outlineLevel="0" collapsed="false">
      <c r="A107" s="0"/>
      <c r="B107" s="0"/>
      <c r="C107" s="194"/>
      <c r="D107" s="194"/>
      <c r="E107" s="194"/>
      <c r="F107" s="194"/>
      <c r="G107" s="0"/>
      <c r="H107" s="0"/>
      <c r="I107" s="0"/>
    </row>
    <row r="108" customFormat="false" ht="12.75" hidden="true" customHeight="false" outlineLevel="0" collapsed="false">
      <c r="A108" s="0" t="s">
        <v>168</v>
      </c>
      <c r="B108" s="0" t="s">
        <v>169</v>
      </c>
      <c r="C108" s="194" t="s">
        <v>170</v>
      </c>
      <c r="D108" s="194"/>
      <c r="E108" s="194" t="n">
        <v>0.309</v>
      </c>
      <c r="F108" s="194" t="n">
        <f aca="false">+$G$86*(E108/100)</f>
        <v>0.0050985</v>
      </c>
      <c r="G108" s="0"/>
      <c r="H108" s="0"/>
      <c r="I108" s="0"/>
    </row>
    <row r="109" customFormat="false" ht="12.75" hidden="true" customHeight="false" outlineLevel="0" collapsed="false">
      <c r="A109" s="0"/>
      <c r="B109" s="0"/>
      <c r="C109" s="194"/>
      <c r="D109" s="194"/>
      <c r="E109" s="194"/>
      <c r="F109" s="194"/>
      <c r="G109" s="0"/>
      <c r="H109" s="0"/>
      <c r="I109" s="0"/>
    </row>
    <row r="110" customFormat="false" ht="12.75" hidden="true" customHeight="false" outlineLevel="0" collapsed="false">
      <c r="A110" s="0" t="s">
        <v>171</v>
      </c>
      <c r="B110" s="0" t="s">
        <v>172</v>
      </c>
      <c r="C110" s="194" t="s">
        <v>173</v>
      </c>
      <c r="D110" s="194"/>
      <c r="E110" s="194" t="n">
        <v>0.3748</v>
      </c>
      <c r="F110" s="194" t="n">
        <f aca="false">+$G$86*(E110/100)</f>
        <v>0.0061842</v>
      </c>
      <c r="G110" s="0"/>
      <c r="H110" s="0"/>
      <c r="I110" s="0"/>
    </row>
    <row r="111" customFormat="false" ht="12.75" hidden="true" customHeight="false" outlineLevel="0" collapsed="false">
      <c r="A111" s="0"/>
      <c r="B111" s="0"/>
      <c r="C111" s="0"/>
      <c r="D111" s="0"/>
      <c r="E111" s="0"/>
      <c r="F111" s="0"/>
      <c r="G111" s="0"/>
      <c r="H111" s="0"/>
      <c r="I111" s="0"/>
    </row>
    <row r="112" customFormat="false" ht="12.75" hidden="false" customHeight="false" outlineLevel="0" collapsed="false">
      <c r="A112" s="0"/>
      <c r="B112" s="0"/>
      <c r="C112" s="0"/>
      <c r="D112" s="0"/>
      <c r="E112" s="0"/>
      <c r="F112" s="0"/>
      <c r="G112" s="0"/>
      <c r="H112" s="0"/>
      <c r="I112" s="0"/>
    </row>
    <row r="113" customFormat="false" ht="12.75" hidden="false" customHeight="false" outlineLevel="0" collapsed="false">
      <c r="A113" s="0"/>
      <c r="B113" s="0"/>
      <c r="C113" s="0"/>
      <c r="D113" s="0"/>
      <c r="E113" s="0"/>
      <c r="F113" s="0"/>
      <c r="G113" s="0"/>
      <c r="H113" s="0"/>
      <c r="I113" s="0"/>
    </row>
    <row r="114" customFormat="false" ht="12.75" hidden="false" customHeight="false" outlineLevel="0" collapsed="false">
      <c r="A114" s="0"/>
      <c r="B114" s="0"/>
      <c r="C114" s="0"/>
      <c r="D114" s="0"/>
      <c r="E114" s="0"/>
      <c r="F114" s="0"/>
      <c r="G114" s="0"/>
      <c r="H114" s="0"/>
      <c r="I114" s="0"/>
    </row>
    <row r="115" customFormat="false" ht="12.75" hidden="false" customHeight="false" outlineLevel="0" collapsed="false">
      <c r="A115" s="0"/>
      <c r="B115" s="0"/>
      <c r="C115" s="0"/>
      <c r="D115" s="0"/>
      <c r="E115" s="0"/>
      <c r="F115" s="0"/>
      <c r="G115" s="0"/>
      <c r="H115" s="0"/>
      <c r="I115" s="0"/>
    </row>
    <row r="116" customFormat="false" ht="12.75" hidden="false" customHeight="false" outlineLevel="0" collapsed="false">
      <c r="A116" s="196" t="s">
        <v>174</v>
      </c>
      <c r="B116" s="196"/>
      <c r="C116" s="196"/>
      <c r="D116" s="0"/>
      <c r="E116" s="197" t="s">
        <v>175</v>
      </c>
      <c r="F116" s="0"/>
      <c r="G116" s="198"/>
      <c r="H116" s="0"/>
      <c r="I116" s="196" t="s">
        <v>61</v>
      </c>
      <c r="J116" s="196"/>
      <c r="K116" s="196"/>
      <c r="N116" s="1" t="s">
        <v>176</v>
      </c>
    </row>
    <row r="117" customFormat="false" ht="12.75" hidden="false" customHeight="false" outlineLevel="0" collapsed="false">
      <c r="A117" s="199" t="s">
        <v>177</v>
      </c>
      <c r="B117" s="200" t="s">
        <v>178</v>
      </c>
      <c r="C117" s="201" t="n">
        <v>0.845</v>
      </c>
      <c r="D117" s="78"/>
      <c r="E117" s="200" t="n">
        <v>0.833</v>
      </c>
      <c r="F117" s="79" t="n">
        <f aca="false">C117-E117</f>
        <v>0.012</v>
      </c>
      <c r="G117" s="199" t="n">
        <v>0.833</v>
      </c>
      <c r="H117" s="79"/>
      <c r="I117" s="199" t="s">
        <v>179</v>
      </c>
      <c r="J117" s="78"/>
      <c r="K117" s="202" t="n">
        <v>0</v>
      </c>
      <c r="L117" s="78" t="n">
        <v>882</v>
      </c>
      <c r="N117" s="1" t="s">
        <v>180</v>
      </c>
      <c r="O117" s="1" t="n">
        <v>1024</v>
      </c>
    </row>
    <row r="118" customFormat="false" ht="12.75" hidden="false" customHeight="false" outlineLevel="0" collapsed="false">
      <c r="A118" s="78"/>
      <c r="B118" s="200" t="s">
        <v>181</v>
      </c>
      <c r="C118" s="201" t="n">
        <v>0.001</v>
      </c>
      <c r="D118" s="78"/>
      <c r="E118" s="79" t="n">
        <v>0.001</v>
      </c>
      <c r="F118" s="79" t="n">
        <f aca="false">C118-E118</f>
        <v>0</v>
      </c>
      <c r="G118" s="199" t="n">
        <v>0.001</v>
      </c>
      <c r="H118" s="79"/>
      <c r="I118" s="199" t="s">
        <v>182</v>
      </c>
      <c r="J118" s="78" t="n">
        <v>6688</v>
      </c>
      <c r="K118" s="203" t="n">
        <v>17</v>
      </c>
      <c r="L118" s="78"/>
      <c r="N118" s="1" t="s">
        <v>135</v>
      </c>
      <c r="O118" s="1" t="n">
        <v>1500</v>
      </c>
    </row>
    <row r="119" customFormat="false" ht="12.75" hidden="false" customHeight="false" outlineLevel="0" collapsed="false">
      <c r="A119" s="78"/>
      <c r="B119" s="200" t="s">
        <v>183</v>
      </c>
      <c r="C119" s="201" t="n">
        <v>0.5</v>
      </c>
      <c r="D119" s="78"/>
      <c r="E119" s="79" t="n">
        <v>0.5</v>
      </c>
      <c r="F119" s="79" t="n">
        <f aca="false">C119-E119</f>
        <v>0</v>
      </c>
      <c r="G119" s="199" t="n">
        <v>0.5</v>
      </c>
      <c r="H119" s="79"/>
      <c r="I119" s="199" t="s">
        <v>87</v>
      </c>
      <c r="J119" s="78" t="n">
        <v>6888</v>
      </c>
      <c r="K119" s="203" t="n">
        <v>5876</v>
      </c>
      <c r="L119" s="78"/>
      <c r="N119" s="1" t="s">
        <v>184</v>
      </c>
      <c r="O119" s="1" t="n">
        <v>219</v>
      </c>
    </row>
    <row r="120" customFormat="false" ht="12.75" hidden="false" customHeight="false" outlineLevel="0" collapsed="false">
      <c r="A120" s="78"/>
      <c r="B120" s="200" t="s">
        <v>185</v>
      </c>
      <c r="C120" s="201" t="n">
        <v>10</v>
      </c>
      <c r="D120" s="78" t="n">
        <v>2</v>
      </c>
      <c r="E120" s="79" t="n">
        <v>10</v>
      </c>
      <c r="F120" s="79" t="n">
        <f aca="false">C120-E120</f>
        <v>0</v>
      </c>
      <c r="G120" s="199" t="n">
        <v>12</v>
      </c>
      <c r="H120" s="79"/>
      <c r="I120" s="199" t="s">
        <v>88</v>
      </c>
      <c r="J120" s="78"/>
      <c r="K120" s="202" t="n">
        <v>0</v>
      </c>
      <c r="L120" s="78"/>
      <c r="N120" s="1" t="s">
        <v>186</v>
      </c>
      <c r="O120" s="1" t="n">
        <v>1000</v>
      </c>
    </row>
    <row r="121" customFormat="false" ht="12.75" hidden="false" customHeight="false" outlineLevel="0" collapsed="false">
      <c r="A121" s="199" t="s">
        <v>187</v>
      </c>
      <c r="B121" s="200" t="s">
        <v>188</v>
      </c>
      <c r="C121" s="201" t="n">
        <v>3.6</v>
      </c>
      <c r="D121" s="78"/>
      <c r="E121" s="79" t="n">
        <v>3.6</v>
      </c>
      <c r="F121" s="79" t="n">
        <f aca="false">C121-E121</f>
        <v>0</v>
      </c>
      <c r="G121" s="199" t="n">
        <v>3.6</v>
      </c>
      <c r="H121" s="79"/>
      <c r="I121" s="199" t="s">
        <v>189</v>
      </c>
      <c r="J121" s="78" t="n">
        <v>9003</v>
      </c>
      <c r="K121" s="203" t="n">
        <v>9</v>
      </c>
      <c r="L121" s="78"/>
      <c r="N121" s="1" t="s">
        <v>190</v>
      </c>
      <c r="O121" s="1" t="n">
        <v>90</v>
      </c>
    </row>
    <row r="122" customFormat="false" ht="12.75" hidden="false" customHeight="false" outlineLevel="0" collapsed="false">
      <c r="A122" s="199"/>
      <c r="B122" s="200"/>
      <c r="C122" s="200"/>
      <c r="D122" s="78"/>
      <c r="E122" s="79"/>
      <c r="F122" s="79"/>
      <c r="G122" s="199"/>
      <c r="H122" s="79"/>
      <c r="I122" s="199" t="s">
        <v>191</v>
      </c>
      <c r="J122" s="78" t="n">
        <v>5053</v>
      </c>
      <c r="K122" s="203" t="n">
        <v>706</v>
      </c>
      <c r="L122" s="78"/>
    </row>
    <row r="123" customFormat="false" ht="12.75" hidden="false" customHeight="false" outlineLevel="0" collapsed="false">
      <c r="A123" s="78"/>
      <c r="B123" s="200" t="s">
        <v>27</v>
      </c>
      <c r="C123" s="199" t="n">
        <v>0</v>
      </c>
      <c r="D123" s="78" t="s">
        <v>192</v>
      </c>
      <c r="E123" s="79" t="n">
        <v>0</v>
      </c>
      <c r="F123" s="79" t="n">
        <f aca="false">C123-E123</f>
        <v>0</v>
      </c>
      <c r="G123" s="199" t="n">
        <v>0</v>
      </c>
      <c r="H123" s="79"/>
      <c r="I123" s="199" t="s">
        <v>193</v>
      </c>
      <c r="J123" s="78" t="n">
        <v>3405</v>
      </c>
      <c r="K123" s="203" t="n">
        <v>2429</v>
      </c>
      <c r="L123" s="78"/>
      <c r="N123" s="1" t="s">
        <v>123</v>
      </c>
    </row>
    <row r="124" customFormat="false" ht="12.75" hidden="false" customHeight="false" outlineLevel="0" collapsed="false">
      <c r="A124" s="78"/>
      <c r="B124" s="200" t="s">
        <v>194</v>
      </c>
      <c r="C124" s="201" t="n">
        <v>2.4</v>
      </c>
      <c r="D124" s="78"/>
      <c r="E124" s="79" t="n">
        <v>2.4</v>
      </c>
      <c r="F124" s="79" t="n">
        <f aca="false">C124-E124</f>
        <v>0</v>
      </c>
      <c r="G124" s="199" t="n">
        <v>2.4</v>
      </c>
      <c r="H124" s="79"/>
      <c r="I124" s="199" t="s">
        <v>195</v>
      </c>
      <c r="J124" s="78"/>
      <c r="K124" s="204" t="n">
        <v>0</v>
      </c>
      <c r="L124" s="78" t="n">
        <v>660</v>
      </c>
    </row>
    <row r="125" customFormat="false" ht="12.75" hidden="false" customHeight="false" outlineLevel="0" collapsed="false">
      <c r="A125" s="199" t="s">
        <v>196</v>
      </c>
      <c r="B125" s="200" t="s">
        <v>197</v>
      </c>
      <c r="C125" s="201" t="n">
        <v>0.8</v>
      </c>
      <c r="D125" s="79"/>
      <c r="E125" s="79" t="n">
        <v>0.8</v>
      </c>
      <c r="F125" s="79" t="n">
        <f aca="false">C125-E125</f>
        <v>0</v>
      </c>
      <c r="G125" s="199" t="n">
        <v>0.8</v>
      </c>
      <c r="H125" s="79"/>
      <c r="I125" s="199" t="s">
        <v>198</v>
      </c>
      <c r="J125" s="78" t="n">
        <v>5333</v>
      </c>
      <c r="K125" s="204" t="n">
        <v>250</v>
      </c>
      <c r="L125" s="78" t="s">
        <v>199</v>
      </c>
    </row>
    <row r="126" customFormat="false" ht="12.75" hidden="false" customHeight="false" outlineLevel="0" collapsed="false">
      <c r="A126" s="79"/>
      <c r="B126" s="200" t="s">
        <v>9</v>
      </c>
      <c r="C126" s="201" t="n">
        <v>16.5</v>
      </c>
      <c r="D126" s="79"/>
      <c r="E126" s="79" t="n">
        <v>16.941</v>
      </c>
      <c r="F126" s="79" t="n">
        <f aca="false">C126-E126</f>
        <v>-0.440999999999999</v>
      </c>
      <c r="G126" s="199" t="n">
        <v>16.5</v>
      </c>
      <c r="H126" s="199"/>
      <c r="I126" s="202" t="s">
        <v>200</v>
      </c>
      <c r="J126" s="78" t="n">
        <v>6835</v>
      </c>
      <c r="K126" s="203" t="n">
        <v>24</v>
      </c>
      <c r="L126" s="78"/>
    </row>
    <row r="127" customFormat="false" ht="12.75" hidden="false" customHeight="false" outlineLevel="0" collapsed="false">
      <c r="A127" s="79"/>
      <c r="B127" s="200" t="s">
        <v>11</v>
      </c>
      <c r="C127" s="199" t="n">
        <v>0</v>
      </c>
      <c r="D127" s="79" t="s">
        <v>82</v>
      </c>
      <c r="E127" s="79" t="n">
        <v>0</v>
      </c>
      <c r="F127" s="79" t="n">
        <f aca="false">C127-E127</f>
        <v>0</v>
      </c>
      <c r="G127" s="199" t="n">
        <v>20</v>
      </c>
      <c r="H127" s="79"/>
      <c r="I127" s="202" t="s">
        <v>201</v>
      </c>
      <c r="J127" s="78" t="n">
        <v>4286</v>
      </c>
      <c r="K127" s="203" t="n">
        <v>39</v>
      </c>
      <c r="L127" s="78"/>
    </row>
    <row r="128" customFormat="false" ht="12.75" hidden="false" customHeight="false" outlineLevel="0" collapsed="false">
      <c r="A128" s="79"/>
      <c r="B128" s="200"/>
      <c r="C128" s="199"/>
      <c r="D128" s="79"/>
      <c r="E128" s="79"/>
      <c r="F128" s="79"/>
      <c r="G128" s="199"/>
      <c r="H128" s="79"/>
      <c r="I128" s="202" t="s">
        <v>202</v>
      </c>
      <c r="J128" s="78" t="n">
        <v>9676</v>
      </c>
      <c r="K128" s="205" t="n">
        <v>0</v>
      </c>
      <c r="L128" s="206" t="s">
        <v>203</v>
      </c>
    </row>
    <row r="129" customFormat="false" ht="12.75" hidden="false" customHeight="false" outlineLevel="0" collapsed="false">
      <c r="A129" s="79"/>
      <c r="B129" s="200" t="s">
        <v>204</v>
      </c>
      <c r="C129" s="201" t="n">
        <v>0.025</v>
      </c>
      <c r="D129" s="79"/>
      <c r="E129" s="79" t="n">
        <v>0.025</v>
      </c>
      <c r="F129" s="79" t="n">
        <f aca="false">C129-E129</f>
        <v>0</v>
      </c>
      <c r="G129" s="199" t="n">
        <v>0.025</v>
      </c>
      <c r="H129" s="79"/>
      <c r="I129" s="202" t="s">
        <v>205</v>
      </c>
      <c r="J129" s="78" t="n">
        <v>6551</v>
      </c>
      <c r="K129" s="203" t="n">
        <v>100</v>
      </c>
      <c r="L129" s="206"/>
    </row>
    <row r="130" customFormat="false" ht="12.75" hidden="false" customHeight="false" outlineLevel="0" collapsed="false">
      <c r="A130" s="79"/>
      <c r="B130" s="200" t="s">
        <v>206</v>
      </c>
      <c r="C130" s="199" t="n">
        <v>0</v>
      </c>
      <c r="D130" s="79"/>
      <c r="E130" s="79" t="n">
        <v>1.3</v>
      </c>
      <c r="F130" s="79" t="n">
        <f aca="false">C130-E130</f>
        <v>-1.3</v>
      </c>
      <c r="G130" s="199" t="n">
        <v>1.3</v>
      </c>
      <c r="H130" s="79"/>
      <c r="I130" s="202" t="s">
        <v>207</v>
      </c>
      <c r="J130" s="78" t="n">
        <v>6373</v>
      </c>
      <c r="K130" s="203" t="n">
        <v>1</v>
      </c>
      <c r="L130" s="78"/>
    </row>
    <row r="131" customFormat="false" ht="12.75" hidden="false" customHeight="false" outlineLevel="0" collapsed="false">
      <c r="A131" s="79"/>
      <c r="B131" s="207" t="s">
        <v>208</v>
      </c>
      <c r="C131" s="207" t="n">
        <v>8</v>
      </c>
      <c r="D131" s="79" t="n">
        <v>8</v>
      </c>
      <c r="E131" s="79" t="n">
        <v>7.407</v>
      </c>
      <c r="F131" s="79" t="n">
        <f aca="false">C131-E131</f>
        <v>0.593</v>
      </c>
      <c r="G131" s="199" t="n">
        <v>8</v>
      </c>
      <c r="H131" s="79"/>
      <c r="I131" s="202" t="s">
        <v>209</v>
      </c>
      <c r="J131" s="78" t="n">
        <v>4132</v>
      </c>
      <c r="K131" s="203" t="n">
        <v>149</v>
      </c>
      <c r="L131" s="78"/>
    </row>
    <row r="132" customFormat="false" ht="12.75" hidden="false" customHeight="false" outlineLevel="0" collapsed="false">
      <c r="A132" s="79"/>
      <c r="B132" s="200"/>
      <c r="C132" s="200"/>
      <c r="D132" s="79"/>
      <c r="E132" s="79"/>
      <c r="F132" s="79"/>
      <c r="G132" s="199"/>
      <c r="H132" s="79"/>
      <c r="I132" s="202" t="s">
        <v>210</v>
      </c>
      <c r="J132" s="78" t="n">
        <v>4120</v>
      </c>
      <c r="K132" s="204" t="n">
        <v>821</v>
      </c>
      <c r="L132" s="78" t="n">
        <v>11</v>
      </c>
    </row>
    <row r="133" customFormat="false" ht="12.75" hidden="false" customHeight="false" outlineLevel="0" collapsed="false">
      <c r="A133" s="79"/>
      <c r="B133" s="207" t="s">
        <v>211</v>
      </c>
      <c r="C133" s="208" t="n">
        <v>20</v>
      </c>
      <c r="D133" s="79"/>
      <c r="E133" s="79" t="n">
        <v>20</v>
      </c>
      <c r="F133" s="79" t="n">
        <f aca="false">C133-E133</f>
        <v>0</v>
      </c>
      <c r="G133" s="199" t="n">
        <v>22.5</v>
      </c>
      <c r="H133" s="78"/>
      <c r="I133" s="202" t="s">
        <v>212</v>
      </c>
      <c r="J133" s="78" t="n">
        <v>6840</v>
      </c>
      <c r="K133" s="203" t="n">
        <v>1148</v>
      </c>
      <c r="L133" s="78"/>
    </row>
    <row r="134" customFormat="false" ht="12.75" hidden="false" customHeight="false" outlineLevel="0" collapsed="false">
      <c r="A134" s="79"/>
      <c r="B134" s="200" t="s">
        <v>213</v>
      </c>
      <c r="C134" s="201" t="n">
        <v>3.85</v>
      </c>
      <c r="D134" s="79"/>
      <c r="E134" s="79" t="n">
        <v>3.85</v>
      </c>
      <c r="F134" s="79" t="n">
        <f aca="false">C134-E134</f>
        <v>0</v>
      </c>
      <c r="G134" s="199" t="n">
        <v>3.85</v>
      </c>
      <c r="H134" s="78"/>
      <c r="I134" s="202" t="s">
        <v>214</v>
      </c>
      <c r="J134" s="78" t="n">
        <v>6296</v>
      </c>
      <c r="K134" s="202" t="n">
        <v>0</v>
      </c>
      <c r="L134" s="78"/>
    </row>
    <row r="135" customFormat="false" ht="12.75" hidden="false" customHeight="false" outlineLevel="0" collapsed="false">
      <c r="A135" s="79"/>
      <c r="B135" s="200" t="s">
        <v>15</v>
      </c>
      <c r="C135" s="200" t="n">
        <v>0</v>
      </c>
      <c r="D135" s="79"/>
      <c r="E135" s="79" t="n">
        <v>0</v>
      </c>
      <c r="F135" s="79" t="n">
        <f aca="false">C135-E135</f>
        <v>0</v>
      </c>
      <c r="G135" s="199" t="n">
        <v>62</v>
      </c>
      <c r="H135" s="78"/>
      <c r="I135" s="202" t="s">
        <v>215</v>
      </c>
      <c r="J135" s="78" t="n">
        <v>6519</v>
      </c>
      <c r="K135" s="203" t="n">
        <v>2</v>
      </c>
      <c r="L135" s="78"/>
    </row>
    <row r="136" customFormat="false" ht="12.75" hidden="false" customHeight="false" outlineLevel="0" collapsed="false">
      <c r="A136" s="79"/>
      <c r="B136" s="200" t="s">
        <v>216</v>
      </c>
      <c r="C136" s="201" t="n">
        <v>0.025</v>
      </c>
      <c r="D136" s="79"/>
      <c r="E136" s="79" t="n">
        <v>0.025</v>
      </c>
      <c r="F136" s="79" t="n">
        <f aca="false">C136-E136</f>
        <v>0</v>
      </c>
      <c r="G136" s="199" t="n">
        <v>0.025</v>
      </c>
      <c r="H136" s="78"/>
      <c r="I136" s="202" t="s">
        <v>217</v>
      </c>
      <c r="J136" s="78" t="n">
        <v>5502</v>
      </c>
      <c r="K136" s="203" t="n">
        <v>37</v>
      </c>
      <c r="L136" s="78"/>
    </row>
    <row r="137" customFormat="false" ht="12.75" hidden="false" customHeight="false" outlineLevel="0" collapsed="false">
      <c r="A137" s="79"/>
      <c r="B137" s="200" t="s">
        <v>218</v>
      </c>
      <c r="C137" s="201" t="n">
        <v>0.05</v>
      </c>
      <c r="D137" s="79"/>
      <c r="E137" s="79" t="n">
        <v>0.05</v>
      </c>
      <c r="F137" s="79" t="n">
        <f aca="false">C137-E137</f>
        <v>0</v>
      </c>
      <c r="G137" s="199" t="n">
        <v>0.05</v>
      </c>
      <c r="H137" s="78"/>
      <c r="I137" s="202" t="s">
        <v>219</v>
      </c>
      <c r="J137" s="78" t="n">
        <v>6789</v>
      </c>
      <c r="K137" s="203" t="n">
        <v>12500</v>
      </c>
      <c r="L137" s="78"/>
    </row>
    <row r="138" customFormat="false" ht="12.75" hidden="false" customHeight="false" outlineLevel="0" collapsed="false">
      <c r="A138" s="79"/>
      <c r="B138" s="200" t="s">
        <v>220</v>
      </c>
      <c r="C138" s="201" t="n">
        <v>12</v>
      </c>
      <c r="D138" s="79" t="n">
        <v>11</v>
      </c>
      <c r="E138" s="79" t="n">
        <v>4.665</v>
      </c>
      <c r="F138" s="79" t="n">
        <f aca="false">C138-E138</f>
        <v>7.335</v>
      </c>
      <c r="G138" s="199" t="n">
        <v>6</v>
      </c>
      <c r="H138" s="78"/>
      <c r="I138" s="202" t="s">
        <v>221</v>
      </c>
      <c r="J138" s="209" t="n">
        <v>6545</v>
      </c>
      <c r="K138" s="203" t="n">
        <v>68</v>
      </c>
      <c r="L138" s="78"/>
    </row>
    <row r="139" customFormat="false" ht="12.75" hidden="false" customHeight="false" outlineLevel="0" collapsed="false">
      <c r="A139" s="79"/>
      <c r="B139" s="200" t="s">
        <v>222</v>
      </c>
      <c r="C139" s="201" t="n">
        <v>0.419</v>
      </c>
      <c r="D139" s="78"/>
      <c r="E139" s="79" t="n">
        <v>0.419</v>
      </c>
      <c r="F139" s="79" t="n">
        <f aca="false">C139-E139</f>
        <v>0</v>
      </c>
      <c r="G139" s="199" t="n">
        <v>0.419</v>
      </c>
      <c r="H139" s="78"/>
      <c r="I139" s="202" t="s">
        <v>221</v>
      </c>
      <c r="J139" s="209" t="n">
        <v>275</v>
      </c>
      <c r="K139" s="203" t="n">
        <v>86</v>
      </c>
      <c r="L139" s="78"/>
    </row>
    <row r="140" customFormat="false" ht="12.75" hidden="false" customHeight="false" outlineLevel="0" collapsed="false">
      <c r="A140" s="79"/>
      <c r="B140" s="200"/>
      <c r="C140" s="201"/>
      <c r="D140" s="78"/>
      <c r="E140" s="79"/>
      <c r="F140" s="79"/>
      <c r="G140" s="199"/>
      <c r="H140" s="78"/>
      <c r="I140" s="202" t="s">
        <v>223</v>
      </c>
      <c r="J140" s="209" t="n">
        <v>9812</v>
      </c>
      <c r="K140" s="203" t="n">
        <v>485</v>
      </c>
      <c r="L140" s="78" t="s">
        <v>224</v>
      </c>
    </row>
    <row r="141" customFormat="false" ht="12.75" hidden="false" customHeight="false" outlineLevel="0" collapsed="false">
      <c r="A141" s="78"/>
      <c r="B141" s="200" t="s">
        <v>225</v>
      </c>
      <c r="C141" s="201" t="n">
        <v>5</v>
      </c>
      <c r="D141" s="78"/>
      <c r="E141" s="79" t="n">
        <v>5</v>
      </c>
      <c r="F141" s="79" t="n">
        <f aca="false">C141-E141</f>
        <v>0</v>
      </c>
      <c r="G141" s="199" t="n">
        <v>5</v>
      </c>
      <c r="H141" s="78"/>
      <c r="I141" s="202" t="s">
        <v>226</v>
      </c>
      <c r="J141" s="209" t="n">
        <v>6387</v>
      </c>
      <c r="K141" s="203" t="n">
        <v>400</v>
      </c>
      <c r="L141" s="78"/>
    </row>
    <row r="142" customFormat="false" ht="12.75" hidden="false" customHeight="false" outlineLevel="0" collapsed="false">
      <c r="A142" s="78"/>
      <c r="B142" s="200" t="s">
        <v>227</v>
      </c>
      <c r="C142" s="199" t="n">
        <v>0</v>
      </c>
      <c r="D142" s="78"/>
      <c r="E142" s="79" t="n">
        <v>0</v>
      </c>
      <c r="F142" s="79" t="n">
        <f aca="false">C142-E142</f>
        <v>0</v>
      </c>
      <c r="G142" s="199" t="n">
        <v>20</v>
      </c>
      <c r="H142" s="78"/>
      <c r="I142" s="202" t="s">
        <v>226</v>
      </c>
      <c r="J142" s="209" t="n">
        <v>6347</v>
      </c>
      <c r="K142" s="203" t="n">
        <v>190</v>
      </c>
      <c r="L142" s="78"/>
    </row>
    <row r="143" customFormat="false" ht="12.75" hidden="false" customHeight="false" outlineLevel="0" collapsed="false">
      <c r="A143" s="78"/>
      <c r="B143" s="200" t="s">
        <v>228</v>
      </c>
      <c r="C143" s="201" t="n">
        <v>10</v>
      </c>
      <c r="D143" s="78"/>
      <c r="E143" s="79" t="n">
        <v>9.562</v>
      </c>
      <c r="F143" s="79" t="n">
        <f aca="false">C143-E143</f>
        <v>0.438000000000001</v>
      </c>
      <c r="G143" s="199" t="n">
        <v>10</v>
      </c>
      <c r="H143" s="78"/>
      <c r="I143" s="202" t="s">
        <v>226</v>
      </c>
      <c r="J143" s="209" t="n">
        <v>5892</v>
      </c>
      <c r="K143" s="203" t="n">
        <v>105</v>
      </c>
      <c r="L143" s="78"/>
    </row>
    <row r="144" customFormat="false" ht="12.75" hidden="false" customHeight="false" outlineLevel="0" collapsed="false">
      <c r="A144" s="78"/>
      <c r="B144" s="200" t="s">
        <v>229</v>
      </c>
      <c r="C144" s="201" t="n">
        <v>0.1</v>
      </c>
      <c r="D144" s="78"/>
      <c r="E144" s="79" t="n">
        <v>0.1</v>
      </c>
      <c r="F144" s="79" t="n">
        <f aca="false">C144-E144</f>
        <v>0</v>
      </c>
      <c r="G144" s="199" t="n">
        <v>0.1</v>
      </c>
      <c r="H144" s="78"/>
      <c r="I144" s="202" t="s">
        <v>226</v>
      </c>
      <c r="J144" s="209" t="n">
        <v>6757</v>
      </c>
      <c r="K144" s="203" t="n">
        <v>200</v>
      </c>
      <c r="L144" s="78"/>
    </row>
    <row r="145" customFormat="false" ht="12.75" hidden="false" customHeight="false" outlineLevel="0" collapsed="false">
      <c r="A145" s="78"/>
      <c r="B145" s="200" t="s">
        <v>230</v>
      </c>
      <c r="C145" s="200" t="n">
        <v>0</v>
      </c>
      <c r="D145" s="78"/>
      <c r="E145" s="79" t="n">
        <v>2</v>
      </c>
      <c r="F145" s="79" t="n">
        <f aca="false">C145-E145</f>
        <v>-2</v>
      </c>
      <c r="G145" s="199" t="n">
        <v>2</v>
      </c>
      <c r="H145" s="78"/>
      <c r="I145" s="202" t="s">
        <v>231</v>
      </c>
      <c r="J145" s="78" t="n">
        <v>6598</v>
      </c>
      <c r="K145" s="203" t="n">
        <v>235</v>
      </c>
      <c r="L145" s="78"/>
    </row>
    <row r="146" customFormat="false" ht="12.75" hidden="false" customHeight="false" outlineLevel="0" collapsed="false">
      <c r="A146" s="78"/>
      <c r="B146" s="200" t="s">
        <v>232</v>
      </c>
      <c r="C146" s="201" t="n">
        <v>0.02</v>
      </c>
      <c r="D146" s="78"/>
      <c r="E146" s="79" t="n">
        <v>0.02</v>
      </c>
      <c r="F146" s="79" t="n">
        <f aca="false">C146-E146</f>
        <v>0</v>
      </c>
      <c r="G146" s="199" t="n">
        <v>0.02</v>
      </c>
      <c r="H146" s="78"/>
      <c r="I146" s="202" t="s">
        <v>233</v>
      </c>
      <c r="J146" s="78" t="n">
        <v>6392</v>
      </c>
      <c r="K146" s="203" t="n">
        <v>65</v>
      </c>
      <c r="L146" s="78"/>
    </row>
    <row r="147" customFormat="false" ht="12.75" hidden="false" customHeight="false" outlineLevel="0" collapsed="false">
      <c r="A147" s="78"/>
      <c r="B147" s="200"/>
      <c r="C147" s="199"/>
      <c r="D147" s="78"/>
      <c r="E147" s="79" t="n">
        <v>0</v>
      </c>
      <c r="F147" s="79" t="n">
        <f aca="false">C147-E147</f>
        <v>0</v>
      </c>
      <c r="G147" s="199" t="n">
        <v>10</v>
      </c>
      <c r="H147" s="78"/>
      <c r="I147" s="202" t="s">
        <v>234</v>
      </c>
      <c r="J147" s="78" t="n">
        <v>440</v>
      </c>
      <c r="K147" s="203" t="n">
        <v>444</v>
      </c>
      <c r="L147" s="78" t="n">
        <v>1287</v>
      </c>
    </row>
    <row r="148" customFormat="false" ht="12.75" hidden="false" customHeight="false" outlineLevel="0" collapsed="false">
      <c r="A148" s="78"/>
      <c r="B148" s="200" t="s">
        <v>235</v>
      </c>
      <c r="C148" s="201" t="n">
        <v>0.556</v>
      </c>
      <c r="D148" s="78"/>
      <c r="E148" s="79" t="n">
        <v>0.5</v>
      </c>
      <c r="F148" s="79" t="n">
        <f aca="false">C148-E148</f>
        <v>0.0560000000000001</v>
      </c>
      <c r="G148" s="199" t="n">
        <v>0.705</v>
      </c>
      <c r="H148" s="78"/>
      <c r="I148" s="202" t="s">
        <v>135</v>
      </c>
      <c r="J148" s="78" t="n">
        <v>6173</v>
      </c>
      <c r="K148" s="203" t="n">
        <v>975</v>
      </c>
      <c r="L148" s="78" t="n">
        <v>4770</v>
      </c>
    </row>
    <row r="149" customFormat="false" ht="12.75" hidden="false" customHeight="false" outlineLevel="0" collapsed="false">
      <c r="A149" s="78"/>
      <c r="B149" s="200" t="s">
        <v>53</v>
      </c>
      <c r="C149" s="200" t="n">
        <v>0</v>
      </c>
      <c r="D149" s="78"/>
      <c r="E149" s="79" t="n">
        <v>10.922</v>
      </c>
      <c r="F149" s="79" t="n">
        <f aca="false">C149-E149</f>
        <v>-10.922</v>
      </c>
      <c r="G149" s="199" t="n">
        <v>8.5</v>
      </c>
      <c r="H149" s="78"/>
      <c r="I149" s="202" t="s">
        <v>236</v>
      </c>
      <c r="J149" s="78"/>
      <c r="K149" s="202" t="n">
        <v>0</v>
      </c>
      <c r="L149" s="78"/>
    </row>
    <row r="150" customFormat="false" ht="12.75" hidden="false" customHeight="false" outlineLevel="0" collapsed="false">
      <c r="A150" s="78"/>
      <c r="B150" s="200" t="s">
        <v>237</v>
      </c>
      <c r="C150" s="201" t="n">
        <v>2</v>
      </c>
      <c r="D150" s="78"/>
      <c r="E150" s="79" t="n">
        <v>2</v>
      </c>
      <c r="F150" s="79" t="n">
        <f aca="false">C150-E150</f>
        <v>0</v>
      </c>
      <c r="G150" s="199" t="n">
        <v>0</v>
      </c>
      <c r="H150" s="78"/>
      <c r="I150" s="202" t="s">
        <v>238</v>
      </c>
      <c r="J150" s="78" t="n">
        <v>4132</v>
      </c>
      <c r="K150" s="203" t="n">
        <v>7500</v>
      </c>
      <c r="L150" s="78"/>
    </row>
    <row r="151" customFormat="false" ht="12.75" hidden="false" customHeight="false" outlineLevel="0" collapsed="false">
      <c r="A151" s="78"/>
      <c r="B151" s="200" t="s">
        <v>21</v>
      </c>
      <c r="C151" s="200" t="n">
        <v>0</v>
      </c>
      <c r="D151" s="78"/>
      <c r="E151" s="79" t="n">
        <v>42.671</v>
      </c>
      <c r="F151" s="79" t="n">
        <f aca="false">C151-E151</f>
        <v>-42.671</v>
      </c>
      <c r="G151" s="199" t="n">
        <v>30</v>
      </c>
      <c r="H151" s="78"/>
      <c r="I151" s="202" t="s">
        <v>239</v>
      </c>
      <c r="J151" s="209" t="s">
        <v>240</v>
      </c>
      <c r="K151" s="203" t="n">
        <f aca="false">1445+1+1500+1281</f>
        <v>4227</v>
      </c>
      <c r="L151" s="78"/>
    </row>
    <row r="152" customFormat="false" ht="12.75" hidden="false" customHeight="false" outlineLevel="0" collapsed="false">
      <c r="A152" s="78"/>
      <c r="B152" s="200" t="s">
        <v>19</v>
      </c>
      <c r="C152" s="201" t="n">
        <v>80</v>
      </c>
      <c r="D152" s="78" t="n">
        <v>65</v>
      </c>
      <c r="E152" s="79" t="n">
        <v>63.607</v>
      </c>
      <c r="F152" s="79" t="n">
        <f aca="false">C152-E152</f>
        <v>16.393</v>
      </c>
      <c r="G152" s="199" t="n">
        <v>65</v>
      </c>
      <c r="H152" s="78"/>
      <c r="I152" s="202" t="s">
        <v>241</v>
      </c>
      <c r="J152" s="78" t="n">
        <v>3405</v>
      </c>
      <c r="K152" s="202" t="n">
        <v>0</v>
      </c>
      <c r="L152" s="78"/>
    </row>
    <row r="153" customFormat="false" ht="12.75" hidden="false" customHeight="false" outlineLevel="0" collapsed="false">
      <c r="A153" s="78"/>
      <c r="B153" s="200" t="s">
        <v>242</v>
      </c>
      <c r="C153" s="201" t="n">
        <v>0.18</v>
      </c>
      <c r="D153" s="78"/>
      <c r="E153" s="79" t="n">
        <v>0.18</v>
      </c>
      <c r="F153" s="79" t="n">
        <f aca="false">C153-E153</f>
        <v>0</v>
      </c>
      <c r="G153" s="199" t="n">
        <v>0.18</v>
      </c>
      <c r="H153" s="78"/>
      <c r="I153" s="202" t="s">
        <v>243</v>
      </c>
      <c r="J153" s="78" t="n">
        <v>6353</v>
      </c>
      <c r="K153" s="203" t="n">
        <v>4000</v>
      </c>
      <c r="L153" s="78"/>
    </row>
    <row r="154" customFormat="false" ht="12.75" hidden="false" customHeight="false" outlineLevel="0" collapsed="false">
      <c r="A154" s="78"/>
      <c r="B154" s="210" t="s">
        <v>244</v>
      </c>
      <c r="C154" s="210" t="n">
        <v>0</v>
      </c>
      <c r="D154" s="78"/>
      <c r="E154" s="79" t="n">
        <v>0</v>
      </c>
      <c r="F154" s="79" t="n">
        <f aca="false">C154-E154</f>
        <v>0</v>
      </c>
      <c r="G154" s="199" t="n">
        <v>1.991</v>
      </c>
      <c r="H154" s="78"/>
      <c r="I154" s="202" t="s">
        <v>245</v>
      </c>
      <c r="J154" s="78" t="n">
        <v>6899</v>
      </c>
      <c r="K154" s="203" t="n">
        <v>428</v>
      </c>
      <c r="L154" s="78" t="s">
        <v>224</v>
      </c>
    </row>
    <row r="155" customFormat="false" ht="12.75" hidden="false" customHeight="false" outlineLevel="0" collapsed="false">
      <c r="A155" s="78"/>
      <c r="B155" s="200" t="s">
        <v>23</v>
      </c>
      <c r="C155" s="201" t="n">
        <v>35</v>
      </c>
      <c r="D155" s="78"/>
      <c r="E155" s="79" t="n">
        <v>26.359</v>
      </c>
      <c r="F155" s="79" t="n">
        <f aca="false">C155-E155</f>
        <v>8.641</v>
      </c>
      <c r="G155" s="199" t="n">
        <v>45</v>
      </c>
      <c r="H155" s="78"/>
      <c r="I155" s="202" t="s">
        <v>246</v>
      </c>
      <c r="J155" s="78" t="n">
        <v>6523</v>
      </c>
      <c r="K155" s="203" t="n">
        <v>500</v>
      </c>
      <c r="L155" s="78"/>
    </row>
    <row r="156" customFormat="false" ht="12.75" hidden="false" customHeight="false" outlineLevel="0" collapsed="false">
      <c r="A156" s="78"/>
      <c r="B156" s="200"/>
      <c r="C156" s="201"/>
      <c r="D156" s="78"/>
      <c r="E156" s="79"/>
      <c r="F156" s="79"/>
      <c r="G156" s="199"/>
      <c r="H156" s="78"/>
      <c r="I156" s="202" t="s">
        <v>247</v>
      </c>
      <c r="J156" s="211" t="s">
        <v>248</v>
      </c>
      <c r="K156" s="203" t="n">
        <v>20</v>
      </c>
      <c r="L156" s="78"/>
    </row>
    <row r="157" customFormat="false" ht="12.75" hidden="false" customHeight="false" outlineLevel="0" collapsed="false">
      <c r="A157" s="78"/>
      <c r="B157" s="200" t="s">
        <v>66</v>
      </c>
      <c r="C157" s="200" t="n">
        <v>0</v>
      </c>
      <c r="D157" s="78"/>
      <c r="E157" s="79" t="n">
        <v>6.142</v>
      </c>
      <c r="F157" s="79" t="n">
        <f aca="false">C157-E157</f>
        <v>-6.142</v>
      </c>
      <c r="G157" s="199" t="n">
        <v>6</v>
      </c>
      <c r="H157" s="78"/>
      <c r="I157" s="202" t="s">
        <v>249</v>
      </c>
      <c r="J157" s="78" t="n">
        <v>7491</v>
      </c>
      <c r="K157" s="203" t="n">
        <v>1000</v>
      </c>
      <c r="L157" s="78" t="n">
        <v>2000</v>
      </c>
    </row>
    <row r="158" customFormat="false" ht="12.75" hidden="false" customHeight="false" outlineLevel="0" collapsed="false">
      <c r="A158" s="78"/>
      <c r="B158" s="207" t="s">
        <v>250</v>
      </c>
      <c r="C158" s="207" t="n">
        <v>11</v>
      </c>
      <c r="D158" s="78"/>
      <c r="E158" s="79" t="n">
        <v>11.156</v>
      </c>
      <c r="F158" s="79" t="n">
        <f aca="false">C158-E158</f>
        <v>-0.156000000000001</v>
      </c>
      <c r="G158" s="199" t="n">
        <v>11.5</v>
      </c>
      <c r="H158" s="78"/>
      <c r="I158" s="202" t="s">
        <v>251</v>
      </c>
      <c r="J158" s="78" t="n">
        <v>6173</v>
      </c>
      <c r="K158" s="203" t="n">
        <v>1000</v>
      </c>
      <c r="L158" s="78"/>
    </row>
    <row r="159" customFormat="false" ht="12.75" hidden="false" customHeight="false" outlineLevel="0" collapsed="false">
      <c r="A159" s="78"/>
      <c r="B159" s="200" t="s">
        <v>252</v>
      </c>
      <c r="C159" s="201" t="n">
        <v>0.5</v>
      </c>
      <c r="D159" s="78"/>
      <c r="E159" s="79" t="n">
        <v>0.5</v>
      </c>
      <c r="F159" s="79" t="n">
        <f aca="false">C159-E159</f>
        <v>0</v>
      </c>
      <c r="G159" s="199" t="n">
        <v>0.3</v>
      </c>
      <c r="H159" s="78"/>
      <c r="I159" s="202" t="s">
        <v>253</v>
      </c>
      <c r="J159" s="78" t="n">
        <v>6210</v>
      </c>
      <c r="K159" s="203" t="n">
        <v>7500</v>
      </c>
      <c r="L159" s="78"/>
    </row>
    <row r="160" customFormat="false" ht="12.75" hidden="false" customHeight="false" outlineLevel="0" collapsed="false">
      <c r="A160" s="78"/>
      <c r="B160" s="200" t="s">
        <v>254</v>
      </c>
      <c r="C160" s="201" t="n">
        <v>0.215</v>
      </c>
      <c r="D160" s="78"/>
      <c r="E160" s="79" t="n">
        <v>0.215</v>
      </c>
      <c r="F160" s="79" t="n">
        <f aca="false">C160-E160</f>
        <v>0</v>
      </c>
      <c r="G160" s="199" t="n">
        <v>0.215</v>
      </c>
      <c r="H160" s="78"/>
      <c r="I160" s="202" t="s">
        <v>255</v>
      </c>
      <c r="J160" s="78" t="n">
        <v>5097</v>
      </c>
      <c r="K160" s="205" t="n">
        <v>0</v>
      </c>
      <c r="L160" s="78" t="n">
        <v>7307</v>
      </c>
    </row>
    <row r="161" customFormat="false" ht="12.75" hidden="false" customHeight="false" outlineLevel="0" collapsed="false">
      <c r="A161" s="78"/>
      <c r="B161" s="200" t="s">
        <v>62</v>
      </c>
      <c r="C161" s="201" t="n">
        <v>0.8</v>
      </c>
      <c r="D161" s="78"/>
      <c r="E161" s="79" t="n">
        <v>0.9</v>
      </c>
      <c r="F161" s="79" t="n">
        <f aca="false">C161-E161</f>
        <v>-0.1</v>
      </c>
      <c r="G161" s="199" t="n">
        <v>0.9</v>
      </c>
      <c r="H161" s="78"/>
      <c r="I161" s="202" t="s">
        <v>256</v>
      </c>
      <c r="J161" s="78" t="s">
        <v>257</v>
      </c>
      <c r="K161" s="203" t="n">
        <f aca="false">200+60</f>
        <v>260</v>
      </c>
      <c r="L161" s="78" t="s">
        <v>258</v>
      </c>
    </row>
    <row r="162" customFormat="false" ht="12.75" hidden="false" customHeight="false" outlineLevel="0" collapsed="false">
      <c r="A162" s="78"/>
      <c r="B162" s="200" t="s">
        <v>259</v>
      </c>
      <c r="C162" s="199" t="n">
        <v>0</v>
      </c>
      <c r="D162" s="78"/>
      <c r="E162" s="79" t="n">
        <v>0</v>
      </c>
      <c r="F162" s="79" t="n">
        <f aca="false">C162-E162</f>
        <v>0</v>
      </c>
      <c r="G162" s="199" t="n">
        <v>0.08</v>
      </c>
      <c r="H162" s="78"/>
      <c r="I162" s="202" t="s">
        <v>260</v>
      </c>
      <c r="J162" s="78"/>
      <c r="K162" s="203" t="n">
        <v>800</v>
      </c>
      <c r="L162" s="78"/>
    </row>
    <row r="163" customFormat="false" ht="12.75" hidden="false" customHeight="false" outlineLevel="0" collapsed="false">
      <c r="A163" s="78"/>
      <c r="B163" s="200" t="s">
        <v>261</v>
      </c>
      <c r="C163" s="200" t="n">
        <v>0</v>
      </c>
      <c r="D163" s="78"/>
      <c r="E163" s="79" t="n">
        <v>0</v>
      </c>
      <c r="F163" s="79" t="n">
        <f aca="false">C163-E163</f>
        <v>0</v>
      </c>
      <c r="G163" s="199" t="n">
        <v>0</v>
      </c>
      <c r="H163" s="78"/>
      <c r="I163" s="202" t="s">
        <v>262</v>
      </c>
      <c r="J163" s="78" t="s">
        <v>257</v>
      </c>
      <c r="K163" s="204" t="n">
        <v>0</v>
      </c>
      <c r="L163" s="78"/>
    </row>
    <row r="164" customFormat="false" ht="12.75" hidden="false" customHeight="false" outlineLevel="0" collapsed="false">
      <c r="A164" s="78"/>
      <c r="B164" s="200" t="s">
        <v>263</v>
      </c>
      <c r="C164" s="201" t="n">
        <v>1</v>
      </c>
      <c r="D164" s="78"/>
      <c r="E164" s="79" t="n">
        <v>1</v>
      </c>
      <c r="F164" s="79" t="n">
        <f aca="false">C164-E164</f>
        <v>0</v>
      </c>
      <c r="G164" s="199" t="n">
        <v>1.5</v>
      </c>
      <c r="H164" s="78"/>
      <c r="I164" s="202" t="s">
        <v>264</v>
      </c>
      <c r="J164" s="78" t="n">
        <v>5310</v>
      </c>
      <c r="K164" s="203" t="n">
        <v>138</v>
      </c>
      <c r="L164" s="78"/>
    </row>
    <row r="165" customFormat="false" ht="12.75" hidden="false" customHeight="false" outlineLevel="0" collapsed="false">
      <c r="A165" s="78"/>
      <c r="B165" s="200" t="s">
        <v>265</v>
      </c>
      <c r="C165" s="201" t="n">
        <v>1.5</v>
      </c>
      <c r="D165" s="78"/>
      <c r="E165" s="79" t="n">
        <v>1.5</v>
      </c>
      <c r="F165" s="79" t="n">
        <f aca="false">C165-E165</f>
        <v>0</v>
      </c>
      <c r="G165" s="199" t="n">
        <v>1</v>
      </c>
      <c r="H165" s="78"/>
      <c r="I165" s="202" t="s">
        <v>266</v>
      </c>
      <c r="J165" s="78" t="n">
        <v>6553</v>
      </c>
      <c r="K165" s="203" t="n">
        <v>4</v>
      </c>
      <c r="L165" s="78"/>
    </row>
    <row r="166" customFormat="false" ht="12.75" hidden="false" customHeight="false" outlineLevel="0" collapsed="false">
      <c r="A166" s="78"/>
      <c r="B166" s="200" t="s">
        <v>267</v>
      </c>
      <c r="C166" s="201" t="n">
        <v>1.4</v>
      </c>
      <c r="D166" s="78"/>
      <c r="E166" s="79" t="n">
        <v>1.4</v>
      </c>
      <c r="F166" s="79" t="n">
        <f aca="false">C166-E166</f>
        <v>0</v>
      </c>
      <c r="G166" s="199" t="n">
        <v>1.5</v>
      </c>
      <c r="H166" s="78"/>
      <c r="I166" s="202" t="s">
        <v>268</v>
      </c>
      <c r="J166" s="78" t="s">
        <v>269</v>
      </c>
      <c r="K166" s="203" t="n">
        <f aca="false">115</f>
        <v>115</v>
      </c>
      <c r="L166" s="78"/>
    </row>
    <row r="167" customFormat="false" ht="12.75" hidden="false" customHeight="false" outlineLevel="0" collapsed="false">
      <c r="A167" s="78"/>
      <c r="B167" s="200" t="s">
        <v>270</v>
      </c>
      <c r="C167" s="200" t="n">
        <v>0</v>
      </c>
      <c r="D167" s="202"/>
      <c r="E167" s="79" t="n">
        <v>25.217</v>
      </c>
      <c r="F167" s="79" t="n">
        <f aca="false">C167-E167</f>
        <v>-25.217</v>
      </c>
      <c r="G167" s="199" t="n">
        <v>1.4</v>
      </c>
      <c r="H167" s="78"/>
      <c r="I167" s="202" t="s">
        <v>271</v>
      </c>
      <c r="J167" s="78" t="n">
        <v>6534</v>
      </c>
      <c r="K167" s="203" t="n">
        <v>2000</v>
      </c>
      <c r="L167" s="78"/>
    </row>
    <row r="168" customFormat="false" ht="12.75" hidden="false" customHeight="false" outlineLevel="0" collapsed="false">
      <c r="A168" s="78"/>
      <c r="B168" s="200" t="s">
        <v>272</v>
      </c>
      <c r="C168" s="201" t="n">
        <v>5.975</v>
      </c>
      <c r="D168" s="78"/>
      <c r="E168" s="79" t="n">
        <v>5.975</v>
      </c>
      <c r="F168" s="79" t="n">
        <f aca="false">C168-E168</f>
        <v>0</v>
      </c>
      <c r="G168" s="199" t="n">
        <v>25</v>
      </c>
      <c r="H168" s="78"/>
      <c r="I168" s="202" t="s">
        <v>273</v>
      </c>
      <c r="J168" s="78" t="n">
        <v>6614</v>
      </c>
      <c r="K168" s="204" t="n">
        <v>0</v>
      </c>
      <c r="L168" s="78"/>
    </row>
    <row r="169" customFormat="false" ht="12.75" hidden="false" customHeight="false" outlineLevel="0" collapsed="false">
      <c r="A169" s="78"/>
      <c r="B169" s="200" t="s">
        <v>274</v>
      </c>
      <c r="C169" s="201" t="n">
        <v>15</v>
      </c>
      <c r="D169" s="78"/>
      <c r="E169" s="79" t="n">
        <v>10</v>
      </c>
      <c r="F169" s="79" t="n">
        <f aca="false">C169-E169</f>
        <v>5</v>
      </c>
      <c r="G169" s="199" t="n">
        <v>5.975</v>
      </c>
      <c r="H169" s="78"/>
      <c r="I169" s="202" t="s">
        <v>275</v>
      </c>
      <c r="J169" s="78" t="n">
        <v>6542</v>
      </c>
      <c r="K169" s="203" t="n">
        <v>1</v>
      </c>
      <c r="L169" s="78"/>
    </row>
    <row r="170" customFormat="false" ht="12.75" hidden="false" customHeight="false" outlineLevel="0" collapsed="false">
      <c r="A170" s="78"/>
      <c r="B170" s="200" t="s">
        <v>276</v>
      </c>
      <c r="C170" s="201" t="n">
        <v>0.05</v>
      </c>
      <c r="D170" s="78"/>
      <c r="E170" s="79" t="n">
        <v>0.05</v>
      </c>
      <c r="F170" s="79" t="n">
        <f aca="false">C170-E170</f>
        <v>0</v>
      </c>
      <c r="G170" s="199" t="n">
        <v>10</v>
      </c>
      <c r="H170" s="78"/>
      <c r="I170" s="202" t="s">
        <v>277</v>
      </c>
      <c r="J170" s="78" t="n">
        <v>5310</v>
      </c>
      <c r="K170" s="203" t="n">
        <v>184</v>
      </c>
      <c r="L170" s="78"/>
    </row>
    <row r="171" customFormat="false" ht="12.75" hidden="false" customHeight="false" outlineLevel="0" collapsed="false">
      <c r="A171" s="78"/>
      <c r="B171" s="200" t="s">
        <v>278</v>
      </c>
      <c r="C171" s="201" t="n">
        <v>0.6</v>
      </c>
      <c r="D171" s="78"/>
      <c r="E171" s="79" t="n">
        <v>0.713</v>
      </c>
      <c r="F171" s="79" t="n">
        <f aca="false">C171-E171</f>
        <v>-0.113</v>
      </c>
      <c r="G171" s="199" t="n">
        <v>0.05</v>
      </c>
      <c r="H171" s="78"/>
      <c r="I171" s="202" t="s">
        <v>279</v>
      </c>
      <c r="J171" s="78" t="n">
        <v>5310</v>
      </c>
      <c r="K171" s="203" t="n">
        <v>1200</v>
      </c>
      <c r="L171" s="78"/>
    </row>
    <row r="172" customFormat="false" ht="12.75" hidden="false" customHeight="false" outlineLevel="0" collapsed="false">
      <c r="A172" s="78"/>
      <c r="B172" s="200" t="s">
        <v>280</v>
      </c>
      <c r="C172" s="201" t="n">
        <v>0.24</v>
      </c>
      <c r="D172" s="78"/>
      <c r="E172" s="79" t="n">
        <v>1.2</v>
      </c>
      <c r="F172" s="79" t="n">
        <f aca="false">C172-E172</f>
        <v>-0.96</v>
      </c>
      <c r="G172" s="199" t="n">
        <v>0.713</v>
      </c>
      <c r="H172" s="78"/>
      <c r="I172" s="202" t="s">
        <v>281</v>
      </c>
      <c r="J172" s="78"/>
      <c r="K172" s="202" t="n">
        <v>0</v>
      </c>
      <c r="L172" s="78"/>
    </row>
    <row r="173" customFormat="false" ht="12.75" hidden="false" customHeight="false" outlineLevel="0" collapsed="false">
      <c r="A173" s="78"/>
      <c r="B173" s="200" t="s">
        <v>119</v>
      </c>
      <c r="C173" s="199" t="n">
        <v>0</v>
      </c>
      <c r="D173" s="78"/>
      <c r="E173" s="79" t="n">
        <v>0</v>
      </c>
      <c r="F173" s="79" t="n">
        <f aca="false">C173-E173</f>
        <v>0</v>
      </c>
      <c r="G173" s="199" t="n">
        <v>1.2</v>
      </c>
      <c r="H173" s="78"/>
      <c r="I173" s="202" t="s">
        <v>282</v>
      </c>
      <c r="J173" s="78"/>
      <c r="K173" s="202" t="n">
        <v>0</v>
      </c>
      <c r="L173" s="78"/>
    </row>
    <row r="174" customFormat="false" ht="12.75" hidden="false" customHeight="false" outlineLevel="0" collapsed="false">
      <c r="A174" s="78"/>
      <c r="B174" s="200" t="s">
        <v>283</v>
      </c>
      <c r="C174" s="201" t="n">
        <v>10</v>
      </c>
      <c r="D174" s="78"/>
      <c r="E174" s="79" t="n">
        <v>10</v>
      </c>
      <c r="F174" s="79" t="n">
        <f aca="false">C174-E174</f>
        <v>0</v>
      </c>
      <c r="G174" s="199" t="n">
        <v>5</v>
      </c>
      <c r="H174" s="78"/>
      <c r="I174" s="202" t="s">
        <v>284</v>
      </c>
      <c r="J174" s="78"/>
      <c r="K174" s="202" t="n">
        <v>0</v>
      </c>
      <c r="L174" s="78"/>
    </row>
    <row r="175" customFormat="false" ht="12.75" hidden="false" customHeight="false" outlineLevel="0" collapsed="false">
      <c r="A175" s="78"/>
      <c r="B175" s="200"/>
      <c r="C175" s="201"/>
      <c r="D175" s="78"/>
      <c r="E175" s="79"/>
      <c r="F175" s="79"/>
      <c r="G175" s="199"/>
      <c r="H175" s="78"/>
      <c r="I175" s="202" t="s">
        <v>285</v>
      </c>
      <c r="J175" s="78"/>
      <c r="K175" s="202" t="n">
        <v>0</v>
      </c>
      <c r="L175" s="78"/>
    </row>
    <row r="176" customFormat="false" ht="12.75" hidden="false" customHeight="false" outlineLevel="0" collapsed="false">
      <c r="A176" s="78"/>
      <c r="B176" s="200" t="s">
        <v>286</v>
      </c>
      <c r="C176" s="201" t="n">
        <v>0.45</v>
      </c>
      <c r="D176" s="78"/>
      <c r="E176" s="79" t="n">
        <v>0.45</v>
      </c>
      <c r="F176" s="79" t="n">
        <f aca="false">C176-E176</f>
        <v>0</v>
      </c>
      <c r="G176" s="199" t="n">
        <v>10</v>
      </c>
      <c r="H176" s="78"/>
      <c r="I176" s="202" t="s">
        <v>287</v>
      </c>
      <c r="J176" s="78"/>
      <c r="K176" s="202" t="n">
        <v>0</v>
      </c>
      <c r="L176" s="78"/>
    </row>
    <row r="177" customFormat="false" ht="12.75" hidden="false" customHeight="false" outlineLevel="0" collapsed="false">
      <c r="A177" s="78"/>
      <c r="B177" s="79" t="s">
        <v>288</v>
      </c>
      <c r="C177" s="79" t="n">
        <v>0</v>
      </c>
      <c r="D177" s="78"/>
      <c r="E177" s="79" t="n">
        <v>0</v>
      </c>
      <c r="F177" s="79" t="n">
        <f aca="false">C177-E177</f>
        <v>0</v>
      </c>
      <c r="G177" s="199" t="n">
        <v>0.45</v>
      </c>
      <c r="H177" s="78"/>
      <c r="I177" s="202" t="s">
        <v>289</v>
      </c>
      <c r="J177" s="78" t="n">
        <v>7211</v>
      </c>
      <c r="K177" s="203" t="n">
        <v>1000</v>
      </c>
      <c r="L177" s="78"/>
    </row>
    <row r="178" customFormat="false" ht="12.75" hidden="false" customHeight="false" outlineLevel="0" collapsed="false">
      <c r="A178" s="78"/>
      <c r="B178" s="200" t="s">
        <v>290</v>
      </c>
      <c r="C178" s="201" t="n">
        <v>20</v>
      </c>
      <c r="D178" s="78"/>
      <c r="E178" s="79" t="n">
        <v>20</v>
      </c>
      <c r="F178" s="79" t="n">
        <f aca="false">C178-E178</f>
        <v>0</v>
      </c>
      <c r="G178" s="199" t="n">
        <v>19</v>
      </c>
      <c r="H178" s="78"/>
      <c r="I178" s="202" t="s">
        <v>291</v>
      </c>
      <c r="J178" s="78" t="n">
        <v>6722</v>
      </c>
      <c r="K178" s="203" t="n">
        <v>48</v>
      </c>
      <c r="L178" s="78" t="n">
        <v>12500</v>
      </c>
    </row>
    <row r="179" customFormat="false" ht="12.75" hidden="false" customHeight="false" outlineLevel="0" collapsed="false">
      <c r="A179" s="78"/>
      <c r="B179" s="200" t="s">
        <v>292</v>
      </c>
      <c r="C179" s="201" t="n">
        <v>1.5</v>
      </c>
      <c r="D179" s="78"/>
      <c r="E179" s="79" t="n">
        <v>1.5</v>
      </c>
      <c r="F179" s="79" t="n">
        <f aca="false">C179-E179</f>
        <v>0</v>
      </c>
      <c r="G179" s="199" t="n">
        <v>10</v>
      </c>
      <c r="H179" s="78"/>
      <c r="I179" s="202" t="s">
        <v>293</v>
      </c>
      <c r="J179" s="78"/>
      <c r="K179" s="203" t="n">
        <v>845</v>
      </c>
      <c r="L179" s="78"/>
    </row>
    <row r="180" customFormat="false" ht="12.75" hidden="false" customHeight="false" outlineLevel="0" collapsed="false">
      <c r="A180" s="78"/>
      <c r="B180" s="79" t="s">
        <v>125</v>
      </c>
      <c r="C180" s="79" t="n">
        <v>0</v>
      </c>
      <c r="D180" s="78"/>
      <c r="E180" s="79" t="n">
        <v>0</v>
      </c>
      <c r="F180" s="79" t="n">
        <f aca="false">C180-E180</f>
        <v>0</v>
      </c>
      <c r="G180" s="199" t="n">
        <v>1.5</v>
      </c>
      <c r="H180" s="78"/>
      <c r="I180" s="202" t="s">
        <v>294</v>
      </c>
      <c r="J180" s="78" t="n">
        <v>4063</v>
      </c>
      <c r="K180" s="203" t="n">
        <v>231</v>
      </c>
      <c r="L180" s="78"/>
    </row>
    <row r="181" customFormat="false" ht="12.75" hidden="false" customHeight="false" outlineLevel="0" collapsed="false">
      <c r="A181" s="78"/>
      <c r="B181" s="79"/>
      <c r="C181" s="79"/>
      <c r="D181" s="78"/>
      <c r="E181" s="79"/>
      <c r="F181" s="79"/>
      <c r="G181" s="199"/>
      <c r="H181" s="78"/>
      <c r="I181" s="202" t="s">
        <v>117</v>
      </c>
      <c r="J181" s="78" t="n">
        <v>3405</v>
      </c>
      <c r="K181" s="203" t="n">
        <v>2553</v>
      </c>
      <c r="L181" s="78"/>
    </row>
    <row r="182" customFormat="false" ht="12.75" hidden="false" customHeight="false" outlineLevel="0" collapsed="false">
      <c r="A182" s="78"/>
      <c r="B182" s="79"/>
      <c r="C182" s="79"/>
      <c r="D182" s="78"/>
      <c r="E182" s="79"/>
      <c r="F182" s="79"/>
      <c r="G182" s="199"/>
      <c r="H182" s="78"/>
      <c r="I182" s="202" t="s">
        <v>69</v>
      </c>
      <c r="J182" s="78" t="n">
        <v>9643</v>
      </c>
      <c r="K182" s="203" t="n">
        <v>7000</v>
      </c>
      <c r="L182" s="78"/>
    </row>
    <row r="183" customFormat="false" ht="12.75" hidden="false" customHeight="false" outlineLevel="0" collapsed="false">
      <c r="A183" s="78"/>
      <c r="B183" s="200" t="s">
        <v>295</v>
      </c>
      <c r="C183" s="201" t="n">
        <v>4</v>
      </c>
      <c r="D183" s="78"/>
      <c r="E183" s="79" t="n">
        <v>4</v>
      </c>
      <c r="F183" s="79" t="n">
        <f aca="false">C183-E183</f>
        <v>0</v>
      </c>
      <c r="G183" s="199" t="n">
        <v>4.5</v>
      </c>
      <c r="H183" s="78"/>
      <c r="I183" s="202" t="s">
        <v>296</v>
      </c>
      <c r="J183" s="78" t="n">
        <v>9643</v>
      </c>
      <c r="K183" s="203" t="n">
        <v>4300</v>
      </c>
      <c r="L183" s="78"/>
    </row>
    <row r="184" customFormat="false" ht="12.75" hidden="false" customHeight="false" outlineLevel="0" collapsed="false">
      <c r="A184" s="78"/>
      <c r="B184" s="200" t="s">
        <v>297</v>
      </c>
      <c r="C184" s="201" t="n">
        <v>0.08</v>
      </c>
      <c r="D184" s="78"/>
      <c r="E184" s="79" t="n">
        <v>0.061</v>
      </c>
      <c r="F184" s="79" t="n">
        <f aca="false">C184-E184</f>
        <v>0.019</v>
      </c>
      <c r="G184" s="199" t="n">
        <v>4</v>
      </c>
      <c r="H184" s="78"/>
      <c r="I184" s="202" t="s">
        <v>298</v>
      </c>
      <c r="J184" s="78" t="n">
        <v>6788</v>
      </c>
      <c r="K184" s="203" t="n">
        <v>250</v>
      </c>
      <c r="L184" s="78"/>
    </row>
    <row r="185" customFormat="false" ht="12.75" hidden="false" customHeight="false" outlineLevel="0" collapsed="false">
      <c r="A185" s="78"/>
      <c r="B185" s="200" t="s">
        <v>299</v>
      </c>
      <c r="C185" s="201" t="n">
        <v>40</v>
      </c>
      <c r="D185" s="78"/>
      <c r="E185" s="79" t="n">
        <v>41.425</v>
      </c>
      <c r="F185" s="210" t="n">
        <f aca="false">C185-E185</f>
        <v>-1.425</v>
      </c>
      <c r="G185" s="199" t="n">
        <v>0.061</v>
      </c>
      <c r="H185" s="78"/>
      <c r="I185" s="202" t="s">
        <v>300</v>
      </c>
      <c r="J185" s="78" t="n">
        <v>6683</v>
      </c>
      <c r="K185" s="203" t="n">
        <v>2800</v>
      </c>
      <c r="L185" s="78" t="n">
        <v>863</v>
      </c>
    </row>
    <row r="186" customFormat="false" ht="12.75" hidden="false" customHeight="false" outlineLevel="0" collapsed="false">
      <c r="A186" s="78"/>
      <c r="B186" s="200" t="s">
        <v>31</v>
      </c>
      <c r="C186" s="201" t="n">
        <v>19</v>
      </c>
      <c r="D186" s="78"/>
      <c r="E186" s="79" t="n">
        <v>18.899</v>
      </c>
      <c r="F186" s="79" t="n">
        <f aca="false">C186-E186</f>
        <v>0.100999999999999</v>
      </c>
      <c r="G186" s="199" t="n">
        <v>40</v>
      </c>
      <c r="H186" s="78"/>
      <c r="I186" s="202" t="s">
        <v>301</v>
      </c>
      <c r="J186" s="78" t="n">
        <v>2185</v>
      </c>
      <c r="K186" s="203" t="n">
        <v>35</v>
      </c>
      <c r="L186" s="78"/>
    </row>
    <row r="187" customFormat="false" ht="12.75" hidden="false" customHeight="false" outlineLevel="0" collapsed="false">
      <c r="A187" s="78"/>
      <c r="B187" s="200" t="s">
        <v>302</v>
      </c>
      <c r="C187" s="201" t="n">
        <v>1</v>
      </c>
      <c r="D187" s="78"/>
      <c r="E187" s="79" t="n">
        <v>1</v>
      </c>
      <c r="F187" s="79" t="n">
        <f aca="false">C187-E187</f>
        <v>0</v>
      </c>
      <c r="G187" s="199" t="n">
        <v>20</v>
      </c>
      <c r="H187" s="78"/>
      <c r="I187" s="202" t="s">
        <v>303</v>
      </c>
      <c r="J187" s="78" t="n">
        <v>6296</v>
      </c>
      <c r="K187" s="203" t="n">
        <v>36</v>
      </c>
      <c r="L187" s="78" t="n">
        <v>4581</v>
      </c>
    </row>
    <row r="188" customFormat="false" ht="12.75" hidden="false" customHeight="false" outlineLevel="0" collapsed="false">
      <c r="A188" s="78"/>
      <c r="B188" s="200" t="s">
        <v>185</v>
      </c>
      <c r="C188" s="200" t="n">
        <v>0</v>
      </c>
      <c r="D188" s="78"/>
      <c r="E188" s="79" t="n">
        <v>0</v>
      </c>
      <c r="F188" s="79" t="n">
        <f aca="false">C188-E188</f>
        <v>0</v>
      </c>
      <c r="G188" s="199" t="n">
        <v>1</v>
      </c>
      <c r="H188" s="78"/>
      <c r="I188" s="202" t="s">
        <v>304</v>
      </c>
      <c r="J188" s="78" t="n">
        <v>5053</v>
      </c>
      <c r="K188" s="212" t="n">
        <v>1000</v>
      </c>
      <c r="L188" s="78"/>
    </row>
    <row r="189" customFormat="false" ht="12.75" hidden="false" customHeight="false" outlineLevel="0" collapsed="false">
      <c r="A189" s="78"/>
      <c r="B189" s="200" t="s">
        <v>305</v>
      </c>
      <c r="C189" s="201" t="n">
        <v>1</v>
      </c>
      <c r="D189" s="78"/>
      <c r="E189" s="79" t="n">
        <v>1</v>
      </c>
      <c r="F189" s="79" t="n">
        <f aca="false">C189-E189</f>
        <v>0</v>
      </c>
      <c r="G189" s="199" t="n">
        <v>10</v>
      </c>
      <c r="H189" s="78"/>
      <c r="I189" s="202" t="s">
        <v>306</v>
      </c>
      <c r="J189" s="78" t="s">
        <v>307</v>
      </c>
      <c r="K189" s="203" t="n">
        <f aca="false">1+8000+677</f>
        <v>8678</v>
      </c>
      <c r="L189" s="78" t="n">
        <v>10</v>
      </c>
    </row>
    <row r="190" customFormat="false" ht="12.75" hidden="false" customHeight="false" outlineLevel="0" collapsed="false">
      <c r="A190" s="78"/>
      <c r="B190" s="200" t="s">
        <v>308</v>
      </c>
      <c r="C190" s="201" t="n">
        <v>65</v>
      </c>
      <c r="D190" s="78"/>
      <c r="E190" s="79" t="n">
        <v>67.478</v>
      </c>
      <c r="F190" s="79" t="n">
        <f aca="false">C190-E190</f>
        <v>-2.47799999999999</v>
      </c>
      <c r="G190" s="199" t="n">
        <v>1</v>
      </c>
      <c r="H190" s="78"/>
      <c r="I190" s="202" t="s">
        <v>309</v>
      </c>
      <c r="J190" s="78" t="n">
        <v>4132</v>
      </c>
      <c r="K190" s="203" t="n">
        <v>8</v>
      </c>
      <c r="L190" s="78"/>
    </row>
    <row r="191" customFormat="false" ht="12.75" hidden="false" customHeight="false" outlineLevel="0" collapsed="false">
      <c r="A191" s="78"/>
      <c r="B191" s="200" t="s">
        <v>310</v>
      </c>
      <c r="C191" s="201" t="n">
        <v>0.2</v>
      </c>
      <c r="D191" s="78"/>
      <c r="E191" s="79" t="n">
        <v>0.2</v>
      </c>
      <c r="F191" s="79" t="n">
        <f aca="false">C191-E191</f>
        <v>0</v>
      </c>
      <c r="G191" s="199" t="n">
        <v>65</v>
      </c>
      <c r="H191" s="78"/>
      <c r="I191" s="202" t="s">
        <v>118</v>
      </c>
      <c r="J191" s="78" t="n">
        <v>2540</v>
      </c>
      <c r="K191" s="205" t="n">
        <v>0</v>
      </c>
      <c r="L191" s="78"/>
    </row>
    <row r="192" customFormat="false" ht="12.75" hidden="false" customHeight="false" outlineLevel="0" collapsed="false">
      <c r="A192" s="78"/>
      <c r="B192" s="200" t="s">
        <v>311</v>
      </c>
      <c r="C192" s="201" t="n">
        <v>0.043</v>
      </c>
      <c r="D192" s="78"/>
      <c r="E192" s="79"/>
      <c r="F192" s="79"/>
      <c r="G192" s="199"/>
      <c r="H192" s="78"/>
      <c r="I192" s="202" t="s">
        <v>312</v>
      </c>
      <c r="J192" s="78" t="n">
        <v>3405</v>
      </c>
      <c r="K192" s="203" t="n">
        <v>15</v>
      </c>
      <c r="L192" s="78"/>
    </row>
    <row r="193" customFormat="false" ht="12.75" hidden="false" customHeight="false" outlineLevel="0" collapsed="false">
      <c r="A193" s="78"/>
      <c r="B193" s="200" t="s">
        <v>313</v>
      </c>
      <c r="C193" s="201" t="n">
        <v>4</v>
      </c>
      <c r="D193" s="78"/>
      <c r="E193" s="79" t="n">
        <v>4.665</v>
      </c>
      <c r="F193" s="79" t="n">
        <f aca="false">C193-E193</f>
        <v>-0.665</v>
      </c>
      <c r="G193" s="199" t="n">
        <v>0.2</v>
      </c>
      <c r="H193" s="78"/>
      <c r="I193" s="202" t="s">
        <v>312</v>
      </c>
      <c r="J193" s="78" t="n">
        <v>5801</v>
      </c>
      <c r="K193" s="203" t="n">
        <v>1</v>
      </c>
      <c r="L193" s="78"/>
    </row>
    <row r="194" customFormat="false" ht="12.75" hidden="false" customHeight="false" outlineLevel="0" collapsed="false">
      <c r="A194" s="78"/>
      <c r="B194" s="200" t="s">
        <v>314</v>
      </c>
      <c r="C194" s="201" t="n">
        <v>0.05</v>
      </c>
      <c r="D194" s="78"/>
      <c r="E194" s="79" t="n">
        <v>0.05</v>
      </c>
      <c r="F194" s="79" t="n">
        <f aca="false">C194-E194</f>
        <v>0</v>
      </c>
      <c r="G194" s="199" t="n">
        <v>4</v>
      </c>
      <c r="H194" s="78"/>
      <c r="I194" s="202" t="s">
        <v>315</v>
      </c>
      <c r="J194" s="78" t="n">
        <v>6589</v>
      </c>
      <c r="K194" s="203" t="n">
        <v>1100</v>
      </c>
      <c r="L194" s="78"/>
    </row>
    <row r="195" customFormat="false" ht="12.75" hidden="false" customHeight="false" outlineLevel="0" collapsed="false">
      <c r="A195" s="78"/>
      <c r="B195" s="79" t="s">
        <v>216</v>
      </c>
      <c r="C195" s="79" t="n">
        <v>0</v>
      </c>
      <c r="D195" s="78"/>
      <c r="E195" s="79" t="n">
        <v>0</v>
      </c>
      <c r="F195" s="79" t="n">
        <f aca="false">C195-E195</f>
        <v>0</v>
      </c>
      <c r="G195" s="199" t="n">
        <v>0.05</v>
      </c>
      <c r="H195" s="78"/>
      <c r="I195" s="202" t="s">
        <v>316</v>
      </c>
      <c r="J195" s="78" t="n">
        <v>106</v>
      </c>
      <c r="K195" s="203" t="n">
        <v>1068</v>
      </c>
      <c r="L195" s="78"/>
    </row>
    <row r="196" customFormat="false" ht="12.75" hidden="false" customHeight="false" outlineLevel="0" collapsed="false">
      <c r="A196" s="78"/>
      <c r="B196" s="200" t="s">
        <v>317</v>
      </c>
      <c r="C196" s="200" t="n">
        <v>0</v>
      </c>
      <c r="D196" s="78"/>
      <c r="E196" s="79" t="n">
        <v>0</v>
      </c>
      <c r="F196" s="79" t="n">
        <f aca="false">C196-E196</f>
        <v>0</v>
      </c>
      <c r="G196" s="199" t="n">
        <v>0</v>
      </c>
      <c r="H196" s="78"/>
      <c r="I196" s="202" t="s">
        <v>318</v>
      </c>
      <c r="J196" s="78" t="n">
        <v>5053</v>
      </c>
      <c r="K196" s="203" t="n">
        <v>330</v>
      </c>
      <c r="L196" s="78"/>
    </row>
    <row r="197" customFormat="false" ht="12.75" hidden="false" customHeight="false" outlineLevel="0" collapsed="false">
      <c r="B197" s="0" t="s">
        <v>319</v>
      </c>
      <c r="C197" s="79" t="n">
        <v>0</v>
      </c>
      <c r="D197" s="78" t="s">
        <v>320</v>
      </c>
      <c r="E197" s="79" t="n">
        <v>0</v>
      </c>
      <c r="F197" s="79" t="n">
        <f aca="false">C197-E197</f>
        <v>0</v>
      </c>
      <c r="G197" s="199" t="n">
        <v>12.5</v>
      </c>
      <c r="H197" s="78"/>
      <c r="I197" s="202" t="s">
        <v>321</v>
      </c>
      <c r="J197" s="78" t="n">
        <v>6598</v>
      </c>
      <c r="K197" s="203" t="n">
        <v>4206</v>
      </c>
      <c r="L197" s="78" t="s">
        <v>224</v>
      </c>
    </row>
    <row r="198" customFormat="false" ht="12.75" hidden="false" customHeight="false" outlineLevel="0" collapsed="false">
      <c r="B198" s="0" t="s">
        <v>322</v>
      </c>
      <c r="C198" s="79" t="n">
        <v>0</v>
      </c>
      <c r="D198" s="78"/>
      <c r="E198" s="79" t="n">
        <v>0</v>
      </c>
      <c r="F198" s="79" t="n">
        <f aca="false">C198-E198</f>
        <v>0</v>
      </c>
      <c r="G198" s="199" t="n">
        <v>0</v>
      </c>
      <c r="H198" s="78"/>
      <c r="I198" s="79"/>
      <c r="J198" s="78"/>
      <c r="K198" s="204"/>
    </row>
    <row r="199" customFormat="false" ht="12.75" hidden="false" customHeight="false" outlineLevel="0" collapsed="false">
      <c r="B199" s="0"/>
      <c r="C199" s="213" t="n">
        <f aca="false">SUM(C117:C198)</f>
        <v>416.474</v>
      </c>
      <c r="D199" s="78"/>
      <c r="E199" s="213" t="n">
        <f aca="false">SUM(E117:E198)</f>
        <v>472.433</v>
      </c>
      <c r="F199" s="79" t="n">
        <f aca="false">C198-E198</f>
        <v>0</v>
      </c>
      <c r="G199" s="202"/>
      <c r="H199" s="78"/>
      <c r="I199" s="78"/>
      <c r="J199" s="78"/>
      <c r="K199" s="214" t="n">
        <f aca="false">SUM(K117:K198)</f>
        <v>93742</v>
      </c>
    </row>
    <row r="200" customFormat="false" ht="12.75" hidden="false" customHeight="false" outlineLevel="0" collapsed="false">
      <c r="B200" s="0"/>
      <c r="C200" s="79"/>
      <c r="D200" s="78"/>
      <c r="E200" s="78"/>
      <c r="F200" s="78"/>
      <c r="G200" s="78"/>
      <c r="H200" s="78"/>
      <c r="I200" s="78"/>
      <c r="J200" s="78"/>
      <c r="K200" s="78"/>
    </row>
    <row r="201" customFormat="false" ht="12.75" hidden="false" customHeight="false" outlineLevel="0" collapsed="false">
      <c r="A201" s="215"/>
      <c r="B201" s="0"/>
      <c r="C201" s="79"/>
      <c r="D201" s="78"/>
      <c r="E201" s="78"/>
      <c r="F201" s="78"/>
      <c r="G201" s="78"/>
      <c r="H201" s="78"/>
      <c r="I201" s="78"/>
      <c r="J201" s="78"/>
      <c r="K201" s="78"/>
    </row>
    <row r="202" customFormat="false" ht="12.75" hidden="false" customHeight="false" outlineLevel="0" collapsed="false">
      <c r="B202" s="0"/>
      <c r="C202" s="79"/>
      <c r="D202" s="78"/>
      <c r="E202" s="78"/>
      <c r="F202" s="78"/>
      <c r="G202" s="78"/>
      <c r="H202" s="78"/>
      <c r="I202" s="78"/>
      <c r="J202" s="78"/>
      <c r="K202" s="78"/>
    </row>
    <row r="203" customFormat="false" ht="12.75" hidden="false" customHeight="false" outlineLevel="0" collapsed="false">
      <c r="B203" s="216" t="s">
        <v>11</v>
      </c>
      <c r="C203" s="200" t="n">
        <v>0</v>
      </c>
      <c r="D203" s="78"/>
      <c r="E203" s="78"/>
      <c r="F203" s="78"/>
      <c r="G203" s="78"/>
      <c r="H203" s="78"/>
      <c r="I203" s="78"/>
      <c r="J203" s="78"/>
      <c r="K203" s="78"/>
    </row>
    <row r="204" customFormat="false" ht="12.75" hidden="false" customHeight="false" outlineLevel="0" collapsed="false">
      <c r="B204" s="216" t="s">
        <v>9</v>
      </c>
      <c r="C204" s="200" t="n">
        <v>0</v>
      </c>
      <c r="D204" s="78" t="n">
        <v>3</v>
      </c>
      <c r="E204" s="78"/>
      <c r="F204" s="78"/>
      <c r="G204" s="78"/>
      <c r="H204" s="78"/>
      <c r="I204" s="78"/>
      <c r="J204" s="78"/>
      <c r="K204" s="78"/>
    </row>
    <row r="205" customFormat="false" ht="12.75" hidden="false" customHeight="false" outlineLevel="0" collapsed="false">
      <c r="B205" s="216" t="s">
        <v>323</v>
      </c>
      <c r="C205" s="200" t="n">
        <v>0</v>
      </c>
      <c r="D205" s="78" t="s">
        <v>324</v>
      </c>
      <c r="E205" s="78"/>
      <c r="F205" s="78"/>
      <c r="G205" s="78"/>
      <c r="H205" s="78"/>
      <c r="I205" s="79"/>
      <c r="J205" s="78"/>
      <c r="K205" s="78"/>
    </row>
    <row r="206" customFormat="false" ht="12.75" hidden="false" customHeight="false" outlineLevel="0" collapsed="false">
      <c r="B206" s="216" t="s">
        <v>15</v>
      </c>
      <c r="C206" s="200" t="n">
        <v>0</v>
      </c>
      <c r="D206" s="78"/>
      <c r="E206" s="78"/>
      <c r="F206" s="78" t="n">
        <v>5</v>
      </c>
      <c r="G206" s="78"/>
      <c r="H206" s="78"/>
      <c r="I206" s="78"/>
      <c r="J206" s="78"/>
    </row>
    <row r="207" customFormat="false" ht="12.75" hidden="false" customHeight="false" outlineLevel="0" collapsed="false">
      <c r="B207" s="216" t="s">
        <v>227</v>
      </c>
      <c r="C207" s="200" t="n">
        <v>0</v>
      </c>
      <c r="D207" s="78" t="s">
        <v>325</v>
      </c>
      <c r="E207" s="78"/>
      <c r="F207" s="78" t="n">
        <v>10</v>
      </c>
      <c r="G207" s="78"/>
      <c r="H207" s="78"/>
      <c r="I207" s="78"/>
      <c r="J207" s="78"/>
    </row>
    <row r="208" customFormat="false" ht="12.75" hidden="false" customHeight="false" outlineLevel="0" collapsed="false">
      <c r="B208" s="216" t="s">
        <v>53</v>
      </c>
      <c r="C208" s="200" t="n">
        <v>0</v>
      </c>
      <c r="D208" s="78"/>
      <c r="E208" s="78"/>
      <c r="F208" s="78"/>
      <c r="G208" s="78"/>
      <c r="H208" s="78"/>
      <c r="I208" s="78"/>
      <c r="J208" s="78"/>
    </row>
    <row r="209" customFormat="false" ht="12.75" hidden="false" customHeight="false" outlineLevel="0" collapsed="false">
      <c r="B209" s="216" t="s">
        <v>21</v>
      </c>
      <c r="C209" s="200" t="n">
        <v>0</v>
      </c>
      <c r="D209" s="78"/>
      <c r="E209" s="78"/>
      <c r="F209" s="78"/>
      <c r="G209" s="78"/>
      <c r="H209" s="78"/>
      <c r="I209" s="78"/>
      <c r="J209" s="78"/>
    </row>
    <row r="210" customFormat="false" ht="12.75" hidden="false" customHeight="false" outlineLevel="0" collapsed="false">
      <c r="B210" s="216" t="s">
        <v>19</v>
      </c>
      <c r="C210" s="200" t="n">
        <v>0</v>
      </c>
      <c r="D210" s="78" t="s">
        <v>324</v>
      </c>
      <c r="E210" s="78"/>
      <c r="F210" s="78" t="n">
        <v>5</v>
      </c>
      <c r="G210" s="78"/>
      <c r="H210" s="78"/>
      <c r="I210" s="78"/>
      <c r="J210" s="78"/>
    </row>
    <row r="211" customFormat="false" ht="12.75" hidden="false" customHeight="false" outlineLevel="0" collapsed="false">
      <c r="A211" s="1" t="s">
        <v>326</v>
      </c>
      <c r="B211" s="216" t="s">
        <v>23</v>
      </c>
      <c r="C211" s="200" t="n">
        <v>0</v>
      </c>
      <c r="D211" s="78" t="s">
        <v>324</v>
      </c>
      <c r="E211" s="78"/>
      <c r="F211" s="78" t="n">
        <v>15</v>
      </c>
      <c r="G211" s="78"/>
      <c r="H211" s="78"/>
      <c r="I211" s="78"/>
      <c r="J211" s="78"/>
    </row>
    <row r="212" customFormat="false" ht="12.75" hidden="false" customHeight="false" outlineLevel="0" collapsed="false">
      <c r="B212" s="0" t="s">
        <v>250</v>
      </c>
      <c r="C212" s="79" t="n">
        <v>0</v>
      </c>
      <c r="D212" s="78" t="s">
        <v>324</v>
      </c>
      <c r="E212" s="78"/>
      <c r="F212" s="78" t="n">
        <v>15</v>
      </c>
      <c r="G212" s="78"/>
      <c r="H212" s="78"/>
      <c r="I212" s="78"/>
      <c r="J212" s="78"/>
    </row>
    <row r="213" customFormat="false" ht="12.75" hidden="false" customHeight="false" outlineLevel="0" collapsed="false">
      <c r="B213" s="216" t="s">
        <v>270</v>
      </c>
      <c r="C213" s="200" t="n">
        <v>0</v>
      </c>
      <c r="D213" s="78"/>
      <c r="E213" s="78"/>
      <c r="F213" s="78" t="n">
        <v>5</v>
      </c>
      <c r="G213" s="78"/>
      <c r="H213" s="78"/>
      <c r="I213" s="78"/>
      <c r="J213" s="78"/>
    </row>
    <row r="214" customFormat="false" ht="12.75" hidden="false" customHeight="false" outlineLevel="0" collapsed="false">
      <c r="B214" s="216" t="s">
        <v>327</v>
      </c>
      <c r="C214" s="200" t="n">
        <v>0</v>
      </c>
      <c r="D214" s="78" t="s">
        <v>328</v>
      </c>
      <c r="E214" s="78"/>
      <c r="F214" s="78"/>
      <c r="G214" s="78"/>
      <c r="H214" s="78"/>
      <c r="I214" s="78"/>
      <c r="J214" s="78"/>
    </row>
    <row r="215" customFormat="false" ht="12.75" hidden="false" customHeight="false" outlineLevel="0" collapsed="false">
      <c r="B215" s="0" t="s">
        <v>299</v>
      </c>
      <c r="C215" s="199" t="n">
        <v>0</v>
      </c>
      <c r="D215" s="78"/>
      <c r="E215" s="78"/>
      <c r="F215" s="78" t="n">
        <f aca="false">SUM(F206:F214)</f>
        <v>55</v>
      </c>
      <c r="G215" s="78"/>
      <c r="H215" s="78"/>
      <c r="I215" s="78"/>
      <c r="J215" s="78"/>
    </row>
    <row r="216" customFormat="false" ht="12.75" hidden="false" customHeight="false" outlineLevel="0" collapsed="false">
      <c r="B216" s="0" t="s">
        <v>31</v>
      </c>
      <c r="C216" s="199" t="n">
        <v>0</v>
      </c>
      <c r="D216" s="78"/>
      <c r="E216" s="78"/>
      <c r="F216" s="78"/>
      <c r="G216" s="78"/>
      <c r="H216" s="78"/>
      <c r="I216" s="79"/>
      <c r="J216" s="78"/>
    </row>
    <row r="217" customFormat="false" ht="12.75" hidden="false" customHeight="false" outlineLevel="0" collapsed="false">
      <c r="B217" s="0" t="s">
        <v>317</v>
      </c>
      <c r="C217" s="199" t="n">
        <v>0</v>
      </c>
      <c r="D217" s="78"/>
      <c r="E217" s="78"/>
      <c r="F217" s="78"/>
      <c r="G217" s="78"/>
      <c r="H217" s="78"/>
      <c r="I217" s="79"/>
      <c r="J217" s="78"/>
    </row>
    <row r="218" customFormat="false" ht="12.75" hidden="false" customHeight="false" outlineLevel="0" collapsed="false">
      <c r="B218" s="0" t="s">
        <v>329</v>
      </c>
      <c r="C218" s="199" t="n">
        <v>0</v>
      </c>
      <c r="D218" s="78"/>
      <c r="E218" s="78"/>
      <c r="F218" s="78"/>
      <c r="G218" s="78"/>
      <c r="H218" s="78"/>
      <c r="I218" s="78"/>
      <c r="J218" s="78"/>
    </row>
    <row r="219" customFormat="false" ht="12.75" hidden="false" customHeight="false" outlineLevel="0" collapsed="false">
      <c r="B219" s="0" t="s">
        <v>330</v>
      </c>
      <c r="C219" s="217" t="n">
        <f aca="false">SUM(C203:C218)</f>
        <v>0</v>
      </c>
      <c r="D219" s="78"/>
      <c r="F219" s="78"/>
      <c r="G219" s="78"/>
      <c r="H219" s="78"/>
      <c r="I219" s="78"/>
      <c r="J219" s="78"/>
    </row>
    <row r="220" customFormat="false" ht="12.75" hidden="false" customHeight="false" outlineLevel="0" collapsed="false">
      <c r="B220" s="48"/>
      <c r="C220" s="48"/>
      <c r="I220" s="78"/>
      <c r="J220" s="78"/>
    </row>
    <row r="221" customFormat="false" ht="12.75" hidden="false" customHeight="false" outlineLevel="0" collapsed="false">
      <c r="B221" s="0"/>
      <c r="C221" s="0" t="n">
        <f aca="false">C199+C219</f>
        <v>416.474</v>
      </c>
      <c r="I221" s="78"/>
      <c r="J221" s="78"/>
    </row>
    <row r="222" customFormat="false" ht="12.75" hidden="false" customHeight="false" outlineLevel="0" collapsed="false">
      <c r="B222" s="0"/>
      <c r="C222" s="0"/>
      <c r="I222" s="78"/>
      <c r="J222" s="78"/>
    </row>
    <row r="223" customFormat="false" ht="12.75" hidden="false" customHeight="false" outlineLevel="0" collapsed="false">
      <c r="B223" s="0"/>
      <c r="C223" s="0" t="n">
        <f aca="false">E199-C221</f>
        <v>55.9589999999999</v>
      </c>
      <c r="G223" s="218" t="s">
        <v>331</v>
      </c>
      <c r="H223" s="219"/>
      <c r="I223" s="78"/>
      <c r="J223" s="78"/>
      <c r="Q223" s="219"/>
      <c r="R223" s="219"/>
      <c r="S223" s="220"/>
    </row>
    <row r="224" customFormat="false" ht="12.75" hidden="false" customHeight="false" outlineLevel="0" collapsed="false">
      <c r="B224" s="0"/>
      <c r="C224" s="0"/>
      <c r="G224" s="221"/>
      <c r="H224" s="222" t="s">
        <v>332</v>
      </c>
      <c r="I224" s="78"/>
      <c r="J224" s="78"/>
      <c r="N224" s="219"/>
      <c r="O224" s="219"/>
      <c r="P224" s="219"/>
      <c r="Q224" s="223"/>
      <c r="R224" s="223"/>
      <c r="S224" s="181"/>
    </row>
    <row r="225" customFormat="false" ht="12" hidden="false" customHeight="false" outlineLevel="0" collapsed="false">
      <c r="G225" s="224"/>
      <c r="H225" s="87"/>
      <c r="I225" s="78"/>
      <c r="J225" s="78"/>
      <c r="N225" s="223"/>
      <c r="O225" s="223"/>
      <c r="P225" s="223"/>
      <c r="Q225" s="87"/>
      <c r="R225" s="87"/>
      <c r="S225" s="184"/>
    </row>
    <row r="226" customFormat="false" ht="12" hidden="false" customHeight="false" outlineLevel="0" collapsed="false">
      <c r="G226" s="224"/>
      <c r="H226" s="87"/>
      <c r="I226" s="78"/>
      <c r="J226" s="78"/>
      <c r="N226" s="87"/>
      <c r="O226" s="87"/>
      <c r="P226" s="87"/>
      <c r="Q226" s="87"/>
      <c r="R226" s="87"/>
      <c r="S226" s="184"/>
    </row>
    <row r="227" customFormat="false" ht="12.75" hidden="false" customHeight="false" outlineLevel="0" collapsed="false">
      <c r="B227" s="0"/>
      <c r="C227" s="225"/>
      <c r="G227" s="224"/>
      <c r="H227" s="87"/>
      <c r="I227" s="78"/>
      <c r="J227" s="78"/>
      <c r="N227" s="87"/>
      <c r="O227" s="87"/>
      <c r="P227" s="87"/>
      <c r="Q227" s="87"/>
      <c r="R227" s="87"/>
      <c r="S227" s="184"/>
    </row>
    <row r="228" customFormat="false" ht="12.75" hidden="false" customHeight="false" outlineLevel="0" collapsed="false">
      <c r="B228" s="0"/>
      <c r="C228" s="225"/>
      <c r="G228" s="224"/>
      <c r="H228" s="87"/>
      <c r="I228" s="78"/>
      <c r="J228" s="78"/>
      <c r="N228" s="87"/>
      <c r="O228" s="87"/>
      <c r="P228" s="87"/>
      <c r="Q228" s="87"/>
      <c r="R228" s="87"/>
      <c r="S228" s="184"/>
    </row>
    <row r="229" customFormat="false" ht="12.75" hidden="false" customHeight="false" outlineLevel="0" collapsed="false">
      <c r="B229" s="0"/>
      <c r="C229" s="225"/>
      <c r="G229" s="224"/>
      <c r="H229" s="87"/>
      <c r="I229" s="78"/>
      <c r="J229" s="78"/>
      <c r="M229" s="219"/>
      <c r="N229" s="87"/>
      <c r="O229" s="87"/>
      <c r="P229" s="87"/>
      <c r="Q229" s="87"/>
      <c r="R229" s="87"/>
      <c r="S229" s="184"/>
    </row>
    <row r="230" customFormat="false" ht="12.75" hidden="false" customHeight="false" outlineLevel="0" collapsed="false">
      <c r="B230" s="0"/>
      <c r="C230" s="225"/>
      <c r="G230" s="224"/>
      <c r="H230" s="87"/>
      <c r="I230" s="78"/>
      <c r="J230" s="78"/>
      <c r="M230" s="223"/>
      <c r="N230" s="87"/>
      <c r="O230" s="87"/>
      <c r="P230" s="87"/>
      <c r="Q230" s="87"/>
      <c r="R230" s="87"/>
      <c r="S230" s="184"/>
    </row>
    <row r="231" customFormat="false" ht="12.75" hidden="false" customHeight="false" outlineLevel="0" collapsed="false">
      <c r="B231" s="0"/>
      <c r="C231" s="225"/>
      <c r="G231" s="224"/>
      <c r="H231" s="87"/>
      <c r="M231" s="87"/>
      <c r="N231" s="87"/>
      <c r="O231" s="87"/>
      <c r="P231" s="87"/>
      <c r="Q231" s="87"/>
      <c r="R231" s="87"/>
      <c r="S231" s="184"/>
    </row>
    <row r="232" customFormat="false" ht="12.75" hidden="false" customHeight="false" outlineLevel="0" collapsed="false">
      <c r="B232" s="0"/>
      <c r="C232" s="225"/>
      <c r="G232" s="224"/>
      <c r="H232" s="87"/>
      <c r="L232" s="219"/>
      <c r="M232" s="87"/>
      <c r="N232" s="87"/>
      <c r="O232" s="87"/>
      <c r="P232" s="87"/>
      <c r="Q232" s="87"/>
      <c r="R232" s="87"/>
      <c r="S232" s="184"/>
    </row>
    <row r="233" customFormat="false" ht="12.75" hidden="false" customHeight="false" outlineLevel="0" collapsed="false">
      <c r="B233" s="0"/>
      <c r="C233" s="225"/>
      <c r="G233" s="224"/>
      <c r="H233" s="87" t="s">
        <v>333</v>
      </c>
      <c r="L233" s="223"/>
      <c r="M233" s="87"/>
      <c r="N233" s="87"/>
      <c r="O233" s="87"/>
      <c r="P233" s="87"/>
      <c r="Q233" s="87"/>
      <c r="R233" s="87"/>
      <c r="S233" s="184"/>
    </row>
    <row r="234" customFormat="false" ht="12.75" hidden="false" customHeight="false" outlineLevel="0" collapsed="false">
      <c r="B234" s="0"/>
      <c r="C234" s="225"/>
      <c r="G234" s="224"/>
      <c r="H234" s="87"/>
      <c r="L234" s="87"/>
      <c r="M234" s="87"/>
      <c r="N234" s="87"/>
      <c r="O234" s="87"/>
      <c r="P234" s="87"/>
      <c r="Q234" s="87"/>
      <c r="R234" s="87"/>
      <c r="S234" s="184"/>
    </row>
    <row r="235" customFormat="false" ht="12.75" hidden="false" customHeight="false" outlineLevel="0" collapsed="false">
      <c r="B235" s="0"/>
      <c r="C235" s="225"/>
      <c r="G235" s="224"/>
      <c r="H235" s="87"/>
      <c r="I235" s="219"/>
      <c r="J235" s="219"/>
      <c r="K235" s="219"/>
      <c r="L235" s="87"/>
      <c r="M235" s="87"/>
      <c r="N235" s="87"/>
      <c r="O235" s="87"/>
      <c r="P235" s="87"/>
      <c r="Q235" s="87"/>
      <c r="R235" s="87"/>
      <c r="S235" s="184"/>
    </row>
    <row r="236" customFormat="false" ht="12.75" hidden="false" customHeight="false" outlineLevel="0" collapsed="false">
      <c r="B236" s="0"/>
      <c r="C236" s="225"/>
      <c r="G236" s="224"/>
      <c r="H236" s="87"/>
      <c r="I236" s="226"/>
      <c r="J236" s="227"/>
      <c r="K236" s="223"/>
      <c r="L236" s="87"/>
      <c r="M236" s="87"/>
      <c r="N236" s="87"/>
      <c r="O236" s="87"/>
      <c r="P236" s="87"/>
      <c r="Q236" s="87"/>
      <c r="R236" s="87"/>
      <c r="S236" s="184"/>
    </row>
    <row r="237" customFormat="false" ht="12.75" hidden="false" customHeight="false" outlineLevel="0" collapsed="false">
      <c r="B237" s="0"/>
      <c r="C237" s="225"/>
      <c r="G237" s="224"/>
      <c r="H237" s="87"/>
      <c r="I237" s="81" t="s">
        <v>334</v>
      </c>
      <c r="J237" s="228" t="n">
        <v>0</v>
      </c>
      <c r="K237" s="87"/>
      <c r="L237" s="87"/>
      <c r="M237" s="87"/>
      <c r="N237" s="87"/>
      <c r="O237" s="87"/>
      <c r="P237" s="87"/>
      <c r="Q237" s="87"/>
      <c r="R237" s="87"/>
      <c r="S237" s="184"/>
    </row>
    <row r="238" customFormat="false" ht="12.75" hidden="false" customHeight="false" outlineLevel="0" collapsed="false">
      <c r="B238" s="0"/>
      <c r="C238" s="225"/>
      <c r="G238" s="224"/>
      <c r="H238" s="87"/>
      <c r="I238" s="87" t="s">
        <v>335</v>
      </c>
      <c r="J238" s="214" t="n">
        <v>0</v>
      </c>
      <c r="K238" s="87"/>
      <c r="L238" s="87"/>
      <c r="M238" s="87"/>
      <c r="N238" s="87"/>
      <c r="O238" s="87"/>
      <c r="P238" s="87"/>
      <c r="Q238" s="87"/>
      <c r="R238" s="87"/>
      <c r="S238" s="184"/>
    </row>
    <row r="239" customFormat="false" ht="12.75" hidden="false" customHeight="false" outlineLevel="0" collapsed="false">
      <c r="B239" s="0"/>
      <c r="C239" s="225"/>
      <c r="G239" s="224"/>
      <c r="H239" s="87"/>
      <c r="I239" s="87" t="s">
        <v>336</v>
      </c>
      <c r="J239" s="214" t="n">
        <v>0</v>
      </c>
      <c r="K239" s="87"/>
      <c r="L239" s="87"/>
      <c r="M239" s="87"/>
      <c r="N239" s="87"/>
      <c r="O239" s="87"/>
      <c r="P239" s="87"/>
      <c r="Q239" s="87"/>
      <c r="R239" s="87"/>
      <c r="S239" s="184"/>
    </row>
    <row r="240" customFormat="false" ht="12.75" hidden="false" customHeight="false" outlineLevel="0" collapsed="false">
      <c r="B240" s="0"/>
      <c r="C240" s="225"/>
      <c r="G240" s="224"/>
      <c r="H240" s="87"/>
      <c r="I240" s="87" t="s">
        <v>337</v>
      </c>
      <c r="J240" s="214" t="n">
        <v>0</v>
      </c>
      <c r="K240" s="87"/>
      <c r="L240" s="87"/>
      <c r="M240" s="87"/>
      <c r="N240" s="87"/>
      <c r="O240" s="87"/>
      <c r="P240" s="87"/>
      <c r="Q240" s="87"/>
      <c r="R240" s="87"/>
      <c r="S240" s="184"/>
    </row>
    <row r="241" customFormat="false" ht="12.75" hidden="false" customHeight="false" outlineLevel="0" collapsed="false">
      <c r="B241" s="0"/>
      <c r="C241" s="225"/>
      <c r="G241" s="224"/>
      <c r="H241" s="87"/>
      <c r="I241" s="87" t="s">
        <v>338</v>
      </c>
      <c r="J241" s="214" t="n">
        <v>0</v>
      </c>
      <c r="K241" s="87"/>
      <c r="L241" s="87"/>
      <c r="M241" s="87"/>
      <c r="N241" s="87"/>
      <c r="O241" s="87"/>
      <c r="P241" s="87"/>
      <c r="Q241" s="87"/>
      <c r="R241" s="87"/>
      <c r="S241" s="184"/>
    </row>
    <row r="242" customFormat="false" ht="12.75" hidden="false" customHeight="false" outlineLevel="0" collapsed="false">
      <c r="B242" s="48"/>
      <c r="C242" s="229"/>
      <c r="G242" s="224"/>
      <c r="H242" s="87"/>
      <c r="I242" s="87" t="s">
        <v>339</v>
      </c>
      <c r="J242" s="214" t="n">
        <v>0</v>
      </c>
      <c r="K242" s="87"/>
      <c r="L242" s="87"/>
      <c r="M242" s="87"/>
      <c r="N242" s="87"/>
      <c r="O242" s="87"/>
      <c r="P242" s="87"/>
      <c r="Q242" s="87"/>
      <c r="R242" s="87"/>
      <c r="S242" s="184"/>
    </row>
    <row r="243" customFormat="false" ht="12.75" hidden="false" customHeight="false" outlineLevel="0" collapsed="false">
      <c r="B243" s="0"/>
      <c r="C243" s="225"/>
      <c r="G243" s="224"/>
      <c r="H243" s="87"/>
      <c r="I243" s="87" t="s">
        <v>340</v>
      </c>
      <c r="J243" s="230" t="n">
        <v>0</v>
      </c>
      <c r="K243" s="87"/>
      <c r="L243" s="87"/>
      <c r="M243" s="87"/>
      <c r="N243" s="87"/>
      <c r="O243" s="87"/>
      <c r="P243" s="87"/>
      <c r="Q243" s="87"/>
      <c r="R243" s="87"/>
      <c r="S243" s="184"/>
    </row>
    <row r="244" customFormat="false" ht="12.75" hidden="false" customHeight="false" outlineLevel="0" collapsed="false">
      <c r="B244" s="0"/>
      <c r="C244" s="225"/>
      <c r="G244" s="224"/>
      <c r="H244" s="87"/>
      <c r="I244" s="87"/>
      <c r="J244" s="214" t="n">
        <f aca="false">SUM(J237:J243)</f>
        <v>0</v>
      </c>
      <c r="K244" s="87"/>
      <c r="L244" s="87"/>
      <c r="M244" s="87"/>
      <c r="N244" s="87"/>
      <c r="O244" s="87"/>
      <c r="P244" s="87"/>
      <c r="Q244" s="87"/>
      <c r="R244" s="87"/>
      <c r="S244" s="184"/>
    </row>
    <row r="245" customFormat="false" ht="12.75" hidden="false" customHeight="false" outlineLevel="0" collapsed="false">
      <c r="B245" s="0"/>
      <c r="C245" s="225"/>
      <c r="G245" s="224"/>
      <c r="H245" s="87" t="s">
        <v>341</v>
      </c>
      <c r="I245" s="87"/>
      <c r="J245" s="214"/>
      <c r="K245" s="87"/>
      <c r="L245" s="87"/>
      <c r="M245" s="87"/>
      <c r="N245" s="87"/>
      <c r="O245" s="87"/>
      <c r="P245" s="87"/>
      <c r="Q245" s="87"/>
      <c r="R245" s="87"/>
      <c r="S245" s="184"/>
    </row>
    <row r="246" customFormat="false" ht="12.75" hidden="false" customHeight="false" outlineLevel="0" collapsed="false">
      <c r="B246" s="0"/>
      <c r="C246" s="225"/>
      <c r="G246" s="224"/>
      <c r="H246" s="87"/>
      <c r="I246" s="87" t="s">
        <v>342</v>
      </c>
      <c r="J246" s="214" t="n">
        <v>0</v>
      </c>
      <c r="K246" s="87"/>
      <c r="L246" s="87"/>
      <c r="M246" s="87"/>
      <c r="N246" s="87"/>
      <c r="O246" s="87"/>
      <c r="P246" s="87"/>
      <c r="Q246" s="87" t="s">
        <v>343</v>
      </c>
      <c r="R246" s="87"/>
      <c r="S246" s="184"/>
    </row>
    <row r="247" customFormat="false" ht="12.75" hidden="false" customHeight="false" outlineLevel="0" collapsed="false">
      <c r="B247" s="0"/>
      <c r="C247" s="225"/>
      <c r="G247" s="224"/>
      <c r="H247" s="87"/>
      <c r="I247" s="87" t="s">
        <v>344</v>
      </c>
      <c r="J247" s="214" t="n">
        <v>0</v>
      </c>
      <c r="K247" s="87"/>
      <c r="L247" s="87"/>
      <c r="M247" s="87"/>
      <c r="N247" s="87"/>
      <c r="O247" s="87"/>
      <c r="P247" s="214" t="n">
        <v>-31732</v>
      </c>
      <c r="Q247" s="87"/>
      <c r="R247" s="87"/>
      <c r="S247" s="184"/>
    </row>
    <row r="248" customFormat="false" ht="12.75" hidden="false" customHeight="false" outlineLevel="0" collapsed="false">
      <c r="B248" s="0"/>
      <c r="C248" s="225"/>
      <c r="G248" s="224"/>
      <c r="H248" s="87"/>
      <c r="I248" s="87" t="s">
        <v>345</v>
      </c>
      <c r="J248" s="214" t="n">
        <v>0</v>
      </c>
      <c r="K248" s="87"/>
      <c r="L248" s="87"/>
      <c r="M248" s="87"/>
      <c r="N248" s="87"/>
      <c r="O248" s="87"/>
      <c r="P248" s="214"/>
      <c r="Q248" s="87"/>
      <c r="R248" s="87"/>
      <c r="S248" s="184"/>
    </row>
    <row r="249" customFormat="false" ht="12.75" hidden="false" customHeight="false" outlineLevel="0" collapsed="false">
      <c r="B249" s="0"/>
      <c r="C249" s="225"/>
      <c r="G249" s="224"/>
      <c r="H249" s="87"/>
      <c r="I249" s="87" t="s">
        <v>346</v>
      </c>
      <c r="J249" s="214" t="n">
        <v>0</v>
      </c>
      <c r="K249" s="87"/>
      <c r="L249" s="87"/>
      <c r="M249" s="87"/>
      <c r="N249" s="87"/>
      <c r="O249" s="87"/>
      <c r="P249" s="214"/>
      <c r="Q249" s="87" t="s">
        <v>44</v>
      </c>
      <c r="R249" s="87"/>
      <c r="S249" s="184"/>
    </row>
    <row r="250" customFormat="false" ht="12.75" hidden="false" customHeight="false" outlineLevel="0" collapsed="false">
      <c r="B250" s="0"/>
      <c r="C250" s="225"/>
      <c r="G250" s="224"/>
      <c r="H250" s="87"/>
      <c r="I250" s="87" t="s">
        <v>347</v>
      </c>
      <c r="J250" s="214" t="n">
        <v>0</v>
      </c>
      <c r="K250" s="87"/>
      <c r="L250" s="87"/>
      <c r="M250" s="87"/>
      <c r="N250" s="87" t="s">
        <v>348</v>
      </c>
      <c r="O250" s="87"/>
      <c r="P250" s="214" t="n">
        <f aca="false">K267</f>
        <v>-4368</v>
      </c>
      <c r="Q250" s="87" t="s">
        <v>349</v>
      </c>
      <c r="R250" s="87"/>
      <c r="S250" s="184"/>
    </row>
    <row r="251" customFormat="false" ht="12.75" hidden="false" customHeight="false" outlineLevel="0" collapsed="false">
      <c r="B251" s="0"/>
      <c r="C251" s="225"/>
      <c r="G251" s="224"/>
      <c r="H251" s="87"/>
      <c r="I251" s="87" t="s">
        <v>350</v>
      </c>
      <c r="J251" s="214" t="n">
        <v>0</v>
      </c>
      <c r="K251" s="87"/>
      <c r="L251" s="87"/>
      <c r="M251" s="87"/>
      <c r="N251" s="87"/>
      <c r="O251" s="87"/>
      <c r="P251" s="230" t="n">
        <v>-2500</v>
      </c>
      <c r="Q251" s="87"/>
      <c r="R251" s="87"/>
      <c r="S251" s="184"/>
    </row>
    <row r="252" customFormat="false" ht="12.75" hidden="false" customHeight="false" outlineLevel="0" collapsed="false">
      <c r="B252" s="0"/>
      <c r="C252" s="225"/>
      <c r="G252" s="224"/>
      <c r="H252" s="87"/>
      <c r="I252" s="87" t="s">
        <v>351</v>
      </c>
      <c r="J252" s="214" t="n">
        <v>0</v>
      </c>
      <c r="K252" s="87"/>
      <c r="L252" s="87"/>
      <c r="M252" s="214" t="n">
        <v>525707</v>
      </c>
      <c r="N252" s="87" t="s">
        <v>352</v>
      </c>
      <c r="O252" s="87"/>
      <c r="P252" s="87"/>
      <c r="Q252" s="87" t="s">
        <v>353</v>
      </c>
      <c r="R252" s="87"/>
      <c r="S252" s="184"/>
    </row>
    <row r="253" customFormat="false" ht="12.75" hidden="false" customHeight="false" outlineLevel="0" collapsed="false">
      <c r="B253" s="0"/>
      <c r="C253" s="0"/>
      <c r="G253" s="224"/>
      <c r="H253" s="87"/>
      <c r="I253" s="87" t="s">
        <v>354</v>
      </c>
      <c r="J253" s="214" t="n">
        <v>0</v>
      </c>
      <c r="K253" s="87"/>
      <c r="L253" s="87"/>
      <c r="M253" s="214"/>
      <c r="N253" s="87"/>
      <c r="O253" s="214"/>
      <c r="P253" s="214" t="n">
        <f aca="false">SUM(P247:P251)</f>
        <v>-38600</v>
      </c>
      <c r="Q253" s="87"/>
      <c r="R253" s="87"/>
      <c r="S253" s="184"/>
    </row>
    <row r="254" customFormat="false" ht="12.75" hidden="false" customHeight="false" outlineLevel="0" collapsed="false">
      <c r="B254" s="0"/>
      <c r="C254" s="0"/>
      <c r="G254" s="224"/>
      <c r="H254" s="87"/>
      <c r="I254" s="87" t="s">
        <v>234</v>
      </c>
      <c r="J254" s="230" t="n">
        <v>0</v>
      </c>
      <c r="K254" s="87"/>
      <c r="L254" s="87"/>
      <c r="M254" s="214"/>
      <c r="N254" s="87"/>
      <c r="O254" s="87"/>
      <c r="P254" s="87"/>
      <c r="Q254" s="87"/>
      <c r="R254" s="87"/>
      <c r="S254" s="231" t="n">
        <f aca="false">22000+P255</f>
        <v>15133</v>
      </c>
    </row>
    <row r="255" customFormat="false" ht="12.75" hidden="false" customHeight="false" outlineLevel="0" collapsed="false">
      <c r="B255" s="0"/>
      <c r="C255" s="0"/>
      <c r="G255" s="224"/>
      <c r="H255" s="87"/>
      <c r="I255" s="87"/>
      <c r="J255" s="214" t="n">
        <f aca="false">SUM(J244:J254)</f>
        <v>0</v>
      </c>
      <c r="K255" s="87"/>
      <c r="L255" s="87"/>
      <c r="M255" s="214" t="n">
        <v>493974</v>
      </c>
      <c r="N255" s="87"/>
      <c r="O255" s="87"/>
      <c r="P255" s="232" t="n">
        <f aca="false">P253+M257</f>
        <v>-6867</v>
      </c>
      <c r="Q255" s="87"/>
      <c r="R255" s="87"/>
      <c r="S255" s="184"/>
    </row>
    <row r="256" customFormat="false" ht="12.75" hidden="false" customHeight="false" outlineLevel="0" collapsed="false">
      <c r="B256" s="0"/>
      <c r="C256" s="0"/>
      <c r="G256" s="224"/>
      <c r="H256" s="87"/>
      <c r="I256" s="87"/>
      <c r="J256" s="214"/>
      <c r="K256" s="87"/>
      <c r="L256" s="87"/>
      <c r="M256" s="214"/>
      <c r="N256" s="87"/>
      <c r="O256" s="87"/>
      <c r="P256" s="87"/>
      <c r="Q256" s="87"/>
      <c r="R256" s="87"/>
      <c r="S256" s="184"/>
    </row>
    <row r="257" customFormat="false" ht="12.75" hidden="false" customHeight="false" outlineLevel="0" collapsed="false">
      <c r="B257" s="0"/>
      <c r="C257" s="0"/>
      <c r="G257" s="224"/>
      <c r="H257" s="87"/>
      <c r="I257" s="87"/>
      <c r="J257" s="214"/>
      <c r="K257" s="87"/>
      <c r="L257" s="87"/>
      <c r="M257" s="214" t="n">
        <f aca="false">M252-M255</f>
        <v>31733</v>
      </c>
      <c r="N257" s="87"/>
      <c r="O257" s="87"/>
      <c r="P257" s="87"/>
      <c r="Q257" s="87"/>
      <c r="R257" s="87"/>
      <c r="S257" s="184"/>
    </row>
    <row r="258" customFormat="false" ht="12.75" hidden="false" customHeight="false" outlineLevel="0" collapsed="false">
      <c r="B258" s="48"/>
      <c r="C258" s="48"/>
      <c r="G258" s="224"/>
      <c r="H258" s="87" t="s">
        <v>355</v>
      </c>
      <c r="I258" s="87" t="s">
        <v>356</v>
      </c>
      <c r="J258" s="233" t="n">
        <v>-862</v>
      </c>
      <c r="K258" s="87"/>
      <c r="L258" s="87"/>
      <c r="M258" s="87"/>
      <c r="N258" s="87"/>
      <c r="O258" s="87"/>
      <c r="P258" s="87"/>
      <c r="Q258" s="87"/>
      <c r="R258" s="87"/>
      <c r="S258" s="184"/>
    </row>
    <row r="259" customFormat="false" ht="12.75" hidden="false" customHeight="false" outlineLevel="0" collapsed="false">
      <c r="B259" s="0"/>
      <c r="C259" s="0"/>
      <c r="G259" s="224"/>
      <c r="H259" s="87"/>
      <c r="I259" s="234" t="s">
        <v>356</v>
      </c>
      <c r="J259" s="235" t="n">
        <v>-1</v>
      </c>
      <c r="K259" s="87"/>
      <c r="L259" s="87"/>
      <c r="M259" s="87"/>
      <c r="N259" s="87"/>
      <c r="O259" s="87"/>
      <c r="P259" s="87"/>
      <c r="Q259" s="87"/>
      <c r="R259" s="87"/>
      <c r="S259" s="184"/>
    </row>
    <row r="260" customFormat="false" ht="12.75" hidden="false" customHeight="false" outlineLevel="0" collapsed="false">
      <c r="B260" s="0"/>
      <c r="C260" s="0"/>
      <c r="G260" s="224"/>
      <c r="H260" s="87"/>
      <c r="I260" s="234" t="s">
        <v>357</v>
      </c>
      <c r="J260" s="235" t="n">
        <v>-1</v>
      </c>
      <c r="K260" s="87"/>
      <c r="L260" s="87"/>
      <c r="M260" s="232" t="n">
        <f aca="false">M257+K267</f>
        <v>27365</v>
      </c>
      <c r="N260" s="87"/>
      <c r="O260" s="87"/>
      <c r="P260" s="87"/>
      <c r="Q260" s="87"/>
      <c r="R260" s="87"/>
      <c r="S260" s="184"/>
    </row>
    <row r="261" customFormat="false" ht="12.75" hidden="false" customHeight="false" outlineLevel="0" collapsed="false">
      <c r="B261" s="0"/>
      <c r="C261" s="0"/>
      <c r="G261" s="224"/>
      <c r="H261" s="236" t="s">
        <v>358</v>
      </c>
      <c r="I261" s="160" t="s">
        <v>359</v>
      </c>
      <c r="J261" s="237" t="n">
        <v>-1500</v>
      </c>
      <c r="K261" s="87"/>
      <c r="L261" s="87"/>
      <c r="M261" s="232"/>
      <c r="N261" s="87"/>
      <c r="O261" s="87"/>
      <c r="P261" s="87"/>
      <c r="Q261" s="87"/>
      <c r="R261" s="87"/>
      <c r="S261" s="184"/>
    </row>
    <row r="262" customFormat="false" ht="12.75" hidden="false" customHeight="false" outlineLevel="0" collapsed="false">
      <c r="B262" s="0"/>
      <c r="C262" s="0"/>
      <c r="G262" s="238"/>
      <c r="H262" s="239"/>
      <c r="I262" s="234" t="s">
        <v>360</v>
      </c>
      <c r="J262" s="235" t="n">
        <v>-1</v>
      </c>
      <c r="K262" s="87"/>
      <c r="L262" s="87"/>
      <c r="M262" s="232"/>
      <c r="N262" s="87"/>
      <c r="O262" s="87"/>
      <c r="P262" s="87"/>
      <c r="Q262" s="239"/>
      <c r="R262" s="239"/>
      <c r="S262" s="174"/>
    </row>
    <row r="263" customFormat="false" ht="12.75" hidden="false" customHeight="false" outlineLevel="0" collapsed="false">
      <c r="B263" s="0"/>
      <c r="C263" s="0"/>
      <c r="I263" s="234" t="s">
        <v>361</v>
      </c>
      <c r="J263" s="235" t="n">
        <v>-1</v>
      </c>
      <c r="K263" s="87"/>
      <c r="L263" s="87"/>
      <c r="M263" s="87"/>
      <c r="N263" s="239"/>
      <c r="O263" s="239"/>
      <c r="P263" s="239"/>
    </row>
    <row r="264" customFormat="false" ht="12.75" hidden="false" customHeight="false" outlineLevel="0" collapsed="false">
      <c r="B264" s="48"/>
      <c r="C264" s="48"/>
      <c r="I264" s="160" t="s">
        <v>362</v>
      </c>
      <c r="J264" s="237" t="n">
        <v>-1000</v>
      </c>
      <c r="K264" s="87"/>
      <c r="L264" s="87"/>
      <c r="M264" s="87"/>
    </row>
    <row r="265" customFormat="false" ht="12.75" hidden="false" customHeight="false" outlineLevel="0" collapsed="false">
      <c r="B265" s="0"/>
      <c r="C265" s="0"/>
      <c r="I265" s="234" t="s">
        <v>363</v>
      </c>
      <c r="J265" s="235" t="n">
        <v>-1</v>
      </c>
      <c r="K265" s="87"/>
      <c r="L265" s="87"/>
      <c r="M265" s="87"/>
    </row>
    <row r="266" customFormat="false" ht="12.75" hidden="false" customHeight="false" outlineLevel="0" collapsed="false">
      <c r="B266" s="79"/>
      <c r="C266" s="79"/>
      <c r="I266" s="160" t="s">
        <v>364</v>
      </c>
      <c r="J266" s="237" t="n">
        <v>-1000</v>
      </c>
      <c r="K266" s="87"/>
      <c r="L266" s="87"/>
      <c r="M266" s="87"/>
    </row>
    <row r="267" customFormat="false" ht="12.75" hidden="false" customHeight="false" outlineLevel="0" collapsed="false">
      <c r="B267" s="0"/>
      <c r="C267" s="0"/>
      <c r="I267" s="234" t="s">
        <v>365</v>
      </c>
      <c r="J267" s="235" t="n">
        <v>-1</v>
      </c>
      <c r="K267" s="232" t="n">
        <f aca="false">SUM(J258:J267)</f>
        <v>-4368</v>
      </c>
      <c r="L267" s="87"/>
      <c r="M267" s="87"/>
    </row>
    <row r="268" customFormat="false" ht="12.75" hidden="false" customHeight="false" outlineLevel="0" collapsed="false">
      <c r="B268" s="0"/>
      <c r="C268" s="0"/>
      <c r="I268" s="87" t="s">
        <v>366</v>
      </c>
      <c r="J268" s="230" t="n">
        <f aca="false">-M257-K267</f>
        <v>-27365</v>
      </c>
      <c r="K268" s="232"/>
      <c r="L268" s="87"/>
      <c r="M268" s="239"/>
    </row>
    <row r="269" customFormat="false" ht="12.75" hidden="false" customHeight="false" outlineLevel="0" collapsed="false">
      <c r="B269" s="0"/>
      <c r="C269" s="0"/>
      <c r="I269" s="87"/>
      <c r="J269" s="214" t="n">
        <f aca="false">SUM(J255:J268)</f>
        <v>-31733</v>
      </c>
      <c r="K269" s="87"/>
      <c r="L269" s="87"/>
    </row>
    <row r="270" customFormat="false" ht="12.75" hidden="false" customHeight="false" outlineLevel="0" collapsed="false">
      <c r="B270" s="0"/>
      <c r="C270" s="0"/>
      <c r="I270" s="87"/>
      <c r="J270" s="214"/>
      <c r="K270" s="87"/>
      <c r="L270" s="87"/>
    </row>
    <row r="271" customFormat="false" ht="12.75" hidden="false" customHeight="false" outlineLevel="0" collapsed="false">
      <c r="B271" s="0"/>
      <c r="C271" s="0"/>
      <c r="I271" s="87" t="s">
        <v>367</v>
      </c>
      <c r="J271" s="214" t="n">
        <v>3915</v>
      </c>
      <c r="K271" s="87"/>
      <c r="L271" s="239"/>
    </row>
    <row r="272" customFormat="false" ht="12.75" hidden="false" customHeight="false" outlineLevel="0" collapsed="false">
      <c r="B272" s="0"/>
      <c r="C272" s="0"/>
      <c r="I272" s="87"/>
      <c r="J272" s="214"/>
      <c r="K272" s="87"/>
    </row>
    <row r="273" customFormat="false" ht="13.5" hidden="false" customHeight="false" outlineLevel="0" collapsed="false">
      <c r="B273" s="0"/>
      <c r="C273" s="0"/>
      <c r="I273" s="87"/>
      <c r="J273" s="240" t="n">
        <f aca="false">SUM(J269:J272)</f>
        <v>-27818</v>
      </c>
      <c r="K273" s="87"/>
    </row>
    <row r="274" customFormat="false" ht="13.5" hidden="false" customHeight="false" outlineLevel="0" collapsed="false">
      <c r="B274" s="0"/>
      <c r="C274" s="0"/>
      <c r="I274" s="239"/>
      <c r="J274" s="230"/>
      <c r="K274" s="239"/>
    </row>
    <row r="275" customFormat="false" ht="12.75" hidden="false" customHeight="false" outlineLevel="0" collapsed="false">
      <c r="B275" s="0"/>
      <c r="C275" s="0"/>
      <c r="J275" s="214"/>
    </row>
    <row r="276" customFormat="false" ht="12.75" hidden="false" customHeight="false" outlineLevel="0" collapsed="false">
      <c r="B276" s="0"/>
      <c r="C276" s="0"/>
      <c r="J276" s="214"/>
    </row>
    <row r="277" customFormat="false" ht="12.75" hidden="false" customHeight="false" outlineLevel="0" collapsed="false">
      <c r="B277" s="0"/>
      <c r="C277" s="0"/>
      <c r="J277" s="214" t="n">
        <f aca="false">551878-11621</f>
        <v>540257</v>
      </c>
    </row>
    <row r="278" customFormat="false" ht="12.75" hidden="false" customHeight="false" outlineLevel="0" collapsed="false">
      <c r="B278" s="0"/>
      <c r="C278" s="0"/>
      <c r="J278" s="214"/>
    </row>
    <row r="279" customFormat="false" ht="12.75" hidden="false" customHeight="false" outlineLevel="0" collapsed="false">
      <c r="B279" s="0"/>
      <c r="C279" s="0"/>
      <c r="J279" s="214"/>
    </row>
    <row r="280" customFormat="false" ht="12.75" hidden="false" customHeight="false" outlineLevel="0" collapsed="false">
      <c r="B280" s="0"/>
      <c r="C280" s="0"/>
      <c r="J280" s="214"/>
    </row>
    <row r="281" customFormat="false" ht="12.75" hidden="false" customHeight="false" outlineLevel="0" collapsed="false">
      <c r="B281" s="0"/>
      <c r="C281" s="0"/>
      <c r="J281" s="214"/>
    </row>
    <row r="282" customFormat="false" ht="12.75" hidden="false" customHeight="false" outlineLevel="0" collapsed="false">
      <c r="B282" s="0"/>
      <c r="C282" s="0"/>
      <c r="J282" s="214"/>
    </row>
    <row r="283" customFormat="false" ht="12.75" hidden="false" customHeight="false" outlineLevel="0" collapsed="false">
      <c r="B283" s="0"/>
      <c r="C283" s="0"/>
      <c r="J283" s="214"/>
    </row>
    <row r="284" customFormat="false" ht="12.75" hidden="false" customHeight="false" outlineLevel="0" collapsed="false">
      <c r="B284" s="241"/>
      <c r="C284" s="241"/>
      <c r="J284" s="214"/>
    </row>
    <row r="285" customFormat="false" ht="12.75" hidden="false" customHeight="false" outlineLevel="0" collapsed="false">
      <c r="B285" s="241"/>
      <c r="C285" s="241"/>
      <c r="J285" s="214"/>
    </row>
    <row r="286" customFormat="false" ht="12.75" hidden="false" customHeight="false" outlineLevel="0" collapsed="false">
      <c r="B286" s="0"/>
      <c r="C286" s="0"/>
      <c r="J286" s="214"/>
    </row>
    <row r="287" customFormat="false" ht="12.75" hidden="false" customHeight="false" outlineLevel="0" collapsed="false">
      <c r="B287" s="0"/>
      <c r="C287" s="0"/>
      <c r="J287" s="214"/>
    </row>
    <row r="288" customFormat="false" ht="12" hidden="false" customHeight="false" outlineLevel="0" collapsed="false">
      <c r="J288" s="214"/>
    </row>
    <row r="289" customFormat="false" ht="12" hidden="false" customHeight="false" outlineLevel="0" collapsed="false">
      <c r="J289" s="214"/>
    </row>
    <row r="290" customFormat="false" ht="12" hidden="false" customHeight="false" outlineLevel="0" collapsed="false">
      <c r="J290" s="214"/>
    </row>
    <row r="291" customFormat="false" ht="12" hidden="false" customHeight="false" outlineLevel="0" collapsed="false">
      <c r="J291" s="214"/>
    </row>
    <row r="292" customFormat="false" ht="12" hidden="false" customHeight="false" outlineLevel="0" collapsed="false">
      <c r="J292" s="214"/>
    </row>
    <row r="293" customFormat="false" ht="12" hidden="false" customHeight="false" outlineLevel="0" collapsed="false">
      <c r="J293" s="214"/>
    </row>
    <row r="294" customFormat="false" ht="12" hidden="false" customHeight="false" outlineLevel="0" collapsed="false">
      <c r="J294" s="214"/>
    </row>
    <row r="295" customFormat="false" ht="12" hidden="false" customHeight="false" outlineLevel="0" collapsed="false">
      <c r="J295" s="214"/>
    </row>
    <row r="296" customFormat="false" ht="12" hidden="false" customHeight="false" outlineLevel="0" collapsed="false">
      <c r="J296" s="214"/>
    </row>
    <row r="297" customFormat="false" ht="12" hidden="false" customHeight="false" outlineLevel="0" collapsed="false">
      <c r="J297" s="214"/>
    </row>
    <row r="298" customFormat="false" ht="12" hidden="false" customHeight="false" outlineLevel="0" collapsed="false">
      <c r="J298" s="214"/>
    </row>
    <row r="299" customFormat="false" ht="12" hidden="false" customHeight="false" outlineLevel="0" collapsed="false">
      <c r="J299" s="214"/>
    </row>
    <row r="300" customFormat="false" ht="12" hidden="false" customHeight="false" outlineLevel="0" collapsed="false">
      <c r="J300" s="214"/>
    </row>
    <row r="301" customFormat="false" ht="12" hidden="false" customHeight="false" outlineLevel="0" collapsed="false">
      <c r="J301" s="214"/>
    </row>
    <row r="302" customFormat="false" ht="12" hidden="false" customHeight="false" outlineLevel="0" collapsed="false">
      <c r="J302" s="214"/>
    </row>
    <row r="303" customFormat="false" ht="12" hidden="false" customHeight="false" outlineLevel="0" collapsed="false">
      <c r="J303" s="214"/>
    </row>
    <row r="304" customFormat="false" ht="12" hidden="false" customHeight="false" outlineLevel="0" collapsed="false">
      <c r="J304" s="214"/>
    </row>
    <row r="305" customFormat="false" ht="12" hidden="false" customHeight="false" outlineLevel="0" collapsed="false">
      <c r="J305" s="214"/>
    </row>
    <row r="306" customFormat="false" ht="12" hidden="false" customHeight="false" outlineLevel="0" collapsed="false">
      <c r="J306" s="214"/>
    </row>
    <row r="307" customFormat="false" ht="12" hidden="false" customHeight="false" outlineLevel="0" collapsed="false">
      <c r="J307" s="214"/>
    </row>
    <row r="308" customFormat="false" ht="12" hidden="false" customHeight="false" outlineLevel="0" collapsed="false">
      <c r="J308" s="214"/>
    </row>
    <row r="309" customFormat="false" ht="12" hidden="false" customHeight="false" outlineLevel="0" collapsed="false">
      <c r="J309" s="214"/>
    </row>
    <row r="310" customFormat="false" ht="12" hidden="false" customHeight="false" outlineLevel="0" collapsed="false">
      <c r="J310" s="214"/>
    </row>
    <row r="311" customFormat="false" ht="12" hidden="false" customHeight="false" outlineLevel="0" collapsed="false">
      <c r="J311" s="214"/>
    </row>
    <row r="312" customFormat="false" ht="12" hidden="false" customHeight="false" outlineLevel="0" collapsed="false">
      <c r="J312" s="214"/>
    </row>
    <row r="313" customFormat="false" ht="12" hidden="false" customHeight="false" outlineLevel="0" collapsed="false">
      <c r="J313" s="214"/>
    </row>
    <row r="314" customFormat="false" ht="12" hidden="false" customHeight="false" outlineLevel="0" collapsed="false">
      <c r="J314" s="214"/>
    </row>
    <row r="315" customFormat="false" ht="12" hidden="false" customHeight="false" outlineLevel="0" collapsed="false">
      <c r="J315" s="214"/>
    </row>
    <row r="316" customFormat="false" ht="12" hidden="false" customHeight="false" outlineLevel="0" collapsed="false">
      <c r="J316" s="214"/>
    </row>
    <row r="317" customFormat="false" ht="12" hidden="false" customHeight="false" outlineLevel="0" collapsed="false">
      <c r="J317" s="214"/>
    </row>
    <row r="318" customFormat="false" ht="12" hidden="false" customHeight="false" outlineLevel="0" collapsed="false">
      <c r="J318" s="214"/>
    </row>
    <row r="319" customFormat="false" ht="12" hidden="false" customHeight="false" outlineLevel="0" collapsed="false">
      <c r="J319" s="214"/>
    </row>
    <row r="320" customFormat="false" ht="12" hidden="false" customHeight="false" outlineLevel="0" collapsed="false">
      <c r="J320" s="214"/>
    </row>
    <row r="321" customFormat="false" ht="12" hidden="false" customHeight="false" outlineLevel="0" collapsed="false">
      <c r="J321" s="214"/>
    </row>
    <row r="322" customFormat="false" ht="12" hidden="false" customHeight="false" outlineLevel="0" collapsed="false">
      <c r="J322" s="214"/>
    </row>
    <row r="323" customFormat="false" ht="12" hidden="false" customHeight="false" outlineLevel="0" collapsed="false">
      <c r="J323" s="214"/>
    </row>
    <row r="324" customFormat="false" ht="12" hidden="false" customHeight="false" outlineLevel="0" collapsed="false">
      <c r="J324" s="214"/>
    </row>
    <row r="325" customFormat="false" ht="12" hidden="false" customHeight="false" outlineLevel="0" collapsed="false">
      <c r="J325" s="214"/>
    </row>
    <row r="326" customFormat="false" ht="12" hidden="false" customHeight="false" outlineLevel="0" collapsed="false">
      <c r="J326" s="214"/>
    </row>
    <row r="327" customFormat="false" ht="12" hidden="false" customHeight="false" outlineLevel="0" collapsed="false">
      <c r="J327" s="214"/>
    </row>
    <row r="328" customFormat="false" ht="12" hidden="false" customHeight="false" outlineLevel="0" collapsed="false">
      <c r="J328" s="214"/>
    </row>
    <row r="329" customFormat="false" ht="12" hidden="false" customHeight="false" outlineLevel="0" collapsed="false">
      <c r="J329" s="214"/>
    </row>
    <row r="330" customFormat="false" ht="12" hidden="false" customHeight="false" outlineLevel="0" collapsed="false">
      <c r="J330" s="214"/>
    </row>
    <row r="331" customFormat="false" ht="12" hidden="false" customHeight="false" outlineLevel="0" collapsed="false">
      <c r="J331" s="214"/>
    </row>
    <row r="332" customFormat="false" ht="12" hidden="false" customHeight="false" outlineLevel="0" collapsed="false">
      <c r="J332" s="214"/>
    </row>
    <row r="333" customFormat="false" ht="12" hidden="false" customHeight="false" outlineLevel="0" collapsed="false">
      <c r="J333" s="214"/>
    </row>
    <row r="334" customFormat="false" ht="12" hidden="false" customHeight="false" outlineLevel="0" collapsed="false">
      <c r="J334" s="214"/>
    </row>
    <row r="335" customFormat="false" ht="12" hidden="false" customHeight="false" outlineLevel="0" collapsed="false">
      <c r="J335" s="214"/>
    </row>
    <row r="336" customFormat="false" ht="12" hidden="false" customHeight="false" outlineLevel="0" collapsed="false">
      <c r="J336" s="214"/>
    </row>
    <row r="337" customFormat="false" ht="12" hidden="false" customHeight="false" outlineLevel="0" collapsed="false">
      <c r="J337" s="214"/>
    </row>
    <row r="338" customFormat="false" ht="12" hidden="false" customHeight="false" outlineLevel="0" collapsed="false">
      <c r="J338" s="214"/>
    </row>
    <row r="339" customFormat="false" ht="12" hidden="false" customHeight="false" outlineLevel="0" collapsed="false">
      <c r="J339" s="214"/>
    </row>
    <row r="340" customFormat="false" ht="12" hidden="false" customHeight="false" outlineLevel="0" collapsed="false">
      <c r="J340" s="214"/>
    </row>
    <row r="341" customFormat="false" ht="12" hidden="false" customHeight="false" outlineLevel="0" collapsed="false">
      <c r="J341" s="214"/>
    </row>
    <row r="342" customFormat="false" ht="12" hidden="false" customHeight="false" outlineLevel="0" collapsed="false">
      <c r="J342" s="214"/>
    </row>
    <row r="343" customFormat="false" ht="12" hidden="false" customHeight="false" outlineLevel="0" collapsed="false">
      <c r="J343" s="214"/>
    </row>
    <row r="344" customFormat="false" ht="12" hidden="false" customHeight="false" outlineLevel="0" collapsed="false">
      <c r="J344" s="214"/>
    </row>
    <row r="345" customFormat="false" ht="12" hidden="false" customHeight="false" outlineLevel="0" collapsed="false">
      <c r="J345" s="214"/>
    </row>
    <row r="346" customFormat="false" ht="12" hidden="false" customHeight="false" outlineLevel="0" collapsed="false">
      <c r="J346" s="214"/>
    </row>
    <row r="347" customFormat="false" ht="12" hidden="false" customHeight="false" outlineLevel="0" collapsed="false">
      <c r="J347" s="214"/>
    </row>
    <row r="348" customFormat="false" ht="12" hidden="false" customHeight="false" outlineLevel="0" collapsed="false">
      <c r="J348" s="214"/>
    </row>
    <row r="349" customFormat="false" ht="12" hidden="false" customHeight="false" outlineLevel="0" collapsed="false">
      <c r="J349" s="214"/>
    </row>
    <row r="350" customFormat="false" ht="12" hidden="false" customHeight="false" outlineLevel="0" collapsed="false">
      <c r="J350" s="214"/>
    </row>
    <row r="351" customFormat="false" ht="12" hidden="false" customHeight="false" outlineLevel="0" collapsed="false">
      <c r="J351" s="214"/>
    </row>
    <row r="352" customFormat="false" ht="12" hidden="false" customHeight="false" outlineLevel="0" collapsed="false">
      <c r="J352" s="214"/>
    </row>
    <row r="353" customFormat="false" ht="12" hidden="false" customHeight="false" outlineLevel="0" collapsed="false">
      <c r="J353" s="214"/>
    </row>
    <row r="354" customFormat="false" ht="12" hidden="false" customHeight="false" outlineLevel="0" collapsed="false">
      <c r="J354" s="214"/>
    </row>
    <row r="355" customFormat="false" ht="12" hidden="false" customHeight="false" outlineLevel="0" collapsed="false">
      <c r="J355" s="214"/>
    </row>
    <row r="356" customFormat="false" ht="12" hidden="false" customHeight="false" outlineLevel="0" collapsed="false">
      <c r="J356" s="214"/>
    </row>
    <row r="357" customFormat="false" ht="12" hidden="false" customHeight="false" outlineLevel="0" collapsed="false">
      <c r="J357" s="214"/>
    </row>
    <row r="358" customFormat="false" ht="12" hidden="false" customHeight="false" outlineLevel="0" collapsed="false">
      <c r="J358" s="214"/>
    </row>
    <row r="359" customFormat="false" ht="12" hidden="false" customHeight="false" outlineLevel="0" collapsed="false">
      <c r="J359" s="214"/>
    </row>
    <row r="360" customFormat="false" ht="12" hidden="false" customHeight="false" outlineLevel="0" collapsed="false">
      <c r="J360" s="214"/>
    </row>
    <row r="361" customFormat="false" ht="12" hidden="false" customHeight="false" outlineLevel="0" collapsed="false">
      <c r="J361" s="214"/>
    </row>
    <row r="362" customFormat="false" ht="12" hidden="false" customHeight="false" outlineLevel="0" collapsed="false">
      <c r="J362" s="214"/>
    </row>
    <row r="363" customFormat="false" ht="12" hidden="false" customHeight="false" outlineLevel="0" collapsed="false">
      <c r="J363" s="214"/>
    </row>
    <row r="364" customFormat="false" ht="12" hidden="false" customHeight="false" outlineLevel="0" collapsed="false">
      <c r="J364" s="214"/>
    </row>
    <row r="365" customFormat="false" ht="12" hidden="false" customHeight="false" outlineLevel="0" collapsed="false">
      <c r="J365" s="214"/>
    </row>
    <row r="366" customFormat="false" ht="12" hidden="false" customHeight="false" outlineLevel="0" collapsed="false">
      <c r="J366" s="214"/>
    </row>
    <row r="367" customFormat="false" ht="12" hidden="false" customHeight="false" outlineLevel="0" collapsed="false">
      <c r="J367" s="214"/>
    </row>
    <row r="368" customFormat="false" ht="12" hidden="false" customHeight="false" outlineLevel="0" collapsed="false">
      <c r="J368" s="214"/>
    </row>
    <row r="369" customFormat="false" ht="12" hidden="false" customHeight="false" outlineLevel="0" collapsed="false">
      <c r="J369" s="214"/>
    </row>
    <row r="370" customFormat="false" ht="12" hidden="false" customHeight="false" outlineLevel="0" collapsed="false">
      <c r="J370" s="214"/>
    </row>
    <row r="371" customFormat="false" ht="12" hidden="false" customHeight="false" outlineLevel="0" collapsed="false">
      <c r="J371" s="214"/>
    </row>
    <row r="372" customFormat="false" ht="12" hidden="false" customHeight="false" outlineLevel="0" collapsed="false">
      <c r="J372" s="214"/>
    </row>
    <row r="373" customFormat="false" ht="12" hidden="false" customHeight="false" outlineLevel="0" collapsed="false">
      <c r="J373" s="214"/>
    </row>
    <row r="374" customFormat="false" ht="12" hidden="false" customHeight="false" outlineLevel="0" collapsed="false">
      <c r="J374" s="214"/>
    </row>
    <row r="375" customFormat="false" ht="12" hidden="false" customHeight="false" outlineLevel="0" collapsed="false">
      <c r="J375" s="214"/>
    </row>
    <row r="376" customFormat="false" ht="12" hidden="false" customHeight="false" outlineLevel="0" collapsed="false">
      <c r="J376" s="214"/>
    </row>
    <row r="377" customFormat="false" ht="12" hidden="false" customHeight="false" outlineLevel="0" collapsed="false">
      <c r="J377" s="214"/>
    </row>
  </sheetData>
  <mergeCells count="19">
    <mergeCell ref="A1:H1"/>
    <mergeCell ref="K6:L6"/>
    <mergeCell ref="A31:D31"/>
    <mergeCell ref="E31:H31"/>
    <mergeCell ref="I31:J31"/>
    <mergeCell ref="E32:F32"/>
    <mergeCell ref="G32:H32"/>
    <mergeCell ref="I36:J36"/>
    <mergeCell ref="A37:D37"/>
    <mergeCell ref="I43:J43"/>
    <mergeCell ref="A46:D46"/>
    <mergeCell ref="G46:L46"/>
    <mergeCell ref="A47:B47"/>
    <mergeCell ref="C47:D47"/>
    <mergeCell ref="E47:F47"/>
    <mergeCell ref="I47:J47"/>
    <mergeCell ref="K47:L47"/>
    <mergeCell ref="A116:C116"/>
    <mergeCell ref="I116:K116"/>
  </mergeCells>
  <printOptions headings="false" gridLines="false" gridLinesSet="true" horizontalCentered="true" verticalCentered="true"/>
  <pageMargins left="0.25" right="0.25" top="0.75" bottom="0.25" header="0.511811023622047" footer="0.2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&amp;L&amp;8Tx Desk Logistics - Daren Farmer&amp;R&amp;8&amp;D
&amp;T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396"/>
  <sheetViews>
    <sheetView showFormulas="false" showGridLines="false" showRowColHeaders="true" showZeros="true" rightToLeft="false" tabSelected="false" showOutlineSymbols="true" defaultGridColor="true" view="normal" topLeftCell="A203" colorId="64" zoomScale="80" zoomScaleNormal="80" zoomScalePageLayoutView="100" workbookViewId="0">
      <selection pane="topLeft" activeCell="G13" activeCellId="0" sqref="G13"/>
    </sheetView>
  </sheetViews>
  <sheetFormatPr defaultColWidth="9.13671875" defaultRowHeight="12" customHeight="true" zeroHeight="false" outlineLevelRow="0" outlineLevelCol="0"/>
  <cols>
    <col collapsed="false" customWidth="true" hidden="false" outlineLevel="0" max="2" min="1" style="1" width="12.14"/>
    <col collapsed="false" customWidth="true" hidden="false" outlineLevel="0" max="3" min="3" style="1" width="11.28"/>
    <col collapsed="false" customWidth="true" hidden="false" outlineLevel="0" max="4" min="4" style="1" width="11.85"/>
    <col collapsed="false" customWidth="true" hidden="false" outlineLevel="0" max="5" min="5" style="1" width="11.56"/>
    <col collapsed="false" customWidth="true" hidden="false" outlineLevel="0" max="6" min="6" style="1" width="11.7"/>
    <col collapsed="false" customWidth="true" hidden="false" outlineLevel="0" max="7" min="7" style="1" width="11.85"/>
    <col collapsed="false" customWidth="true" hidden="false" outlineLevel="0" max="8" min="8" style="1" width="11.7"/>
    <col collapsed="false" customWidth="true" hidden="false" outlineLevel="0" max="9" min="9" style="1" width="11.85"/>
    <col collapsed="false" customWidth="true" hidden="false" outlineLevel="0" max="10" min="10" style="1" width="8.7"/>
    <col collapsed="false" customWidth="true" hidden="false" outlineLevel="0" max="11" min="11" style="1" width="11.85"/>
    <col collapsed="false" customWidth="false" hidden="false" outlineLevel="0" max="12" min="12" style="1" width="9.14"/>
    <col collapsed="false" customWidth="true" hidden="false" outlineLevel="0" max="13" min="13" style="1" width="8.56"/>
    <col collapsed="false" customWidth="false" hidden="false" outlineLevel="0" max="14" min="14" style="1" width="9.14"/>
    <col collapsed="false" customWidth="true" hidden="false" outlineLevel="0" max="15" min="15" style="1" width="5.56"/>
    <col collapsed="false" customWidth="false" hidden="false" outlineLevel="0" max="257" min="16" style="1" width="9.14"/>
  </cols>
  <sheetData>
    <row r="1" customFormat="false" ht="16.5" hidden="false" customHeight="fals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  <c r="IP1" s="3"/>
      <c r="IQ1" s="3"/>
      <c r="IR1" s="3"/>
      <c r="IS1" s="3"/>
      <c r="IT1" s="3"/>
      <c r="IU1" s="3"/>
      <c r="IV1" s="3"/>
      <c r="IW1" s="3"/>
    </row>
    <row r="2" customFormat="false" ht="12.75" hidden="false" customHeight="false" outlineLevel="0" collapsed="false">
      <c r="A2" s="4"/>
      <c r="B2" s="5"/>
      <c r="C2" s="5"/>
      <c r="D2" s="6"/>
      <c r="E2" s="6"/>
      <c r="F2" s="6"/>
      <c r="G2" s="5"/>
      <c r="H2" s="7"/>
    </row>
    <row r="3" customFormat="false" ht="13.5" hidden="false" customHeight="false" outlineLevel="0" collapsed="false">
      <c r="A3" s="8"/>
      <c r="B3" s="9"/>
      <c r="C3" s="10"/>
      <c r="D3" s="6"/>
      <c r="E3" s="10"/>
      <c r="F3" s="10"/>
      <c r="G3" s="10"/>
      <c r="H3" s="7"/>
    </row>
    <row r="4" customFormat="false" ht="12.75" hidden="false" customHeight="false" outlineLevel="0" collapsed="false">
      <c r="A4" s="11"/>
      <c r="B4" s="5"/>
      <c r="C4" s="5"/>
      <c r="D4" s="12" t="s">
        <v>368</v>
      </c>
      <c r="E4" s="13"/>
      <c r="F4" s="13"/>
      <c r="G4" s="14"/>
      <c r="H4" s="15"/>
      <c r="L4" s="0"/>
    </row>
    <row r="5" customFormat="false" ht="13.5" hidden="false" customHeight="false" outlineLevel="0" collapsed="false">
      <c r="A5" s="16"/>
      <c r="B5" s="6"/>
      <c r="C5" s="6"/>
      <c r="D5" s="17" t="s">
        <v>2</v>
      </c>
      <c r="E5" s="18" t="s">
        <v>369</v>
      </c>
      <c r="F5" s="18" t="str">
        <f aca="false">D4</f>
        <v>Feb</v>
      </c>
      <c r="G5" s="19" t="str">
        <f aca="false">+F5</f>
        <v>Feb</v>
      </c>
      <c r="H5" s="20" t="str">
        <f aca="false">+F5</f>
        <v>Feb</v>
      </c>
      <c r="L5" s="0"/>
    </row>
    <row r="6" customFormat="false" ht="13.5" hidden="false" customHeight="false" outlineLevel="0" collapsed="false">
      <c r="A6" s="16"/>
      <c r="B6" s="6"/>
      <c r="C6" s="6"/>
      <c r="D6" s="21" t="s">
        <v>4</v>
      </c>
      <c r="E6" s="22" t="s">
        <v>2</v>
      </c>
      <c r="F6" s="22" t="n">
        <v>99</v>
      </c>
      <c r="G6" s="23" t="s">
        <v>5</v>
      </c>
      <c r="H6" s="24" t="s">
        <v>6</v>
      </c>
      <c r="I6" s="25"/>
      <c r="K6" s="26" t="s">
        <v>7</v>
      </c>
      <c r="L6" s="26"/>
    </row>
    <row r="7" customFormat="false" ht="12.75" hidden="false" customHeight="false" outlineLevel="0" collapsed="false">
      <c r="A7" s="27" t="s">
        <v>8</v>
      </c>
      <c r="B7" s="6"/>
      <c r="D7" s="28" t="n">
        <f aca="false">C213+C233</f>
        <v>443.716</v>
      </c>
      <c r="E7" s="29" t="n">
        <f aca="false">736.504-E11-E12</f>
        <v>514.486</v>
      </c>
      <c r="F7" s="28" t="n">
        <v>541.2</v>
      </c>
      <c r="G7" s="30" t="n">
        <f aca="false">D7*1.1</f>
        <v>488.0876</v>
      </c>
      <c r="H7" s="31" t="n">
        <f aca="false">D7*0.9</f>
        <v>399.3444</v>
      </c>
      <c r="I7" s="32"/>
      <c r="K7" s="33" t="s">
        <v>9</v>
      </c>
      <c r="L7" s="34" t="n">
        <f aca="false">C140</f>
        <v>16.5</v>
      </c>
      <c r="N7" s="0"/>
      <c r="O7" s="0"/>
    </row>
    <row r="8" customFormat="false" ht="12.75" hidden="false" customHeight="false" outlineLevel="0" collapsed="false">
      <c r="A8" s="27" t="s">
        <v>375</v>
      </c>
      <c r="B8" s="6"/>
      <c r="C8" s="35"/>
      <c r="D8" s="278" t="n">
        <f aca="false">70+70</f>
        <v>140</v>
      </c>
      <c r="E8" s="29" t="n">
        <f aca="false">71.396+94.42</f>
        <v>165.816</v>
      </c>
      <c r="F8" s="37" t="n">
        <f aca="false">39.366+43.281</f>
        <v>82.647</v>
      </c>
      <c r="G8" s="38" t="n">
        <f aca="false">73+105</f>
        <v>178</v>
      </c>
      <c r="H8" s="31" t="n">
        <f aca="false">65.7+60</f>
        <v>125.7</v>
      </c>
      <c r="I8" s="25"/>
      <c r="K8" s="39" t="s">
        <v>11</v>
      </c>
      <c r="L8" s="40" t="n">
        <f aca="false">C141+C217</f>
        <v>0</v>
      </c>
      <c r="N8" s="0"/>
      <c r="O8" s="0"/>
    </row>
    <row r="9" customFormat="false" ht="12.75" hidden="false" customHeight="false" outlineLevel="0" collapsed="false">
      <c r="A9" s="27" t="s">
        <v>12</v>
      </c>
      <c r="B9" s="6"/>
      <c r="C9" s="6"/>
      <c r="D9" s="278" t="n">
        <v>15</v>
      </c>
      <c r="E9" s="29" t="n">
        <v>36.81</v>
      </c>
      <c r="F9" s="37" t="n">
        <v>20.407</v>
      </c>
      <c r="G9" s="38" t="n">
        <v>60</v>
      </c>
      <c r="H9" s="31" t="n">
        <v>20</v>
      </c>
      <c r="I9" s="25"/>
      <c r="K9" s="39" t="s">
        <v>13</v>
      </c>
      <c r="L9" s="41" t="n">
        <f aca="false">C147+C219</f>
        <v>18</v>
      </c>
      <c r="N9" s="0"/>
      <c r="O9" s="0"/>
    </row>
    <row r="10" customFormat="false" ht="12.75" hidden="false" customHeight="false" outlineLevel="0" collapsed="false">
      <c r="A10" s="27" t="s">
        <v>14</v>
      </c>
      <c r="B10" s="6"/>
      <c r="C10" s="6"/>
      <c r="D10" s="278" t="n">
        <v>34.118</v>
      </c>
      <c r="E10" s="29" t="n">
        <v>33.025</v>
      </c>
      <c r="F10" s="37" t="n">
        <v>77</v>
      </c>
      <c r="G10" s="38" t="n">
        <v>0</v>
      </c>
      <c r="H10" s="31" t="n">
        <v>0</v>
      </c>
      <c r="I10" s="42"/>
      <c r="K10" s="39" t="s">
        <v>15</v>
      </c>
      <c r="L10" s="40" t="n">
        <f aca="false">C149+C220</f>
        <v>0</v>
      </c>
      <c r="N10" s="0"/>
      <c r="O10" s="0"/>
    </row>
    <row r="11" customFormat="false" ht="12.75" hidden="false" customHeight="false" outlineLevel="0" collapsed="false">
      <c r="A11" s="27" t="s">
        <v>16</v>
      </c>
      <c r="B11" s="6"/>
      <c r="C11" s="6"/>
      <c r="D11" s="278" t="n">
        <f aca="false">87.241+15+0.4</f>
        <v>102.641</v>
      </c>
      <c r="E11" s="29" t="n">
        <v>126.13</v>
      </c>
      <c r="F11" s="37" t="n">
        <v>114.28</v>
      </c>
      <c r="G11" s="38" t="n">
        <v>145</v>
      </c>
      <c r="H11" s="31" t="n">
        <v>90</v>
      </c>
      <c r="I11" s="25"/>
      <c r="K11" s="39" t="s">
        <v>17</v>
      </c>
      <c r="L11" s="40" t="n">
        <f aca="false">C156+C221</f>
        <v>0</v>
      </c>
      <c r="N11" s="0"/>
      <c r="O11" s="0"/>
    </row>
    <row r="12" customFormat="false" ht="12.75" hidden="false" customHeight="false" outlineLevel="0" collapsed="false">
      <c r="A12" s="27" t="s">
        <v>18</v>
      </c>
      <c r="B12" s="6"/>
      <c r="C12" s="6"/>
      <c r="D12" s="278" t="n">
        <v>95</v>
      </c>
      <c r="E12" s="29" t="n">
        <v>95.888</v>
      </c>
      <c r="F12" s="37" t="n">
        <v>106.53</v>
      </c>
      <c r="G12" s="38" t="n">
        <f aca="false">90*1.05</f>
        <v>94.5</v>
      </c>
      <c r="H12" s="31" t="n">
        <f aca="false">90*0.95</f>
        <v>85.5</v>
      </c>
      <c r="I12" s="25"/>
      <c r="K12" s="39" t="s">
        <v>19</v>
      </c>
      <c r="L12" s="40" t="n">
        <f aca="false">C166+C224</f>
        <v>65</v>
      </c>
      <c r="N12" s="0"/>
      <c r="O12" s="0"/>
    </row>
    <row r="13" customFormat="false" ht="12.75" hidden="false" customHeight="false" outlineLevel="0" collapsed="false">
      <c r="A13" s="27" t="s">
        <v>20</v>
      </c>
      <c r="B13" s="6"/>
      <c r="C13" s="6"/>
      <c r="D13" s="278" t="n">
        <v>55</v>
      </c>
      <c r="E13" s="29" t="n">
        <v>55</v>
      </c>
      <c r="F13" s="37" t="n">
        <v>53.493</v>
      </c>
      <c r="G13" s="38" t="n">
        <v>180</v>
      </c>
      <c r="H13" s="31" t="n">
        <v>0</v>
      </c>
      <c r="I13" s="25"/>
      <c r="J13" s="0"/>
      <c r="K13" s="39" t="s">
        <v>21</v>
      </c>
      <c r="L13" s="40" t="n">
        <f aca="false">C165+C223</f>
        <v>33</v>
      </c>
      <c r="N13" s="0"/>
      <c r="O13" s="0"/>
    </row>
    <row r="14" customFormat="false" ht="12.75" hidden="false" customHeight="false" outlineLevel="0" collapsed="false">
      <c r="A14" s="27" t="s">
        <v>22</v>
      </c>
      <c r="B14" s="6"/>
      <c r="C14" s="6"/>
      <c r="D14" s="37" t="n">
        <f aca="false">B94</f>
        <v>11.058</v>
      </c>
      <c r="E14" s="29" t="n">
        <v>10.558</v>
      </c>
      <c r="F14" s="37" t="n">
        <v>6.7</v>
      </c>
      <c r="G14" s="38" t="n">
        <f aca="false">D14*1.05</f>
        <v>11.6109</v>
      </c>
      <c r="H14" s="31" t="n">
        <f aca="false">D14*0.95</f>
        <v>10.5051</v>
      </c>
      <c r="I14" s="25"/>
      <c r="K14" s="39" t="s">
        <v>23</v>
      </c>
      <c r="L14" s="40" t="n">
        <f aca="false">C169+C225</f>
        <v>30</v>
      </c>
      <c r="N14" s="0"/>
      <c r="O14" s="0"/>
    </row>
    <row r="15" customFormat="false" ht="12.75" hidden="false" customHeight="false" outlineLevel="0" collapsed="false">
      <c r="A15" s="27" t="s">
        <v>370</v>
      </c>
      <c r="B15" s="6"/>
      <c r="C15" s="6"/>
      <c r="D15" s="37" t="n">
        <f aca="false">SUM(D16:D18)</f>
        <v>215</v>
      </c>
      <c r="E15" s="29" t="n">
        <f aca="false">SUM(E16:E18)</f>
        <v>201</v>
      </c>
      <c r="F15" s="37" t="n">
        <f aca="false">SUM(F16:F18)</f>
        <v>141</v>
      </c>
      <c r="G15" s="38" t="n">
        <v>1174</v>
      </c>
      <c r="H15" s="31" t="n">
        <v>0</v>
      </c>
      <c r="I15" s="25"/>
      <c r="K15" s="39" t="s">
        <v>25</v>
      </c>
      <c r="L15" s="40" t="n">
        <f aca="false">C181+C227</f>
        <v>20</v>
      </c>
      <c r="N15" s="0"/>
      <c r="O15" s="0"/>
    </row>
    <row r="16" customFormat="false" ht="12.75" hidden="false" customHeight="false" outlineLevel="0" collapsed="false">
      <c r="A16" s="27" t="s">
        <v>371</v>
      </c>
      <c r="B16" s="43"/>
      <c r="C16" s="6"/>
      <c r="D16" s="44" t="n">
        <v>150</v>
      </c>
      <c r="E16" s="29" t="n">
        <f aca="false">127+5</f>
        <v>132</v>
      </c>
      <c r="F16" s="37" t="n">
        <v>75</v>
      </c>
      <c r="G16" s="38"/>
      <c r="H16" s="31"/>
      <c r="I16" s="25"/>
      <c r="K16" s="39" t="s">
        <v>27</v>
      </c>
      <c r="L16" s="40" t="n">
        <f aca="false">C137</f>
        <v>0</v>
      </c>
      <c r="N16" s="0"/>
      <c r="O16" s="0"/>
      <c r="P16" s="0"/>
    </row>
    <row r="17" customFormat="false" ht="12.75" hidden="false" customHeight="false" outlineLevel="0" collapsed="false">
      <c r="A17" s="27" t="s">
        <v>372</v>
      </c>
      <c r="B17" s="43"/>
      <c r="C17" s="6"/>
      <c r="D17" s="44" t="n">
        <v>10</v>
      </c>
      <c r="E17" s="29" t="n">
        <v>10</v>
      </c>
      <c r="F17" s="37" t="n">
        <v>8</v>
      </c>
      <c r="G17" s="38"/>
      <c r="H17" s="31"/>
      <c r="I17" s="25"/>
      <c r="K17" s="39" t="s">
        <v>29</v>
      </c>
      <c r="L17" s="40" t="n">
        <f aca="false">C199+C229</f>
        <v>40</v>
      </c>
      <c r="N17" s="0"/>
      <c r="O17" s="0"/>
      <c r="P17" s="0"/>
    </row>
    <row r="18" customFormat="false" ht="12.75" hidden="false" customHeight="false" outlineLevel="0" collapsed="false">
      <c r="A18" s="27" t="s">
        <v>373</v>
      </c>
      <c r="B18" s="43"/>
      <c r="C18" s="6"/>
      <c r="D18" s="44" t="n">
        <v>55</v>
      </c>
      <c r="E18" s="29" t="n">
        <v>59</v>
      </c>
      <c r="F18" s="37" t="n">
        <v>58</v>
      </c>
      <c r="G18" s="38"/>
      <c r="H18" s="31"/>
      <c r="I18" s="25"/>
      <c r="K18" s="39" t="s">
        <v>31</v>
      </c>
      <c r="L18" s="40" t="n">
        <f aca="false">C200</f>
        <v>19</v>
      </c>
      <c r="N18" s="0"/>
      <c r="O18" s="0"/>
      <c r="P18" s="0"/>
    </row>
    <row r="19" customFormat="false" ht="13.5" hidden="false" customHeight="false" outlineLevel="0" collapsed="false">
      <c r="A19" s="27" t="s">
        <v>26</v>
      </c>
      <c r="B19" s="35"/>
      <c r="C19" s="35"/>
      <c r="D19" s="37" t="n">
        <f aca="false">F95-B94</f>
        <v>233</v>
      </c>
      <c r="E19" s="29" t="n">
        <f aca="false">Jan!D16</f>
        <v>257.21</v>
      </c>
      <c r="F19" s="37" t="n">
        <v>0</v>
      </c>
      <c r="G19" s="38" t="n">
        <v>0</v>
      </c>
      <c r="H19" s="31" t="n">
        <v>0</v>
      </c>
      <c r="I19" s="45"/>
      <c r="K19" s="55" t="s">
        <v>33</v>
      </c>
      <c r="L19" s="56" t="n">
        <f aca="false">C204+C232</f>
        <v>49</v>
      </c>
      <c r="N19" s="0"/>
      <c r="O19" s="0"/>
    </row>
    <row r="20" customFormat="false" ht="12.75" hidden="false" customHeight="false" outlineLevel="0" collapsed="false">
      <c r="A20" s="27" t="s">
        <v>28</v>
      </c>
      <c r="B20" s="6"/>
      <c r="C20" s="6"/>
      <c r="D20" s="46" t="n">
        <f aca="false">SUM(D7:D19)-D15</f>
        <v>1344.533</v>
      </c>
      <c r="E20" s="46" t="n">
        <f aca="false">SUM(E7:E19)-E15</f>
        <v>1495.923</v>
      </c>
      <c r="F20" s="46" t="n">
        <f aca="false">SUM(F7:F19)-F15</f>
        <v>1143.257</v>
      </c>
      <c r="G20" s="46" t="n">
        <f aca="false">SUM(G7:G19)</f>
        <v>2331.1985</v>
      </c>
      <c r="H20" s="47" t="n">
        <f aca="false">SUM(H7:H19)</f>
        <v>731.0495</v>
      </c>
      <c r="I20" s="32"/>
      <c r="L20" s="0"/>
      <c r="N20" s="0"/>
      <c r="O20" s="48"/>
    </row>
    <row r="21" customFormat="false" ht="12.75" hidden="false" customHeight="false" outlineLevel="0" collapsed="false">
      <c r="A21" s="27" t="s">
        <v>30</v>
      </c>
      <c r="B21" s="6"/>
      <c r="C21" s="6"/>
      <c r="D21" s="49" t="n">
        <f aca="false">D32</f>
        <v>0</v>
      </c>
      <c r="E21" s="50" t="n">
        <v>-64.5161290322581</v>
      </c>
      <c r="F21" s="51" t="n">
        <v>0</v>
      </c>
      <c r="G21" s="52" t="n">
        <v>0</v>
      </c>
      <c r="H21" s="53" t="n">
        <v>0</v>
      </c>
      <c r="I21" s="25"/>
      <c r="L21" s="0"/>
      <c r="N21" s="48"/>
      <c r="O21" s="0"/>
    </row>
    <row r="22" customFormat="false" ht="12.75" hidden="false" customHeight="false" outlineLevel="0" collapsed="false">
      <c r="A22" s="27" t="s">
        <v>32</v>
      </c>
      <c r="B22" s="6"/>
      <c r="C22" s="6"/>
      <c r="D22" s="37" t="n">
        <v>2.5</v>
      </c>
      <c r="E22" s="37" t="n">
        <v>2.5</v>
      </c>
      <c r="F22" s="37" t="n">
        <v>2.5</v>
      </c>
      <c r="G22" s="54" t="n">
        <v>0</v>
      </c>
      <c r="H22" s="53" t="n">
        <v>0</v>
      </c>
      <c r="I22" s="25"/>
      <c r="L22" s="0"/>
      <c r="N22" s="0"/>
    </row>
    <row r="23" customFormat="false" ht="12.75" hidden="false" customHeight="false" outlineLevel="0" collapsed="false">
      <c r="A23" s="16"/>
      <c r="B23" s="6"/>
      <c r="C23" s="57" t="s">
        <v>34</v>
      </c>
      <c r="D23" s="46" t="n">
        <f aca="false">D22+D21+D20</f>
        <v>1347.033</v>
      </c>
      <c r="E23" s="46" t="n">
        <f aca="false">E22+E21+E20</f>
        <v>1433.90687096774</v>
      </c>
      <c r="F23" s="46" t="n">
        <f aca="false">F22+F21+F20</f>
        <v>1145.757</v>
      </c>
      <c r="G23" s="46" t="n">
        <f aca="false">G22+G21+G20</f>
        <v>2331.1985</v>
      </c>
      <c r="H23" s="58" t="n">
        <f aca="false">H22+H21+H20</f>
        <v>731.0495</v>
      </c>
      <c r="I23" s="25"/>
      <c r="L23" s="0"/>
    </row>
    <row r="24" customFormat="false" ht="12.75" hidden="false" customHeight="false" outlineLevel="0" collapsed="false">
      <c r="A24" s="27" t="s">
        <v>35</v>
      </c>
      <c r="B24" s="6"/>
      <c r="C24" s="6"/>
      <c r="D24" s="49" t="n">
        <f aca="false">D44</f>
        <v>1257.892</v>
      </c>
      <c r="E24" s="279" t="n">
        <f aca="false">Jan!D21</f>
        <v>1168.826</v>
      </c>
      <c r="F24" s="279" t="n">
        <v>1660</v>
      </c>
      <c r="G24" s="280" t="n">
        <f aca="false">D24</f>
        <v>1257.892</v>
      </c>
      <c r="H24" s="281" t="n">
        <f aca="false">D24</f>
        <v>1257.892</v>
      </c>
      <c r="I24" s="25"/>
      <c r="L24" s="0"/>
    </row>
    <row r="25" customFormat="false" ht="12.75" hidden="false" customHeight="false" outlineLevel="0" collapsed="false">
      <c r="A25" s="282" t="s">
        <v>37</v>
      </c>
      <c r="B25" s="6"/>
      <c r="C25" s="6"/>
      <c r="D25" s="49" t="n">
        <v>44.4</v>
      </c>
      <c r="E25" s="37" t="n">
        <v>54</v>
      </c>
      <c r="F25" s="37"/>
      <c r="G25" s="51"/>
      <c r="H25" s="53"/>
      <c r="I25" s="25"/>
      <c r="L25" s="0"/>
    </row>
    <row r="26" customFormat="false" ht="13.5" hidden="false" customHeight="false" outlineLevel="0" collapsed="false">
      <c r="A26" s="62"/>
      <c r="B26" s="63"/>
      <c r="C26" s="64" t="s">
        <v>36</v>
      </c>
      <c r="D26" s="65" t="n">
        <f aca="false">D24+D25-D23</f>
        <v>-44.741</v>
      </c>
      <c r="E26" s="65" t="n">
        <f aca="false">E24-E23+E25</f>
        <v>-211.080870967742</v>
      </c>
      <c r="F26" s="65" t="n">
        <f aca="false">F24-F23</f>
        <v>514.243</v>
      </c>
      <c r="G26" s="65" t="n">
        <f aca="false">+G23-G24</f>
        <v>1073.3065</v>
      </c>
      <c r="H26" s="65" t="n">
        <f aca="false">+(H23-H24)</f>
        <v>-526.8425</v>
      </c>
      <c r="I26" s="32"/>
      <c r="L26" s="0"/>
    </row>
    <row r="27" customFormat="false" ht="4.5" hidden="false" customHeight="true" outlineLevel="0" collapsed="false">
      <c r="A27" s="66"/>
      <c r="B27" s="6"/>
      <c r="C27" s="67"/>
      <c r="D27" s="68"/>
      <c r="E27" s="69"/>
      <c r="F27" s="69"/>
      <c r="G27" s="70"/>
      <c r="H27" s="70"/>
      <c r="I27" s="32"/>
      <c r="K27" s="78"/>
      <c r="L27" s="79"/>
    </row>
    <row r="28" customFormat="false" ht="12.75" hidden="false" customHeight="false" outlineLevel="0" collapsed="false">
      <c r="A28" s="16"/>
      <c r="C28" s="73" t="s">
        <v>38</v>
      </c>
      <c r="D28" s="72" t="n">
        <v>0</v>
      </c>
      <c r="E28" s="69"/>
      <c r="F28" s="69"/>
      <c r="G28" s="69"/>
      <c r="H28" s="69"/>
      <c r="I28" s="32"/>
      <c r="L28" s="0"/>
    </row>
    <row r="29" customFormat="false" ht="13.5" hidden="false" customHeight="true" outlineLevel="0" collapsed="false">
      <c r="A29" s="74"/>
      <c r="B29" s="75"/>
      <c r="C29" s="76" t="s">
        <v>39</v>
      </c>
      <c r="D29" s="77" t="n">
        <f aca="false">D26+D28</f>
        <v>-44.741</v>
      </c>
      <c r="E29" s="69"/>
      <c r="F29" s="69"/>
      <c r="G29" s="69"/>
      <c r="H29" s="69"/>
      <c r="I29" s="32"/>
      <c r="J29" s="78"/>
      <c r="L29" s="0"/>
      <c r="M29" s="78"/>
      <c r="N29" s="78"/>
      <c r="O29" s="78"/>
      <c r="P29" s="78"/>
      <c r="Q29" s="78"/>
      <c r="R29" s="78"/>
      <c r="S29" s="78"/>
      <c r="T29" s="78"/>
      <c r="U29" s="78"/>
      <c r="V29" s="78"/>
      <c r="W29" s="78"/>
      <c r="X29" s="78"/>
      <c r="Y29" s="78"/>
      <c r="Z29" s="78"/>
      <c r="AA29" s="78"/>
      <c r="AB29" s="78"/>
      <c r="AC29" s="78"/>
      <c r="AD29" s="78"/>
      <c r="AE29" s="78"/>
      <c r="AF29" s="78"/>
      <c r="AG29" s="78"/>
      <c r="AH29" s="78"/>
      <c r="AI29" s="78"/>
      <c r="AJ29" s="78"/>
      <c r="AK29" s="80"/>
      <c r="AL29" s="80"/>
      <c r="AM29" s="80"/>
      <c r="AN29" s="80"/>
      <c r="AO29" s="80"/>
      <c r="AP29" s="80"/>
      <c r="AQ29" s="80"/>
      <c r="AR29" s="80"/>
      <c r="AS29" s="80"/>
      <c r="AT29" s="80"/>
      <c r="AU29" s="80"/>
      <c r="AV29" s="80"/>
      <c r="AW29" s="80"/>
      <c r="AX29" s="80"/>
      <c r="AY29" s="80"/>
      <c r="AZ29" s="80"/>
      <c r="BA29" s="80"/>
      <c r="BB29" s="80"/>
      <c r="BC29" s="80"/>
      <c r="BD29" s="80"/>
      <c r="BE29" s="80"/>
      <c r="BF29" s="80"/>
      <c r="BG29" s="80"/>
      <c r="BH29" s="80"/>
      <c r="BI29" s="80"/>
      <c r="BJ29" s="80"/>
      <c r="BK29" s="80"/>
      <c r="BL29" s="80"/>
      <c r="BM29" s="80"/>
      <c r="BN29" s="80"/>
      <c r="BO29" s="80"/>
      <c r="BP29" s="80"/>
      <c r="BQ29" s="80"/>
      <c r="BR29" s="80"/>
      <c r="BS29" s="80"/>
      <c r="BT29" s="80"/>
      <c r="BU29" s="80"/>
      <c r="BV29" s="80"/>
      <c r="BW29" s="80"/>
      <c r="BX29" s="80"/>
      <c r="BY29" s="80"/>
      <c r="BZ29" s="80"/>
      <c r="CA29" s="80"/>
      <c r="CB29" s="80"/>
      <c r="CC29" s="80"/>
      <c r="CD29" s="80"/>
      <c r="CE29" s="80"/>
      <c r="CF29" s="80"/>
      <c r="CG29" s="80"/>
      <c r="CH29" s="80"/>
      <c r="CI29" s="80"/>
      <c r="CJ29" s="80"/>
      <c r="CK29" s="80"/>
      <c r="CL29" s="80"/>
      <c r="CM29" s="80"/>
      <c r="CN29" s="80"/>
      <c r="CO29" s="80"/>
      <c r="CP29" s="80"/>
      <c r="CQ29" s="80"/>
      <c r="CR29" s="80"/>
      <c r="CS29" s="80"/>
      <c r="CT29" s="80"/>
      <c r="CU29" s="80"/>
      <c r="CV29" s="80"/>
      <c r="CW29" s="80"/>
      <c r="CX29" s="80"/>
      <c r="CY29" s="80"/>
      <c r="CZ29" s="80"/>
      <c r="DA29" s="80"/>
      <c r="DB29" s="80"/>
      <c r="DC29" s="80"/>
      <c r="DD29" s="80"/>
      <c r="DE29" s="80"/>
      <c r="DF29" s="80"/>
      <c r="DG29" s="80"/>
      <c r="DH29" s="80"/>
      <c r="DI29" s="80"/>
      <c r="DJ29" s="80"/>
      <c r="DK29" s="80"/>
      <c r="DL29" s="80"/>
      <c r="DM29" s="80"/>
      <c r="DN29" s="80"/>
      <c r="DO29" s="80"/>
      <c r="DP29" s="80"/>
      <c r="DQ29" s="80"/>
      <c r="DR29" s="80"/>
      <c r="DS29" s="80"/>
      <c r="DT29" s="80"/>
      <c r="DU29" s="80"/>
      <c r="DV29" s="80"/>
      <c r="DW29" s="80"/>
      <c r="DX29" s="80"/>
      <c r="DY29" s="80"/>
      <c r="DZ29" s="80"/>
      <c r="EA29" s="80"/>
      <c r="EB29" s="80"/>
      <c r="EC29" s="80"/>
      <c r="ED29" s="80"/>
      <c r="EE29" s="80"/>
      <c r="EF29" s="80"/>
      <c r="EG29" s="80"/>
      <c r="EH29" s="80"/>
      <c r="EI29" s="80"/>
      <c r="EJ29" s="80"/>
      <c r="EK29" s="80"/>
      <c r="EL29" s="80"/>
      <c r="EM29" s="80"/>
      <c r="EN29" s="80"/>
      <c r="EO29" s="80"/>
      <c r="EP29" s="80"/>
      <c r="EQ29" s="80"/>
      <c r="ER29" s="80"/>
      <c r="ES29" s="80"/>
      <c r="ET29" s="80"/>
      <c r="EU29" s="80"/>
      <c r="EV29" s="80"/>
      <c r="EW29" s="80"/>
      <c r="EX29" s="80"/>
      <c r="EY29" s="80"/>
      <c r="EZ29" s="80"/>
      <c r="FA29" s="80"/>
      <c r="FB29" s="80"/>
      <c r="FC29" s="80"/>
      <c r="FD29" s="80"/>
      <c r="FE29" s="80"/>
      <c r="FF29" s="80"/>
      <c r="FG29" s="80"/>
      <c r="FH29" s="80"/>
      <c r="FI29" s="80"/>
      <c r="FJ29" s="80"/>
      <c r="FK29" s="80"/>
      <c r="FL29" s="80"/>
      <c r="FM29" s="80"/>
      <c r="FN29" s="80"/>
      <c r="FO29" s="80"/>
      <c r="FP29" s="80"/>
      <c r="FQ29" s="80"/>
      <c r="FR29" s="80"/>
      <c r="FS29" s="80"/>
      <c r="FT29" s="80"/>
      <c r="FU29" s="80"/>
      <c r="FV29" s="80"/>
      <c r="FW29" s="80"/>
      <c r="FX29" s="80"/>
      <c r="FY29" s="80"/>
      <c r="FZ29" s="80"/>
      <c r="GA29" s="80"/>
      <c r="GB29" s="80"/>
      <c r="GC29" s="80"/>
      <c r="GD29" s="80"/>
      <c r="GE29" s="80"/>
      <c r="GF29" s="80"/>
      <c r="GG29" s="80"/>
      <c r="GH29" s="80"/>
      <c r="GI29" s="80"/>
      <c r="GJ29" s="80"/>
      <c r="GK29" s="80"/>
      <c r="GL29" s="80"/>
      <c r="GM29" s="80"/>
      <c r="GN29" s="80"/>
      <c r="GO29" s="80"/>
      <c r="GP29" s="80"/>
      <c r="GQ29" s="80"/>
      <c r="GR29" s="80"/>
      <c r="GS29" s="80"/>
      <c r="GT29" s="80"/>
      <c r="GU29" s="80"/>
      <c r="GV29" s="80"/>
      <c r="GW29" s="80"/>
      <c r="GX29" s="80"/>
      <c r="GY29" s="80"/>
      <c r="GZ29" s="80"/>
      <c r="HA29" s="80"/>
      <c r="HB29" s="80"/>
      <c r="HC29" s="80"/>
      <c r="HD29" s="80"/>
      <c r="HE29" s="80"/>
      <c r="HF29" s="80"/>
      <c r="HG29" s="80"/>
      <c r="HH29" s="80"/>
      <c r="HI29" s="80"/>
      <c r="HJ29" s="80"/>
      <c r="HK29" s="80"/>
      <c r="HL29" s="80"/>
      <c r="HM29" s="80"/>
      <c r="HN29" s="80"/>
      <c r="HO29" s="80"/>
      <c r="HP29" s="80"/>
      <c r="HQ29" s="80"/>
      <c r="HR29" s="80"/>
      <c r="HS29" s="80"/>
      <c r="HT29" s="80"/>
      <c r="HU29" s="80"/>
      <c r="HV29" s="80"/>
      <c r="HW29" s="80"/>
      <c r="HX29" s="80"/>
      <c r="HY29" s="80"/>
      <c r="HZ29" s="80"/>
      <c r="IA29" s="80"/>
      <c r="IB29" s="80"/>
      <c r="IC29" s="80"/>
      <c r="ID29" s="80"/>
      <c r="IE29" s="80"/>
      <c r="IF29" s="80"/>
      <c r="IG29" s="80"/>
      <c r="IH29" s="80"/>
      <c r="II29" s="80"/>
      <c r="IJ29" s="80"/>
      <c r="IK29" s="80"/>
      <c r="IL29" s="80"/>
      <c r="IM29" s="80"/>
      <c r="IN29" s="80"/>
      <c r="IO29" s="80"/>
      <c r="IP29" s="80"/>
      <c r="IQ29" s="80"/>
      <c r="IR29" s="80"/>
      <c r="IS29" s="80"/>
      <c r="IT29" s="80"/>
      <c r="IU29" s="80"/>
      <c r="IV29" s="80"/>
      <c r="IW29" s="80"/>
    </row>
    <row r="30" customFormat="false" ht="8.25" hidden="false" customHeight="true" outlineLevel="0" collapsed="false">
      <c r="A30" s="81"/>
      <c r="B30" s="82"/>
      <c r="C30" s="83"/>
      <c r="D30" s="84"/>
      <c r="E30" s="6"/>
      <c r="F30" s="6"/>
      <c r="G30" s="85"/>
      <c r="H30" s="86"/>
      <c r="I30" s="87"/>
      <c r="K30" s="0"/>
    </row>
    <row r="31" customFormat="false" ht="13.5" hidden="false" customHeight="false" outlineLevel="0" collapsed="false">
      <c r="A31" s="88" t="s">
        <v>376</v>
      </c>
      <c r="B31" s="88"/>
      <c r="C31" s="88"/>
      <c r="D31" s="88"/>
      <c r="E31" s="89" t="s">
        <v>41</v>
      </c>
      <c r="F31" s="89"/>
      <c r="G31" s="89"/>
      <c r="H31" s="89"/>
      <c r="I31" s="90" t="s">
        <v>42</v>
      </c>
      <c r="J31" s="90"/>
      <c r="K31" s="109"/>
      <c r="L31" s="109"/>
    </row>
    <row r="32" customFormat="false" ht="13.5" hidden="false" customHeight="false" outlineLevel="0" collapsed="false">
      <c r="A32" s="27" t="s">
        <v>43</v>
      </c>
      <c r="B32" s="85"/>
      <c r="C32" s="85"/>
      <c r="D32" s="268" t="n">
        <v>0</v>
      </c>
      <c r="E32" s="92" t="s">
        <v>44</v>
      </c>
      <c r="F32" s="92"/>
      <c r="G32" s="90" t="s">
        <v>45</v>
      </c>
      <c r="H32" s="90"/>
      <c r="I32" s="93" t="s">
        <v>46</v>
      </c>
      <c r="J32" s="94" t="s">
        <v>47</v>
      </c>
      <c r="K32" s="112"/>
      <c r="L32" s="112"/>
    </row>
    <row r="33" customFormat="false" ht="13.5" hidden="false" customHeight="false" outlineLevel="0" collapsed="false">
      <c r="A33" s="16" t="s">
        <v>48</v>
      </c>
      <c r="B33" s="95" t="n">
        <f aca="false">-386.673*29</f>
        <v>-11213.517</v>
      </c>
      <c r="C33" s="0" t="s">
        <v>49</v>
      </c>
      <c r="D33" s="96"/>
      <c r="E33" s="269" t="s">
        <v>84</v>
      </c>
      <c r="F33" s="270" t="n">
        <v>5</v>
      </c>
      <c r="G33" s="99" t="s">
        <v>377</v>
      </c>
      <c r="H33" s="100" t="n">
        <v>0.8</v>
      </c>
      <c r="I33" s="101" t="n">
        <f aca="false">57.5+5</f>
        <v>62.5</v>
      </c>
      <c r="J33" s="102" t="n">
        <f aca="false">60+5+10+15+10</f>
        <v>100</v>
      </c>
      <c r="K33" s="87"/>
      <c r="L33" s="87"/>
    </row>
    <row r="34" customFormat="false" ht="13.5" hidden="false" customHeight="false" outlineLevel="0" collapsed="false">
      <c r="A34" s="16" t="s">
        <v>52</v>
      </c>
      <c r="B34" s="103" t="n">
        <v>0</v>
      </c>
      <c r="C34" s="6"/>
      <c r="D34" s="104"/>
      <c r="E34" s="99" t="s">
        <v>310</v>
      </c>
      <c r="F34" s="100" t="n">
        <v>0.2</v>
      </c>
      <c r="G34" s="99" t="s">
        <v>378</v>
      </c>
      <c r="H34" s="100" t="n">
        <v>4</v>
      </c>
      <c r="I34" s="283" t="s">
        <v>55</v>
      </c>
      <c r="J34" s="108" t="n">
        <f aca="false">+I33-J33</f>
        <v>-37.5</v>
      </c>
      <c r="K34" s="0"/>
      <c r="L34" s="0"/>
    </row>
    <row r="35" customFormat="false" ht="13.5" hidden="false" customHeight="false" outlineLevel="0" collapsed="false">
      <c r="A35" s="110"/>
      <c r="B35" s="63"/>
      <c r="C35" s="63"/>
      <c r="D35" s="111"/>
      <c r="E35" s="269" t="s">
        <v>379</v>
      </c>
      <c r="F35" s="270" t="n">
        <v>4</v>
      </c>
      <c r="G35" s="99" t="s">
        <v>289</v>
      </c>
      <c r="H35" s="100" t="n">
        <v>1</v>
      </c>
      <c r="I35" s="0"/>
      <c r="J35" s="0"/>
      <c r="K35" s="0"/>
      <c r="L35" s="0"/>
    </row>
    <row r="36" customFormat="false" ht="13.5" hidden="false" customHeight="false" outlineLevel="0" collapsed="false">
      <c r="A36" s="113"/>
      <c r="B36" s="114"/>
      <c r="C36" s="114"/>
      <c r="D36" s="115"/>
      <c r="E36" s="269"/>
      <c r="F36" s="270"/>
      <c r="G36" s="99"/>
      <c r="H36" s="100"/>
      <c r="I36" s="90" t="s">
        <v>60</v>
      </c>
      <c r="J36" s="90"/>
      <c r="K36" s="126"/>
      <c r="L36" s="0"/>
    </row>
    <row r="37" customFormat="false" ht="13.5" hidden="false" customHeight="false" outlineLevel="0" collapsed="false">
      <c r="A37" s="116" t="s">
        <v>61</v>
      </c>
      <c r="B37" s="116"/>
      <c r="C37" s="116"/>
      <c r="D37" s="116"/>
      <c r="E37" s="117"/>
      <c r="F37" s="118"/>
      <c r="G37" s="119"/>
      <c r="H37" s="120"/>
      <c r="I37" s="93" t="s">
        <v>64</v>
      </c>
      <c r="J37" s="94" t="s">
        <v>65</v>
      </c>
      <c r="K37" s="126"/>
      <c r="L37" s="0"/>
    </row>
    <row r="38" customFormat="false" ht="13.5" hidden="false" customHeight="false" outlineLevel="0" collapsed="false">
      <c r="A38" s="27"/>
      <c r="B38" s="6"/>
      <c r="C38" s="6"/>
      <c r="D38" s="121"/>
      <c r="E38" s="117"/>
      <c r="F38" s="118"/>
      <c r="G38" s="119"/>
      <c r="H38" s="120"/>
      <c r="I38" s="284" t="n">
        <v>0</v>
      </c>
      <c r="J38" s="123" t="n">
        <f aca="false">10-30+10</f>
        <v>-10</v>
      </c>
      <c r="K38" s="126"/>
      <c r="L38" s="0"/>
    </row>
    <row r="39" customFormat="false" ht="13.5" hidden="false" customHeight="false" outlineLevel="0" collapsed="false">
      <c r="A39" s="27" t="s">
        <v>67</v>
      </c>
      <c r="B39" s="6"/>
      <c r="C39" s="6"/>
      <c r="D39" s="124" t="n">
        <f aca="false">K218/1000</f>
        <v>89.093</v>
      </c>
      <c r="E39" s="117"/>
      <c r="F39" s="118"/>
      <c r="G39" s="119"/>
      <c r="H39" s="120"/>
      <c r="I39" s="125" t="s">
        <v>68</v>
      </c>
      <c r="J39" s="94" t="s">
        <v>69</v>
      </c>
      <c r="K39" s="0"/>
      <c r="L39" s="0"/>
    </row>
    <row r="40" customFormat="false" ht="13.5" hidden="false" customHeight="false" outlineLevel="0" collapsed="false">
      <c r="A40" s="27" t="s">
        <v>70</v>
      </c>
      <c r="B40" s="6"/>
      <c r="C40" s="6"/>
      <c r="D40" s="121" t="n">
        <f aca="false">L95</f>
        <v>485.995</v>
      </c>
      <c r="E40" s="117"/>
      <c r="F40" s="118"/>
      <c r="G40" s="127"/>
      <c r="H40" s="128"/>
      <c r="I40" s="129" t="n">
        <v>40</v>
      </c>
      <c r="J40" s="285" t="n">
        <v>0</v>
      </c>
      <c r="K40" s="0"/>
      <c r="L40" s="0"/>
    </row>
    <row r="41" customFormat="false" ht="13.5" hidden="false" customHeight="false" outlineLevel="0" collapsed="false">
      <c r="A41" s="27" t="s">
        <v>71</v>
      </c>
      <c r="B41" s="6"/>
      <c r="C41" s="6"/>
      <c r="D41" s="286" t="n">
        <v>40</v>
      </c>
      <c r="E41" s="117"/>
      <c r="F41" s="118"/>
      <c r="G41" s="127"/>
      <c r="H41" s="128"/>
      <c r="I41" s="287" t="s">
        <v>72</v>
      </c>
      <c r="J41" s="108" t="n">
        <f aca="false">J34+I38+J38+I40+J40</f>
        <v>-7.5</v>
      </c>
      <c r="K41" s="0"/>
      <c r="L41" s="0"/>
    </row>
    <row r="42" customFormat="false" ht="13.5" hidden="false" customHeight="false" outlineLevel="0" collapsed="false">
      <c r="A42" s="27" t="s">
        <v>73</v>
      </c>
      <c r="B42" s="6"/>
      <c r="C42" s="6"/>
      <c r="D42" s="133" t="n">
        <v>642.804</v>
      </c>
      <c r="E42" s="117"/>
      <c r="F42" s="118"/>
      <c r="G42" s="6"/>
      <c r="H42" s="7"/>
      <c r="K42" s="0"/>
      <c r="L42" s="0"/>
    </row>
    <row r="43" customFormat="false" ht="13.5" hidden="false" customHeight="false" outlineLevel="0" collapsed="false">
      <c r="A43" s="27"/>
      <c r="B43" s="6"/>
      <c r="C43" s="6"/>
      <c r="D43" s="121"/>
      <c r="E43" s="117"/>
      <c r="F43" s="118"/>
      <c r="G43" s="6"/>
      <c r="H43" s="7"/>
      <c r="I43" s="90" t="s">
        <v>74</v>
      </c>
      <c r="J43" s="90"/>
      <c r="K43" s="0"/>
      <c r="L43" s="0"/>
    </row>
    <row r="44" customFormat="false" ht="13.5" hidden="false" customHeight="false" outlineLevel="0" collapsed="false">
      <c r="A44" s="62"/>
      <c r="B44" s="134" t="s">
        <v>75</v>
      </c>
      <c r="C44" s="135" t="str">
        <f aca="false">+F5</f>
        <v>Feb</v>
      </c>
      <c r="D44" s="136" t="n">
        <f aca="false">SUM(D39:D42)</f>
        <v>1257.892</v>
      </c>
      <c r="E44" s="137" t="s">
        <v>76</v>
      </c>
      <c r="F44" s="136" t="n">
        <f aca="false">SUM(F33:F42)</f>
        <v>9.2</v>
      </c>
      <c r="G44" s="137" t="s">
        <v>76</v>
      </c>
      <c r="H44" s="136" t="n">
        <f aca="false">SUM(H33:H43)</f>
        <v>5.8</v>
      </c>
      <c r="I44" s="0"/>
      <c r="J44" s="108" t="n">
        <v>15</v>
      </c>
      <c r="K44" s="0"/>
      <c r="L44" s="0"/>
    </row>
    <row r="45" customFormat="false" ht="12.75" hidden="false" customHeight="false" outlineLevel="0" collapsed="false"/>
    <row r="46" customFormat="false" ht="12.75" hidden="false" customHeight="false" outlineLevel="0" collapsed="false">
      <c r="A46" s="138" t="s">
        <v>77</v>
      </c>
      <c r="B46" s="138"/>
      <c r="C46" s="138"/>
      <c r="D46" s="138"/>
      <c r="E46" s="139"/>
      <c r="F46" s="140"/>
      <c r="G46" s="93" t="s">
        <v>78</v>
      </c>
      <c r="H46" s="93"/>
      <c r="I46" s="93"/>
      <c r="J46" s="93"/>
      <c r="K46" s="93"/>
      <c r="L46" s="93"/>
      <c r="P46" s="1" t="s">
        <v>79</v>
      </c>
    </row>
    <row r="47" customFormat="false" ht="12" hidden="false" customHeight="false" outlineLevel="0" collapsed="false">
      <c r="A47" s="141" t="s">
        <v>80</v>
      </c>
      <c r="B47" s="141"/>
      <c r="C47" s="142" t="s">
        <v>81</v>
      </c>
      <c r="D47" s="142"/>
      <c r="E47" s="143" t="s">
        <v>82</v>
      </c>
      <c r="F47" s="143"/>
      <c r="G47" s="144"/>
      <c r="H47" s="142"/>
      <c r="I47" s="142" t="s">
        <v>81</v>
      </c>
      <c r="J47" s="142"/>
      <c r="K47" s="143" t="s">
        <v>82</v>
      </c>
      <c r="L47" s="143"/>
      <c r="P47" s="1" t="s">
        <v>83</v>
      </c>
      <c r="Q47" s="1" t="n">
        <v>6789</v>
      </c>
      <c r="R47" s="1" t="n">
        <v>8000</v>
      </c>
    </row>
    <row r="48" customFormat="false" ht="12" hidden="false" customHeight="false" outlineLevel="0" collapsed="false">
      <c r="A48" s="145" t="s">
        <v>84</v>
      </c>
      <c r="B48" s="288" t="n">
        <v>0.2</v>
      </c>
      <c r="C48" s="147" t="s">
        <v>85</v>
      </c>
      <c r="D48" s="288" t="n">
        <v>10</v>
      </c>
      <c r="E48" s="148" t="s">
        <v>380</v>
      </c>
      <c r="F48" s="146" t="n">
        <v>15</v>
      </c>
      <c r="G48" s="149"/>
      <c r="H48" s="150"/>
      <c r="I48" s="147" t="s">
        <v>87</v>
      </c>
      <c r="J48" s="289" t="n">
        <v>40</v>
      </c>
      <c r="K48" s="147" t="s">
        <v>127</v>
      </c>
      <c r="L48" s="290" t="n">
        <v>6.024</v>
      </c>
    </row>
    <row r="49" customFormat="false" ht="12" hidden="false" customHeight="false" outlineLevel="0" collapsed="false">
      <c r="A49" s="145" t="s">
        <v>89</v>
      </c>
      <c r="B49" s="288" t="n">
        <v>0.212</v>
      </c>
      <c r="C49" s="147" t="s">
        <v>15</v>
      </c>
      <c r="D49" s="288" t="n">
        <v>5</v>
      </c>
      <c r="E49" s="147" t="s">
        <v>381</v>
      </c>
      <c r="F49" s="290" t="n">
        <v>5</v>
      </c>
      <c r="G49" s="149"/>
      <c r="H49" s="150"/>
      <c r="I49" s="153" t="s">
        <v>91</v>
      </c>
      <c r="J49" s="291" t="n">
        <v>20</v>
      </c>
      <c r="K49" s="147" t="s">
        <v>382</v>
      </c>
      <c r="L49" s="290" t="n">
        <v>1.2</v>
      </c>
    </row>
    <row r="50" customFormat="false" ht="12" hidden="false" customHeight="false" outlineLevel="0" collapsed="false">
      <c r="A50" s="145" t="s">
        <v>92</v>
      </c>
      <c r="B50" s="288" t="n">
        <v>0.048</v>
      </c>
      <c r="C50" s="147" t="s">
        <v>110</v>
      </c>
      <c r="D50" s="288" t="n">
        <v>40</v>
      </c>
      <c r="E50" s="147" t="s">
        <v>106</v>
      </c>
      <c r="F50" s="290" t="n">
        <v>15</v>
      </c>
      <c r="G50" s="149"/>
      <c r="H50" s="150"/>
      <c r="I50" s="153" t="s">
        <v>94</v>
      </c>
      <c r="J50" s="288" t="n">
        <v>20</v>
      </c>
      <c r="K50" s="147" t="s">
        <v>383</v>
      </c>
      <c r="L50" s="290" t="n">
        <v>2</v>
      </c>
    </row>
    <row r="51" customFormat="false" ht="12" hidden="false" customHeight="false" outlineLevel="0" collapsed="false">
      <c r="A51" s="145" t="s">
        <v>96</v>
      </c>
      <c r="B51" s="288" t="n">
        <v>0.45</v>
      </c>
      <c r="C51" s="147" t="s">
        <v>133</v>
      </c>
      <c r="D51" s="288" t="n">
        <v>10</v>
      </c>
      <c r="E51" s="147" t="s">
        <v>110</v>
      </c>
      <c r="F51" s="290" t="n">
        <v>5</v>
      </c>
      <c r="G51" s="149"/>
      <c r="H51" s="150"/>
      <c r="I51" s="153" t="s">
        <v>99</v>
      </c>
      <c r="J51" s="288" t="n">
        <v>20</v>
      </c>
      <c r="K51" s="147" t="s">
        <v>88</v>
      </c>
      <c r="L51" s="290" t="n">
        <v>10</v>
      </c>
    </row>
    <row r="52" customFormat="false" ht="12" hidden="false" customHeight="false" outlineLevel="0" collapsed="false">
      <c r="A52" s="145" t="s">
        <v>101</v>
      </c>
      <c r="B52" s="288" t="n">
        <v>0.048</v>
      </c>
      <c r="C52" s="147" t="s">
        <v>123</v>
      </c>
      <c r="D52" s="288" t="n">
        <v>20</v>
      </c>
      <c r="E52" s="147" t="s">
        <v>384</v>
      </c>
      <c r="F52" s="290" t="n">
        <v>10</v>
      </c>
      <c r="G52" s="149"/>
      <c r="H52" s="150"/>
      <c r="I52" s="153" t="s">
        <v>102</v>
      </c>
      <c r="J52" s="288" t="n">
        <v>3.879</v>
      </c>
      <c r="K52" s="147" t="s">
        <v>385</v>
      </c>
      <c r="L52" s="290" t="n">
        <v>10</v>
      </c>
    </row>
    <row r="53" customFormat="false" ht="12" hidden="false" customHeight="false" outlineLevel="0" collapsed="false">
      <c r="A53" s="145" t="s">
        <v>105</v>
      </c>
      <c r="B53" s="288" t="n">
        <v>0.5</v>
      </c>
      <c r="C53" s="147" t="s">
        <v>109</v>
      </c>
      <c r="D53" s="288" t="n">
        <v>6</v>
      </c>
      <c r="E53" s="147" t="s">
        <v>386</v>
      </c>
      <c r="F53" s="290" t="n">
        <v>5</v>
      </c>
      <c r="G53" s="149"/>
      <c r="H53" s="150"/>
      <c r="I53" s="153" t="s">
        <v>104</v>
      </c>
      <c r="J53" s="288" t="n">
        <v>32.287</v>
      </c>
      <c r="K53" s="147" t="s">
        <v>387</v>
      </c>
      <c r="L53" s="290" t="n">
        <v>10</v>
      </c>
    </row>
    <row r="54" customFormat="false" ht="12" hidden="false" customHeight="false" outlineLevel="0" collapsed="false">
      <c r="A54" s="145" t="s">
        <v>109</v>
      </c>
      <c r="B54" s="292" t="n">
        <v>9.6</v>
      </c>
      <c r="C54" s="147" t="s">
        <v>128</v>
      </c>
      <c r="D54" s="288" t="n">
        <v>2</v>
      </c>
      <c r="E54" s="147" t="s">
        <v>123</v>
      </c>
      <c r="F54" s="290" t="n">
        <v>10</v>
      </c>
      <c r="G54" s="149"/>
      <c r="H54" s="150"/>
      <c r="I54" s="153" t="s">
        <v>107</v>
      </c>
      <c r="J54" s="288" t="n">
        <v>15</v>
      </c>
      <c r="K54" s="147" t="s">
        <v>388</v>
      </c>
      <c r="L54" s="290" t="n">
        <v>15</v>
      </c>
    </row>
    <row r="55" customFormat="false" ht="12" hidden="false" customHeight="false" outlineLevel="0" collapsed="false">
      <c r="A55" s="145"/>
      <c r="B55" s="146"/>
      <c r="C55" s="147"/>
      <c r="D55" s="146"/>
      <c r="E55" s="147" t="s">
        <v>389</v>
      </c>
      <c r="F55" s="152" t="n">
        <v>0</v>
      </c>
      <c r="G55" s="149"/>
      <c r="H55" s="150"/>
      <c r="I55" s="153" t="s">
        <v>112</v>
      </c>
      <c r="J55" s="288" t="n">
        <v>2</v>
      </c>
      <c r="K55" s="147" t="s">
        <v>390</v>
      </c>
      <c r="L55" s="290" t="n">
        <v>5</v>
      </c>
    </row>
    <row r="56" customFormat="false" ht="12" hidden="false" customHeight="false" outlineLevel="0" collapsed="false">
      <c r="A56" s="145"/>
      <c r="B56" s="146"/>
      <c r="C56" s="147"/>
      <c r="D56" s="146"/>
      <c r="E56" s="147" t="s">
        <v>121</v>
      </c>
      <c r="F56" s="290" t="n">
        <v>10</v>
      </c>
      <c r="G56" s="149"/>
      <c r="H56" s="150"/>
      <c r="I56" s="153" t="s">
        <v>115</v>
      </c>
      <c r="J56" s="288" t="n">
        <v>30</v>
      </c>
      <c r="K56" s="147" t="s">
        <v>391</v>
      </c>
      <c r="L56" s="290" t="n">
        <v>0.42</v>
      </c>
    </row>
    <row r="57" customFormat="false" ht="12" hidden="false" customHeight="false" outlineLevel="0" collapsed="false">
      <c r="A57" s="149"/>
      <c r="B57" s="150"/>
      <c r="C57" s="147"/>
      <c r="D57" s="146"/>
      <c r="E57" s="147" t="s">
        <v>392</v>
      </c>
      <c r="F57" s="290" t="n">
        <v>5</v>
      </c>
      <c r="G57" s="149"/>
      <c r="H57" s="150"/>
      <c r="I57" s="153" t="s">
        <v>117</v>
      </c>
      <c r="J57" s="288" t="n">
        <v>5</v>
      </c>
      <c r="K57" s="147" t="s">
        <v>393</v>
      </c>
      <c r="L57" s="290" t="n">
        <v>10</v>
      </c>
    </row>
    <row r="58" customFormat="false" ht="12" hidden="false" customHeight="false" outlineLevel="0" collapsed="false">
      <c r="A58" s="149"/>
      <c r="B58" s="150"/>
      <c r="C58" s="147"/>
      <c r="D58" s="146"/>
      <c r="E58" s="147" t="s">
        <v>394</v>
      </c>
      <c r="F58" s="290" t="n">
        <v>5</v>
      </c>
      <c r="G58" s="149"/>
      <c r="H58" s="150"/>
      <c r="I58" s="153" t="s">
        <v>121</v>
      </c>
      <c r="J58" s="288" t="n">
        <v>20</v>
      </c>
      <c r="K58" s="147" t="s">
        <v>395</v>
      </c>
      <c r="L58" s="290" t="n">
        <v>10</v>
      </c>
    </row>
    <row r="59" customFormat="false" ht="12" hidden="false" customHeight="false" outlineLevel="0" collapsed="false">
      <c r="A59" s="149"/>
      <c r="B59" s="150"/>
      <c r="C59" s="147"/>
      <c r="D59" s="146"/>
      <c r="E59" s="147" t="s">
        <v>396</v>
      </c>
      <c r="F59" s="288" t="n">
        <v>2</v>
      </c>
      <c r="G59" s="149"/>
      <c r="H59" s="150"/>
      <c r="I59" s="153"/>
      <c r="J59" s="146"/>
      <c r="K59" s="147" t="s">
        <v>397</v>
      </c>
      <c r="L59" s="290" t="n">
        <v>10</v>
      </c>
    </row>
    <row r="60" customFormat="false" ht="12" hidden="false" customHeight="false" outlineLevel="0" collapsed="false">
      <c r="A60" s="149"/>
      <c r="B60" s="150"/>
      <c r="C60" s="147"/>
      <c r="D60" s="146"/>
      <c r="E60" s="147"/>
      <c r="F60" s="160"/>
      <c r="G60" s="149"/>
      <c r="H60" s="150"/>
      <c r="I60" s="153"/>
      <c r="J60" s="146"/>
      <c r="K60" s="147" t="s">
        <v>398</v>
      </c>
      <c r="L60" s="290" t="n">
        <v>15</v>
      </c>
    </row>
    <row r="61" customFormat="false" ht="12" hidden="false" customHeight="false" outlineLevel="0" collapsed="false">
      <c r="A61" s="149"/>
      <c r="B61" s="150"/>
      <c r="C61" s="147"/>
      <c r="D61" s="146"/>
      <c r="E61" s="147" t="s">
        <v>399</v>
      </c>
      <c r="F61" s="293" t="n">
        <v>6</v>
      </c>
      <c r="G61" s="149"/>
      <c r="H61" s="150"/>
      <c r="I61" s="153"/>
      <c r="J61" s="146"/>
      <c r="K61" s="147" t="s">
        <v>400</v>
      </c>
      <c r="L61" s="290" t="n">
        <v>10</v>
      </c>
    </row>
    <row r="62" customFormat="false" ht="12" hidden="false" customHeight="false" outlineLevel="0" collapsed="false">
      <c r="A62" s="149"/>
      <c r="B62" s="150"/>
      <c r="C62" s="147"/>
      <c r="D62" s="146"/>
      <c r="E62" s="147"/>
      <c r="F62" s="160"/>
      <c r="G62" s="149"/>
      <c r="H62" s="150"/>
      <c r="I62" s="153"/>
      <c r="J62" s="146"/>
      <c r="K62" s="147" t="s">
        <v>283</v>
      </c>
      <c r="L62" s="290" t="n">
        <v>10</v>
      </c>
    </row>
    <row r="63" customFormat="false" ht="12" hidden="false" customHeight="false" outlineLevel="0" collapsed="false">
      <c r="A63" s="149"/>
      <c r="B63" s="150"/>
      <c r="C63" s="147"/>
      <c r="D63" s="146"/>
      <c r="E63" s="147"/>
      <c r="F63" s="160"/>
      <c r="G63" s="149"/>
      <c r="H63" s="150"/>
      <c r="I63" s="153"/>
      <c r="J63" s="146"/>
      <c r="K63" s="147" t="s">
        <v>283</v>
      </c>
      <c r="L63" s="290" t="n">
        <v>5</v>
      </c>
    </row>
    <row r="64" customFormat="false" ht="12" hidden="false" customHeight="false" outlineLevel="0" collapsed="false">
      <c r="A64" s="149"/>
      <c r="B64" s="150"/>
      <c r="C64" s="147"/>
      <c r="D64" s="146"/>
      <c r="E64" s="147" t="s">
        <v>401</v>
      </c>
      <c r="F64" s="293" t="n">
        <v>5</v>
      </c>
      <c r="G64" s="149"/>
      <c r="H64" s="150"/>
      <c r="I64" s="153"/>
      <c r="J64" s="146"/>
      <c r="K64" s="147" t="s">
        <v>95</v>
      </c>
      <c r="L64" s="290" t="n">
        <v>10</v>
      </c>
    </row>
    <row r="65" customFormat="false" ht="12" hidden="true" customHeight="false" outlineLevel="0" collapsed="false">
      <c r="A65" s="149"/>
      <c r="B65" s="150"/>
      <c r="C65" s="147"/>
      <c r="D65" s="146"/>
      <c r="E65" s="147"/>
      <c r="F65" s="161"/>
      <c r="G65" s="149"/>
      <c r="H65" s="150"/>
      <c r="I65" s="153"/>
      <c r="J65" s="146"/>
      <c r="K65" s="147"/>
      <c r="L65" s="290"/>
    </row>
    <row r="66" customFormat="false" ht="12" hidden="true" customHeight="false" outlineLevel="0" collapsed="false">
      <c r="A66" s="149"/>
      <c r="B66" s="150"/>
      <c r="C66" s="147"/>
      <c r="D66" s="146"/>
      <c r="E66" s="147"/>
      <c r="F66" s="161"/>
      <c r="G66" s="149"/>
      <c r="H66" s="150"/>
      <c r="I66" s="153"/>
      <c r="J66" s="146"/>
      <c r="K66" s="147"/>
      <c r="L66" s="290"/>
    </row>
    <row r="67" customFormat="false" ht="12" hidden="false" customHeight="false" outlineLevel="0" collapsed="false">
      <c r="A67" s="149"/>
      <c r="B67" s="150"/>
      <c r="C67" s="147"/>
      <c r="D67" s="146"/>
      <c r="E67" s="147"/>
      <c r="F67" s="161"/>
      <c r="G67" s="149"/>
      <c r="H67" s="150"/>
      <c r="I67" s="153"/>
      <c r="J67" s="146"/>
      <c r="K67" s="147" t="s">
        <v>95</v>
      </c>
      <c r="L67" s="290" t="n">
        <v>27</v>
      </c>
    </row>
    <row r="68" customFormat="false" ht="12" hidden="false" customHeight="false" outlineLevel="0" collapsed="false">
      <c r="A68" s="149"/>
      <c r="B68" s="150"/>
      <c r="C68" s="147"/>
      <c r="D68" s="146"/>
      <c r="E68" s="147"/>
      <c r="F68" s="161"/>
      <c r="G68" s="149"/>
      <c r="H68" s="150"/>
      <c r="I68" s="153"/>
      <c r="J68" s="146"/>
      <c r="K68" s="147" t="s">
        <v>108</v>
      </c>
      <c r="L68" s="290" t="n">
        <v>5</v>
      </c>
    </row>
    <row r="69" customFormat="false" ht="12" hidden="false" customHeight="false" outlineLevel="0" collapsed="false">
      <c r="A69" s="149"/>
      <c r="B69" s="150"/>
      <c r="C69" s="147"/>
      <c r="D69" s="146"/>
      <c r="E69" s="147"/>
      <c r="F69" s="161"/>
      <c r="G69" s="149"/>
      <c r="H69" s="150"/>
      <c r="I69" s="153"/>
      <c r="J69" s="146"/>
      <c r="K69" s="147" t="s">
        <v>365</v>
      </c>
      <c r="L69" s="290" t="n">
        <v>5</v>
      </c>
    </row>
    <row r="70" customFormat="false" ht="12" hidden="false" customHeight="false" outlineLevel="0" collapsed="false">
      <c r="A70" s="149"/>
      <c r="B70" s="150"/>
      <c r="C70" s="147"/>
      <c r="D70" s="146"/>
      <c r="E70" s="147"/>
      <c r="F70" s="161"/>
      <c r="G70" s="149"/>
      <c r="H70" s="150"/>
      <c r="I70" s="153"/>
      <c r="J70" s="146"/>
      <c r="K70" s="147" t="s">
        <v>365</v>
      </c>
      <c r="L70" s="290" t="n">
        <v>5</v>
      </c>
    </row>
    <row r="71" customFormat="false" ht="12" hidden="false" customHeight="false" outlineLevel="0" collapsed="false">
      <c r="A71" s="149"/>
      <c r="B71" s="150"/>
      <c r="C71" s="147"/>
      <c r="D71" s="146"/>
      <c r="E71" s="147"/>
      <c r="F71" s="161"/>
      <c r="G71" s="149"/>
      <c r="H71" s="150"/>
      <c r="I71" s="153"/>
      <c r="J71" s="146"/>
      <c r="K71" s="147" t="s">
        <v>402</v>
      </c>
      <c r="L71" s="290" t="n">
        <v>5</v>
      </c>
    </row>
    <row r="72" customFormat="false" ht="12" hidden="false" customHeight="false" outlineLevel="0" collapsed="false">
      <c r="A72" s="162"/>
      <c r="B72" s="163"/>
      <c r="C72" s="147"/>
      <c r="D72" s="146"/>
      <c r="E72" s="147"/>
      <c r="F72" s="160"/>
      <c r="G72" s="149"/>
      <c r="H72" s="150"/>
      <c r="I72" s="153"/>
      <c r="J72" s="146"/>
      <c r="K72" s="147" t="s">
        <v>118</v>
      </c>
      <c r="L72" s="290" t="n">
        <v>5</v>
      </c>
    </row>
    <row r="73" customFormat="false" ht="12" hidden="false" customHeight="false" outlineLevel="0" collapsed="false">
      <c r="A73" s="162"/>
      <c r="B73" s="163"/>
      <c r="C73" s="147"/>
      <c r="D73" s="146"/>
      <c r="E73" s="147"/>
      <c r="F73" s="160"/>
      <c r="G73" s="149"/>
      <c r="H73" s="150"/>
      <c r="I73" s="147"/>
      <c r="J73" s="146"/>
      <c r="K73" s="147" t="s">
        <v>118</v>
      </c>
      <c r="L73" s="290" t="n">
        <v>0.26</v>
      </c>
    </row>
    <row r="74" customFormat="false" ht="12" hidden="false" customHeight="false" outlineLevel="0" collapsed="false">
      <c r="A74" s="162"/>
      <c r="B74" s="163"/>
      <c r="C74" s="147"/>
      <c r="D74" s="146"/>
      <c r="E74" s="147"/>
      <c r="F74" s="160"/>
      <c r="G74" s="149"/>
      <c r="H74" s="150"/>
      <c r="I74" s="147"/>
      <c r="J74" s="146"/>
      <c r="K74" s="147" t="s">
        <v>121</v>
      </c>
      <c r="L74" s="290" t="n">
        <v>5</v>
      </c>
    </row>
    <row r="75" customFormat="false" ht="12" hidden="false" customHeight="false" outlineLevel="0" collapsed="false">
      <c r="A75" s="162"/>
      <c r="B75" s="163"/>
      <c r="C75" s="147"/>
      <c r="D75" s="146"/>
      <c r="E75" s="147"/>
      <c r="F75" s="160"/>
      <c r="G75" s="149"/>
      <c r="H75" s="150"/>
      <c r="I75" s="147"/>
      <c r="J75" s="146"/>
      <c r="K75" s="147" t="s">
        <v>121</v>
      </c>
      <c r="L75" s="290" t="n">
        <v>5</v>
      </c>
    </row>
    <row r="76" customFormat="false" ht="12" hidden="false" customHeight="false" outlineLevel="0" collapsed="false">
      <c r="A76" s="162"/>
      <c r="B76" s="163"/>
      <c r="C76" s="164" t="s">
        <v>129</v>
      </c>
      <c r="D76" s="165"/>
      <c r="E76" s="166"/>
      <c r="F76" s="167"/>
      <c r="G76" s="149"/>
      <c r="H76" s="150"/>
      <c r="I76" s="164" t="s">
        <v>129</v>
      </c>
      <c r="J76" s="168"/>
      <c r="K76" s="169"/>
      <c r="L76" s="170"/>
    </row>
    <row r="77" customFormat="false" ht="12" hidden="false" customHeight="false" outlineLevel="0" collapsed="false">
      <c r="A77" s="162"/>
      <c r="B77" s="163"/>
      <c r="C77" s="147" t="s">
        <v>130</v>
      </c>
      <c r="D77" s="288" t="n">
        <v>18</v>
      </c>
      <c r="E77" s="147" t="s">
        <v>403</v>
      </c>
      <c r="F77" s="290" t="n">
        <v>10</v>
      </c>
      <c r="G77" s="171"/>
      <c r="H77" s="150"/>
      <c r="I77" s="147" t="s">
        <v>113</v>
      </c>
      <c r="J77" s="288" t="n">
        <v>5</v>
      </c>
      <c r="K77" s="147" t="s">
        <v>134</v>
      </c>
      <c r="L77" s="290" t="n">
        <v>5</v>
      </c>
    </row>
    <row r="78" customFormat="false" ht="12" hidden="false" customHeight="false" outlineLevel="0" collapsed="false">
      <c r="A78" s="162"/>
      <c r="B78" s="163"/>
      <c r="C78" s="147" t="s">
        <v>131</v>
      </c>
      <c r="D78" s="288" t="n">
        <v>10</v>
      </c>
      <c r="E78" s="147"/>
      <c r="F78" s="152"/>
      <c r="G78" s="149"/>
      <c r="H78" s="150"/>
      <c r="I78" s="147" t="s">
        <v>132</v>
      </c>
      <c r="J78" s="288" t="n">
        <v>8</v>
      </c>
      <c r="K78" s="147" t="s">
        <v>99</v>
      </c>
      <c r="L78" s="290" t="n">
        <v>6.275</v>
      </c>
    </row>
    <row r="79" customFormat="false" ht="12" hidden="false" customHeight="false" outlineLevel="0" collapsed="false">
      <c r="A79" s="162"/>
      <c r="B79" s="163"/>
      <c r="C79" s="147" t="s">
        <v>404</v>
      </c>
      <c r="D79" s="288" t="n">
        <v>4</v>
      </c>
      <c r="E79" s="147"/>
      <c r="F79" s="152"/>
      <c r="G79" s="149"/>
      <c r="H79" s="150"/>
      <c r="I79" s="147"/>
      <c r="J79" s="146"/>
      <c r="K79" s="147" t="s">
        <v>99</v>
      </c>
      <c r="L79" s="290" t="n">
        <v>3.5</v>
      </c>
    </row>
    <row r="80" customFormat="false" ht="12" hidden="false" customHeight="false" outlineLevel="0" collapsed="false">
      <c r="A80" s="162"/>
      <c r="B80" s="163"/>
      <c r="C80" s="147"/>
      <c r="D80" s="146"/>
      <c r="E80" s="147"/>
      <c r="F80" s="152"/>
      <c r="G80" s="149"/>
      <c r="H80" s="150"/>
      <c r="I80" s="147" t="s">
        <v>111</v>
      </c>
      <c r="J80" s="288" t="n">
        <v>5</v>
      </c>
      <c r="K80" s="147" t="s">
        <v>135</v>
      </c>
      <c r="L80" s="290" t="n">
        <v>14.8</v>
      </c>
    </row>
    <row r="81" customFormat="false" ht="12" hidden="true" customHeight="false" outlineLevel="0" collapsed="false">
      <c r="A81" s="162"/>
      <c r="B81" s="163"/>
      <c r="C81" s="172"/>
      <c r="D81" s="163"/>
      <c r="E81" s="147"/>
      <c r="F81" s="152"/>
      <c r="G81" s="149"/>
      <c r="H81" s="150"/>
      <c r="I81" s="171"/>
      <c r="J81" s="150"/>
      <c r="K81" s="147"/>
      <c r="L81" s="152"/>
    </row>
    <row r="82" customFormat="false" ht="12" hidden="true" customHeight="false" outlineLevel="0" collapsed="false">
      <c r="A82" s="162"/>
      <c r="B82" s="163"/>
      <c r="C82" s="172"/>
      <c r="D82" s="163"/>
      <c r="E82" s="147"/>
      <c r="F82" s="152"/>
      <c r="G82" s="149"/>
      <c r="H82" s="150"/>
      <c r="I82" s="171"/>
      <c r="J82" s="150"/>
      <c r="K82" s="147"/>
      <c r="L82" s="152"/>
    </row>
    <row r="83" customFormat="false" ht="12" hidden="true" customHeight="false" outlineLevel="0" collapsed="false">
      <c r="A83" s="162"/>
      <c r="B83" s="163"/>
      <c r="C83" s="172"/>
      <c r="D83" s="163"/>
      <c r="E83" s="147"/>
      <c r="F83" s="152"/>
      <c r="G83" s="149"/>
      <c r="H83" s="150"/>
      <c r="I83" s="171"/>
      <c r="J83" s="150"/>
      <c r="K83" s="147"/>
      <c r="L83" s="152"/>
    </row>
    <row r="84" customFormat="false" ht="12" hidden="true" customHeight="false" outlineLevel="0" collapsed="false">
      <c r="A84" s="162"/>
      <c r="B84" s="163"/>
      <c r="C84" s="172"/>
      <c r="D84" s="163"/>
      <c r="E84" s="147"/>
      <c r="F84" s="152"/>
      <c r="G84" s="149"/>
      <c r="H84" s="150"/>
      <c r="I84" s="171"/>
      <c r="J84" s="150"/>
      <c r="K84" s="147"/>
      <c r="L84" s="152"/>
    </row>
    <row r="85" customFormat="false" ht="12" hidden="true" customHeight="false" outlineLevel="0" collapsed="false">
      <c r="A85" s="162"/>
      <c r="B85" s="163"/>
      <c r="C85" s="172"/>
      <c r="D85" s="163"/>
      <c r="E85" s="147"/>
      <c r="F85" s="152"/>
      <c r="G85" s="149"/>
      <c r="H85" s="150"/>
      <c r="I85" s="171"/>
      <c r="J85" s="150"/>
      <c r="K85" s="147"/>
      <c r="L85" s="152"/>
    </row>
    <row r="86" customFormat="false" ht="12" hidden="true" customHeight="false" outlineLevel="0" collapsed="false">
      <c r="A86" s="162"/>
      <c r="B86" s="163"/>
      <c r="C86" s="172"/>
      <c r="D86" s="163"/>
      <c r="E86" s="147"/>
      <c r="F86" s="152"/>
      <c r="G86" s="149"/>
      <c r="H86" s="150"/>
      <c r="I86" s="171"/>
      <c r="J86" s="150"/>
      <c r="K86" s="147"/>
      <c r="L86" s="152"/>
    </row>
    <row r="87" customFormat="false" ht="12" hidden="false" customHeight="false" outlineLevel="0" collapsed="false">
      <c r="A87" s="162"/>
      <c r="B87" s="163"/>
      <c r="C87" s="172"/>
      <c r="D87" s="163"/>
      <c r="E87" s="147"/>
      <c r="F87" s="152"/>
      <c r="G87" s="149"/>
      <c r="H87" s="150"/>
      <c r="I87" s="171"/>
      <c r="J87" s="150"/>
      <c r="K87" s="147" t="s">
        <v>405</v>
      </c>
      <c r="L87" s="290" t="n">
        <v>1.25</v>
      </c>
    </row>
    <row r="88" customFormat="false" ht="12" hidden="false" customHeight="false" outlineLevel="0" collapsed="false">
      <c r="A88" s="162"/>
      <c r="B88" s="163"/>
      <c r="C88" s="172"/>
      <c r="D88" s="163"/>
      <c r="E88" s="147"/>
      <c r="F88" s="152"/>
      <c r="G88" s="149"/>
      <c r="H88" s="150"/>
      <c r="I88" s="171"/>
      <c r="J88" s="150"/>
      <c r="K88" s="147" t="s">
        <v>121</v>
      </c>
      <c r="L88" s="290" t="n">
        <v>10</v>
      </c>
    </row>
    <row r="89" customFormat="false" ht="12" hidden="false" customHeight="false" outlineLevel="0" collapsed="false">
      <c r="A89" s="162"/>
      <c r="B89" s="163"/>
      <c r="C89" s="172"/>
      <c r="D89" s="163"/>
      <c r="E89" s="147"/>
      <c r="F89" s="152"/>
      <c r="G89" s="149"/>
      <c r="H89" s="150"/>
      <c r="I89" s="171"/>
      <c r="J89" s="150"/>
      <c r="K89" s="147" t="s">
        <v>387</v>
      </c>
      <c r="L89" s="290" t="n">
        <v>6</v>
      </c>
    </row>
    <row r="90" customFormat="false" ht="12" hidden="false" customHeight="false" outlineLevel="0" collapsed="false">
      <c r="A90" s="162"/>
      <c r="B90" s="163"/>
      <c r="C90" s="172"/>
      <c r="D90" s="163"/>
      <c r="E90" s="147"/>
      <c r="F90" s="152"/>
      <c r="G90" s="149"/>
      <c r="H90" s="150"/>
      <c r="I90" s="171"/>
      <c r="J90" s="150"/>
      <c r="K90" s="147" t="s">
        <v>391</v>
      </c>
      <c r="L90" s="290" t="n">
        <v>1</v>
      </c>
    </row>
    <row r="91" customFormat="false" ht="12" hidden="false" customHeight="false" outlineLevel="0" collapsed="false">
      <c r="A91" s="162"/>
      <c r="B91" s="163"/>
      <c r="C91" s="172"/>
      <c r="D91" s="163"/>
      <c r="E91" s="147"/>
      <c r="F91" s="152"/>
      <c r="G91" s="149"/>
      <c r="H91" s="150"/>
      <c r="I91" s="171"/>
      <c r="J91" s="150"/>
      <c r="K91" s="147" t="s">
        <v>391</v>
      </c>
      <c r="L91" s="290" t="n">
        <v>2.6</v>
      </c>
    </row>
    <row r="92" customFormat="false" ht="12" hidden="false" customHeight="false" outlineLevel="0" collapsed="false">
      <c r="A92" s="162"/>
      <c r="B92" s="163"/>
      <c r="C92" s="172"/>
      <c r="D92" s="163"/>
      <c r="E92" s="147"/>
      <c r="F92" s="152"/>
      <c r="G92" s="149"/>
      <c r="H92" s="150"/>
      <c r="I92" s="171"/>
      <c r="J92" s="150"/>
      <c r="K92" s="147"/>
      <c r="L92" s="152"/>
    </row>
    <row r="93" customFormat="false" ht="12" hidden="false" customHeight="false" outlineLevel="0" collapsed="false">
      <c r="A93" s="173"/>
      <c r="B93" s="174"/>
      <c r="C93" s="175"/>
      <c r="D93" s="174"/>
      <c r="E93" s="176"/>
      <c r="F93" s="177"/>
      <c r="G93" s="173"/>
      <c r="H93" s="174"/>
      <c r="I93" s="175"/>
      <c r="J93" s="174"/>
      <c r="K93" s="178" t="s">
        <v>134</v>
      </c>
      <c r="L93" s="294" t="n">
        <v>7.5</v>
      </c>
    </row>
    <row r="94" customFormat="false" ht="12" hidden="false" customHeight="false" outlineLevel="0" collapsed="false">
      <c r="A94" s="180" t="s">
        <v>137</v>
      </c>
      <c r="B94" s="181" t="n">
        <f aca="false">SUM(B47:B93)</f>
        <v>11.058</v>
      </c>
      <c r="C94" s="182" t="s">
        <v>137</v>
      </c>
      <c r="D94" s="181" t="n">
        <f aca="false">SUM(D47:D93)</f>
        <v>125</v>
      </c>
      <c r="E94" s="182" t="s">
        <v>137</v>
      </c>
      <c r="F94" s="183" t="n">
        <f aca="false">SUM(F47:F93)</f>
        <v>108</v>
      </c>
      <c r="G94" s="180"/>
      <c r="H94" s="181"/>
      <c r="I94" s="182" t="s">
        <v>137</v>
      </c>
      <c r="J94" s="184" t="n">
        <f aca="false">SUM(J47:J93)</f>
        <v>226.166</v>
      </c>
      <c r="K94" s="182" t="s">
        <v>137</v>
      </c>
      <c r="L94" s="185" t="n">
        <f aca="false">SUM(L47:L93)</f>
        <v>259.829</v>
      </c>
    </row>
    <row r="95" customFormat="false" ht="12.75" hidden="false" customHeight="false" outlineLevel="0" collapsed="false">
      <c r="A95" s="186"/>
      <c r="B95" s="187"/>
      <c r="C95" s="188"/>
      <c r="D95" s="187"/>
      <c r="E95" s="189" t="s">
        <v>138</v>
      </c>
      <c r="F95" s="190" t="n">
        <f aca="false">+B94+F94+D94</f>
        <v>244.058</v>
      </c>
      <c r="G95" s="186"/>
      <c r="H95" s="187"/>
      <c r="I95" s="188"/>
      <c r="J95" s="187"/>
      <c r="K95" s="189" t="s">
        <v>138</v>
      </c>
      <c r="L95" s="190" t="n">
        <f aca="false">J94+L94</f>
        <v>485.995</v>
      </c>
    </row>
    <row r="96" customFormat="false" ht="12.75" hidden="false" customHeight="false" outlineLevel="0" collapsed="false">
      <c r="G96" s="191"/>
      <c r="H96" s="0"/>
    </row>
    <row r="97" customFormat="false" ht="12.75" hidden="false" customHeight="false" outlineLevel="0" collapsed="false">
      <c r="A97" s="1" t="s">
        <v>406</v>
      </c>
      <c r="G97" s="1" t="s">
        <v>407</v>
      </c>
      <c r="H97" s="0"/>
    </row>
    <row r="98" customFormat="false" ht="12.75" hidden="false" customHeight="false" outlineLevel="0" collapsed="false">
      <c r="A98" s="1" t="s">
        <v>408</v>
      </c>
      <c r="G98" s="295" t="s">
        <v>409</v>
      </c>
      <c r="H98" s="0"/>
    </row>
    <row r="99" customFormat="false" ht="12.75" hidden="true" customHeight="false" outlineLevel="0" collapsed="false">
      <c r="E99" s="0"/>
      <c r="G99" s="1" t="s">
        <v>139</v>
      </c>
      <c r="H99" s="0"/>
    </row>
    <row r="100" customFormat="false" ht="24" hidden="true" customHeight="false" outlineLevel="0" collapsed="false">
      <c r="A100" s="192" t="s">
        <v>140</v>
      </c>
      <c r="B100" s="192" t="s">
        <v>141</v>
      </c>
      <c r="C100" s="192" t="s">
        <v>142</v>
      </c>
      <c r="D100" s="192" t="s">
        <v>143</v>
      </c>
      <c r="E100" s="192" t="s">
        <v>144</v>
      </c>
      <c r="F100" s="192" t="s">
        <v>145</v>
      </c>
      <c r="G100" s="1" t="n">
        <v>1.65</v>
      </c>
      <c r="H100" s="0"/>
    </row>
    <row r="101" customFormat="false" ht="12.75" hidden="true" customHeight="false" outlineLevel="0" collapsed="false">
      <c r="A101" s="0" t="s">
        <v>146</v>
      </c>
      <c r="B101" s="0" t="s">
        <v>147</v>
      </c>
      <c r="C101" s="0" t="n">
        <v>10</v>
      </c>
      <c r="D101" s="0" t="n">
        <v>95</v>
      </c>
      <c r="E101" s="0" t="n">
        <v>0.09</v>
      </c>
      <c r="F101" s="0" t="n">
        <f aca="false">+$G$100*(E101/100)</f>
        <v>0.001485</v>
      </c>
      <c r="G101" s="0"/>
      <c r="H101" s="0"/>
      <c r="I101" s="0"/>
      <c r="J101" s="0"/>
      <c r="K101" s="0"/>
      <c r="L101" s="0"/>
      <c r="M101" s="0"/>
      <c r="N101" s="0"/>
      <c r="O101" s="0"/>
    </row>
    <row r="102" customFormat="false" ht="12.75" hidden="true" customHeight="false" outlineLevel="0" collapsed="false">
      <c r="A102" s="0"/>
      <c r="B102" s="0" t="s">
        <v>148</v>
      </c>
      <c r="C102" s="0" t="n">
        <v>42</v>
      </c>
      <c r="D102" s="0" t="n">
        <v>65</v>
      </c>
      <c r="E102" s="0" t="n">
        <v>0.27</v>
      </c>
      <c r="F102" s="0" t="n">
        <f aca="false">+$G$100*(E102/100)</f>
        <v>0.004455</v>
      </c>
      <c r="G102" s="0"/>
      <c r="H102" s="0"/>
      <c r="I102" s="0"/>
      <c r="J102" s="0"/>
      <c r="K102" s="0"/>
      <c r="L102" s="0"/>
      <c r="M102" s="0"/>
      <c r="N102" s="0"/>
      <c r="O102" s="0"/>
    </row>
    <row r="103" customFormat="false" ht="12.75" hidden="true" customHeight="false" outlineLevel="0" collapsed="false">
      <c r="A103" s="0"/>
      <c r="B103" s="0" t="s">
        <v>149</v>
      </c>
      <c r="C103" s="0" t="n">
        <v>89</v>
      </c>
      <c r="D103" s="0" t="n">
        <v>43.87</v>
      </c>
      <c r="E103" s="0" t="n">
        <v>0.39</v>
      </c>
      <c r="F103" s="0" t="n">
        <f aca="false">+$G$100*(E103/100)</f>
        <v>0.006435</v>
      </c>
      <c r="G103" s="0"/>
      <c r="H103" s="0"/>
      <c r="I103" s="0"/>
      <c r="J103" s="0"/>
      <c r="K103" s="0"/>
      <c r="L103" s="0"/>
      <c r="M103" s="0"/>
      <c r="N103" s="0"/>
      <c r="O103" s="0"/>
    </row>
    <row r="104" customFormat="false" ht="12.75" hidden="true" customHeight="false" outlineLevel="0" collapsed="false">
      <c r="A104" s="0"/>
      <c r="B104" s="0" t="s">
        <v>150</v>
      </c>
      <c r="C104" s="0" t="n">
        <v>2.44</v>
      </c>
      <c r="D104" s="0" t="n">
        <v>1.05</v>
      </c>
      <c r="E104" s="0" t="n">
        <v>0.03</v>
      </c>
      <c r="F104" s="0" t="n">
        <f aca="false">+$G$100*(E104/100)</f>
        <v>0.000495</v>
      </c>
      <c r="G104" s="0"/>
      <c r="H104" s="0"/>
      <c r="I104" s="0"/>
      <c r="J104" s="0"/>
      <c r="K104" s="0"/>
      <c r="L104" s="0"/>
      <c r="M104" s="0"/>
      <c r="N104" s="0"/>
      <c r="O104" s="0"/>
    </row>
    <row r="105" customFormat="false" ht="12.75" hidden="true" customHeight="false" outlineLevel="0" collapsed="false">
      <c r="A105" s="0"/>
      <c r="B105" s="0"/>
      <c r="C105" s="0"/>
      <c r="D105" s="0"/>
      <c r="E105" s="193" t="s">
        <v>138</v>
      </c>
      <c r="F105" s="0" t="n">
        <f aca="false">SUM(F101:F104)</f>
        <v>0.01287</v>
      </c>
      <c r="G105" s="0"/>
      <c r="H105" s="0"/>
      <c r="I105" s="0"/>
      <c r="J105" s="0"/>
      <c r="K105" s="0"/>
      <c r="L105" s="0"/>
      <c r="M105" s="0"/>
      <c r="N105" s="0"/>
      <c r="O105" s="0"/>
    </row>
    <row r="106" customFormat="false" ht="12.75" hidden="true" customHeight="false" outlineLevel="0" collapsed="false">
      <c r="A106" s="0"/>
      <c r="B106" s="0"/>
      <c r="C106" s="0"/>
      <c r="D106" s="0"/>
      <c r="E106" s="193"/>
      <c r="F106" s="0"/>
      <c r="G106" s="0"/>
      <c r="H106" s="0"/>
      <c r="I106" s="0"/>
      <c r="J106" s="0"/>
      <c r="K106" s="0"/>
      <c r="L106" s="0"/>
      <c r="M106" s="0"/>
      <c r="N106" s="0"/>
      <c r="O106" s="0"/>
    </row>
    <row r="107" customFormat="false" ht="12.75" hidden="true" customHeight="false" outlineLevel="0" collapsed="false">
      <c r="A107" s="0" t="s">
        <v>151</v>
      </c>
      <c r="B107" s="0" t="s">
        <v>152</v>
      </c>
      <c r="C107" s="194" t="n">
        <v>0.27</v>
      </c>
      <c r="D107" s="194" t="n">
        <v>96.33</v>
      </c>
      <c r="E107" s="194" t="n">
        <v>0.26</v>
      </c>
      <c r="F107" s="194" t="n">
        <f aca="false">+$G$100*(E107/100)</f>
        <v>0.00429</v>
      </c>
      <c r="G107" s="0"/>
      <c r="H107" s="0"/>
      <c r="I107" s="0"/>
      <c r="J107" s="0"/>
      <c r="K107" s="0"/>
      <c r="L107" s="0"/>
      <c r="M107" s="0"/>
      <c r="N107" s="0"/>
      <c r="O107" s="0"/>
    </row>
    <row r="108" customFormat="false" ht="12.75" hidden="true" customHeight="false" outlineLevel="0" collapsed="false">
      <c r="A108" s="0"/>
      <c r="B108" s="0" t="s">
        <v>153</v>
      </c>
      <c r="C108" s="194" t="n">
        <v>0.36</v>
      </c>
      <c r="D108" s="194" t="n">
        <v>85.77</v>
      </c>
      <c r="E108" s="194" t="n">
        <v>0.31</v>
      </c>
      <c r="F108" s="194" t="n">
        <f aca="false">+$G$100*(E108/100)</f>
        <v>0.005115</v>
      </c>
      <c r="G108" s="0"/>
      <c r="H108" s="0"/>
      <c r="I108" s="0"/>
      <c r="J108" s="0"/>
      <c r="K108" s="0"/>
      <c r="L108" s="0"/>
      <c r="M108" s="0"/>
      <c r="N108" s="0"/>
      <c r="O108" s="0"/>
    </row>
    <row r="109" customFormat="false" ht="12.75" hidden="true" customHeight="false" outlineLevel="0" collapsed="false">
      <c r="A109" s="0"/>
      <c r="B109" s="0" t="s">
        <v>154</v>
      </c>
      <c r="C109" s="194" t="n">
        <v>0.8</v>
      </c>
      <c r="D109" s="194" t="n">
        <v>9.94</v>
      </c>
      <c r="E109" s="194" t="n">
        <v>0.08</v>
      </c>
      <c r="F109" s="194" t="n">
        <f aca="false">+$G$100*(E109/100)</f>
        <v>0.00132</v>
      </c>
      <c r="G109" s="0"/>
      <c r="H109" s="0"/>
      <c r="I109" s="0"/>
      <c r="J109" s="0"/>
      <c r="K109" s="0"/>
      <c r="L109" s="0"/>
      <c r="M109" s="0"/>
      <c r="N109" s="0"/>
      <c r="O109" s="0"/>
    </row>
    <row r="110" customFormat="false" ht="12.75" hidden="true" customHeight="false" outlineLevel="0" collapsed="false">
      <c r="A110" s="0"/>
      <c r="B110" s="0" t="s">
        <v>155</v>
      </c>
      <c r="C110" s="194" t="n">
        <v>1.14</v>
      </c>
      <c r="D110" s="194" t="n">
        <v>6.21</v>
      </c>
      <c r="E110" s="194" t="n">
        <v>0.07</v>
      </c>
      <c r="F110" s="194" t="n">
        <f aca="false">+$G$100*(E110/100)</f>
        <v>0.001155</v>
      </c>
      <c r="G110" s="0"/>
      <c r="H110" s="0"/>
      <c r="I110" s="0"/>
      <c r="J110" s="0"/>
      <c r="K110" s="0"/>
      <c r="L110" s="0"/>
      <c r="M110" s="0"/>
      <c r="N110" s="0"/>
      <c r="O110" s="0"/>
    </row>
    <row r="111" customFormat="false" ht="12.75" hidden="true" customHeight="false" outlineLevel="0" collapsed="false">
      <c r="A111" s="0"/>
      <c r="B111" s="0"/>
      <c r="C111" s="194"/>
      <c r="D111" s="194"/>
      <c r="E111" s="195" t="s">
        <v>156</v>
      </c>
      <c r="F111" s="194" t="n">
        <f aca="false">SUM(F108:F110)</f>
        <v>0.00759</v>
      </c>
      <c r="G111" s="0"/>
      <c r="H111" s="0"/>
      <c r="I111" s="0"/>
      <c r="J111" s="0"/>
      <c r="K111" s="0"/>
      <c r="L111" s="0"/>
      <c r="M111" s="0"/>
      <c r="N111" s="0"/>
      <c r="O111" s="0"/>
    </row>
    <row r="112" customFormat="false" ht="12.75" hidden="true" customHeight="false" outlineLevel="0" collapsed="false">
      <c r="A112" s="0"/>
      <c r="B112" s="0"/>
      <c r="C112" s="194"/>
      <c r="D112" s="194"/>
      <c r="E112" s="195" t="s">
        <v>157</v>
      </c>
      <c r="F112" s="194" t="n">
        <f aca="false">SUM(F107:F110)</f>
        <v>0.01188</v>
      </c>
      <c r="G112" s="0"/>
      <c r="H112" s="0"/>
      <c r="I112" s="0"/>
      <c r="J112" s="0"/>
      <c r="K112" s="0"/>
      <c r="L112" s="0"/>
      <c r="M112" s="0"/>
      <c r="N112" s="0"/>
      <c r="O112" s="0"/>
    </row>
    <row r="113" customFormat="false" ht="12.75" hidden="true" customHeight="false" outlineLevel="0" collapsed="false">
      <c r="A113" s="0"/>
      <c r="B113" s="0"/>
      <c r="C113" s="194"/>
      <c r="D113" s="194"/>
      <c r="E113" s="194"/>
      <c r="F113" s="194"/>
      <c r="G113" s="0"/>
      <c r="H113" s="0"/>
      <c r="I113" s="0"/>
      <c r="J113" s="0"/>
      <c r="K113" s="0"/>
      <c r="L113" s="0"/>
      <c r="M113" s="0"/>
      <c r="N113" s="0"/>
      <c r="O113" s="0"/>
    </row>
    <row r="114" customFormat="false" ht="12.75" hidden="true" customHeight="false" outlineLevel="0" collapsed="false">
      <c r="A114" s="0" t="s">
        <v>158</v>
      </c>
      <c r="B114" s="0" t="s">
        <v>158</v>
      </c>
      <c r="C114" s="194" t="n">
        <v>0.62</v>
      </c>
      <c r="D114" s="194" t="n">
        <v>94.29</v>
      </c>
      <c r="E114" s="194" t="n">
        <v>0.58</v>
      </c>
      <c r="F114" s="194" t="n">
        <f aca="false">+$G$100*(E114/100)</f>
        <v>0.00957</v>
      </c>
      <c r="G114" s="0"/>
      <c r="H114" s="0"/>
      <c r="I114" s="0"/>
      <c r="J114" s="0"/>
      <c r="K114" s="0"/>
      <c r="L114" s="0"/>
      <c r="M114" s="0"/>
      <c r="N114" s="0"/>
      <c r="O114" s="0"/>
    </row>
    <row r="115" customFormat="false" ht="12.75" hidden="true" customHeight="false" outlineLevel="0" collapsed="false">
      <c r="A115" s="0"/>
      <c r="B115" s="0"/>
      <c r="C115" s="194"/>
      <c r="D115" s="194"/>
      <c r="E115" s="194"/>
      <c r="F115" s="194"/>
      <c r="G115" s="0"/>
      <c r="H115" s="0"/>
      <c r="I115" s="0"/>
      <c r="J115" s="0"/>
      <c r="K115" s="0"/>
      <c r="L115" s="0"/>
      <c r="M115" s="0"/>
      <c r="N115" s="0"/>
      <c r="O115" s="0"/>
    </row>
    <row r="116" customFormat="false" ht="12.75" hidden="true" customHeight="false" outlineLevel="0" collapsed="false">
      <c r="A116" s="0" t="s">
        <v>159</v>
      </c>
      <c r="B116" s="0" t="s">
        <v>160</v>
      </c>
      <c r="C116" s="194" t="n">
        <v>0.85</v>
      </c>
      <c r="D116" s="194" t="n">
        <v>100</v>
      </c>
      <c r="E116" s="194" t="n">
        <v>0.85</v>
      </c>
      <c r="F116" s="194" t="n">
        <f aca="false">+$G$100*(E116/100)</f>
        <v>0.014025</v>
      </c>
      <c r="G116" s="0"/>
      <c r="H116" s="0"/>
      <c r="I116" s="0"/>
      <c r="J116" s="0"/>
      <c r="K116" s="0"/>
      <c r="L116" s="0"/>
      <c r="M116" s="0"/>
      <c r="N116" s="0"/>
      <c r="O116" s="0"/>
    </row>
    <row r="117" customFormat="false" ht="12.75" hidden="true" customHeight="false" outlineLevel="0" collapsed="false">
      <c r="A117" s="0"/>
      <c r="B117" s="0"/>
      <c r="C117" s="194"/>
      <c r="D117" s="194"/>
      <c r="E117" s="194"/>
      <c r="F117" s="194"/>
      <c r="G117" s="0"/>
      <c r="H117" s="0"/>
      <c r="I117" s="0"/>
      <c r="J117" s="0"/>
      <c r="K117" s="0"/>
      <c r="L117" s="0"/>
      <c r="M117" s="0"/>
      <c r="N117" s="0"/>
      <c r="O117" s="0"/>
    </row>
    <row r="118" customFormat="false" ht="12.75" hidden="true" customHeight="false" outlineLevel="0" collapsed="false">
      <c r="A118" s="0" t="s">
        <v>161</v>
      </c>
      <c r="B118" s="0" t="s">
        <v>162</v>
      </c>
      <c r="C118" s="194" t="s">
        <v>163</v>
      </c>
      <c r="D118" s="194"/>
      <c r="E118" s="194" t="n">
        <v>0.3546</v>
      </c>
      <c r="F118" s="194" t="n">
        <f aca="false">+$G$100*(E118/100)</f>
        <v>0.0058509</v>
      </c>
      <c r="G118" s="0"/>
      <c r="H118" s="0"/>
      <c r="I118" s="0"/>
      <c r="J118" s="0"/>
      <c r="K118" s="0"/>
      <c r="L118" s="0"/>
      <c r="M118" s="0"/>
      <c r="N118" s="0"/>
      <c r="O118" s="0"/>
    </row>
    <row r="119" customFormat="false" ht="12.75" hidden="true" customHeight="false" outlineLevel="0" collapsed="false">
      <c r="A119" s="0"/>
      <c r="B119" s="0" t="s">
        <v>164</v>
      </c>
      <c r="C119" s="194" t="s">
        <v>165</v>
      </c>
      <c r="D119" s="194"/>
      <c r="E119" s="194" t="n">
        <v>0.557</v>
      </c>
      <c r="F119" s="194" t="n">
        <f aca="false">+$G$100*(E119/100)</f>
        <v>0.0091905</v>
      </c>
      <c r="G119" s="0"/>
      <c r="H119" s="0"/>
      <c r="I119" s="0"/>
    </row>
    <row r="120" customFormat="false" ht="12.75" hidden="true" customHeight="false" outlineLevel="0" collapsed="false">
      <c r="A120" s="0"/>
      <c r="B120" s="0" t="s">
        <v>166</v>
      </c>
      <c r="C120" s="194" t="s">
        <v>167</v>
      </c>
      <c r="D120" s="194"/>
      <c r="E120" s="194" t="n">
        <v>0.628</v>
      </c>
      <c r="F120" s="194" t="n">
        <f aca="false">+$G$100*(E120/100)</f>
        <v>0.010362</v>
      </c>
      <c r="G120" s="0"/>
      <c r="H120" s="0"/>
      <c r="I120" s="0"/>
    </row>
    <row r="121" customFormat="false" ht="12.75" hidden="true" customHeight="false" outlineLevel="0" collapsed="false">
      <c r="A121" s="0"/>
      <c r="B121" s="0"/>
      <c r="C121" s="194"/>
      <c r="D121" s="194"/>
      <c r="E121" s="194"/>
      <c r="F121" s="194"/>
      <c r="G121" s="0"/>
      <c r="H121" s="0"/>
      <c r="I121" s="0"/>
    </row>
    <row r="122" customFormat="false" ht="12.75" hidden="true" customHeight="false" outlineLevel="0" collapsed="false">
      <c r="A122" s="0" t="s">
        <v>168</v>
      </c>
      <c r="B122" s="0" t="s">
        <v>169</v>
      </c>
      <c r="C122" s="194" t="s">
        <v>170</v>
      </c>
      <c r="D122" s="194"/>
      <c r="E122" s="194" t="n">
        <v>0.309</v>
      </c>
      <c r="F122" s="194" t="n">
        <f aca="false">+$G$100*(E122/100)</f>
        <v>0.0050985</v>
      </c>
      <c r="G122" s="0"/>
      <c r="H122" s="0"/>
      <c r="I122" s="0"/>
    </row>
    <row r="123" customFormat="false" ht="12.75" hidden="true" customHeight="false" outlineLevel="0" collapsed="false">
      <c r="A123" s="0"/>
      <c r="B123" s="0"/>
      <c r="C123" s="194"/>
      <c r="D123" s="194"/>
      <c r="E123" s="194"/>
      <c r="F123" s="194"/>
      <c r="G123" s="0"/>
      <c r="H123" s="0"/>
      <c r="I123" s="0"/>
    </row>
    <row r="124" customFormat="false" ht="12.75" hidden="true" customHeight="false" outlineLevel="0" collapsed="false">
      <c r="A124" s="0" t="s">
        <v>171</v>
      </c>
      <c r="B124" s="0" t="s">
        <v>172</v>
      </c>
      <c r="C124" s="194" t="s">
        <v>173</v>
      </c>
      <c r="D124" s="194"/>
      <c r="E124" s="194" t="n">
        <v>0.3748</v>
      </c>
      <c r="F124" s="194" t="n">
        <f aca="false">+$G$100*(E124/100)</f>
        <v>0.0061842</v>
      </c>
      <c r="G124" s="0"/>
      <c r="H124" s="0"/>
      <c r="I124" s="0"/>
    </row>
    <row r="125" customFormat="false" ht="12.75" hidden="true" customHeight="false" outlineLevel="0" collapsed="false">
      <c r="A125" s="0"/>
      <c r="B125" s="0"/>
      <c r="C125" s="0"/>
      <c r="D125" s="0"/>
      <c r="E125" s="0"/>
      <c r="F125" s="0"/>
      <c r="G125" s="0"/>
      <c r="H125" s="0"/>
      <c r="I125" s="0"/>
    </row>
    <row r="126" customFormat="false" ht="12.75" hidden="false" customHeight="false" outlineLevel="0" collapsed="false">
      <c r="B126" s="0"/>
      <c r="C126" s="0"/>
      <c r="D126" s="0"/>
      <c r="E126" s="0"/>
      <c r="F126" s="0"/>
      <c r="G126" s="0"/>
      <c r="H126" s="0"/>
      <c r="I126" s="0"/>
    </row>
    <row r="127" customFormat="false" ht="12.75" hidden="false" customHeight="false" outlineLevel="0" collapsed="false">
      <c r="A127" s="0"/>
      <c r="B127" s="0"/>
      <c r="C127" s="0"/>
      <c r="D127" s="0"/>
      <c r="E127" s="0"/>
      <c r="F127" s="0"/>
      <c r="G127" s="0"/>
      <c r="H127" s="0"/>
      <c r="I127" s="0"/>
    </row>
    <row r="128" customFormat="false" ht="12.75" hidden="false" customHeight="false" outlineLevel="0" collapsed="false">
      <c r="A128" s="0"/>
      <c r="B128" s="0"/>
      <c r="C128" s="0"/>
      <c r="D128" s="0"/>
      <c r="E128" s="0"/>
      <c r="F128" s="0"/>
      <c r="G128" s="0"/>
      <c r="H128" s="0"/>
      <c r="I128" s="0"/>
    </row>
    <row r="129" customFormat="false" ht="12.75" hidden="false" customHeight="false" outlineLevel="0" collapsed="false">
      <c r="A129" s="0"/>
      <c r="B129" s="0"/>
      <c r="C129" s="0"/>
      <c r="D129" s="0"/>
      <c r="E129" s="0"/>
      <c r="F129" s="0"/>
      <c r="G129" s="0"/>
      <c r="H129" s="0"/>
      <c r="I129" s="0"/>
    </row>
    <row r="130" customFormat="false" ht="12.75" hidden="false" customHeight="false" outlineLevel="0" collapsed="false">
      <c r="A130" s="196" t="s">
        <v>174</v>
      </c>
      <c r="B130" s="196"/>
      <c r="C130" s="196"/>
      <c r="D130" s="0"/>
      <c r="E130" s="197" t="s">
        <v>175</v>
      </c>
      <c r="F130" s="0"/>
      <c r="G130" s="198"/>
      <c r="H130" s="0"/>
      <c r="I130" s="296" t="s">
        <v>61</v>
      </c>
      <c r="J130" s="297"/>
      <c r="K130" s="298"/>
      <c r="N130" s="1" t="s">
        <v>176</v>
      </c>
    </row>
    <row r="131" customFormat="false" ht="12.75" hidden="false" customHeight="false" outlineLevel="0" collapsed="false">
      <c r="A131" s="199" t="s">
        <v>177</v>
      </c>
      <c r="B131" s="200" t="s">
        <v>178</v>
      </c>
      <c r="C131" s="299" t="n">
        <v>0.63</v>
      </c>
      <c r="D131" s="78"/>
      <c r="E131" s="200" t="n">
        <v>0.833</v>
      </c>
      <c r="F131" s="79" t="n">
        <f aca="false">C131-E131</f>
        <v>-0.203</v>
      </c>
      <c r="G131" s="199" t="n">
        <v>0.833</v>
      </c>
      <c r="H131" s="79"/>
      <c r="I131" s="199" t="s">
        <v>179</v>
      </c>
      <c r="J131" s="78"/>
      <c r="K131" s="202" t="n">
        <v>0</v>
      </c>
      <c r="L131" s="78" t="n">
        <v>882</v>
      </c>
      <c r="N131" s="1" t="s">
        <v>180</v>
      </c>
      <c r="O131" s="1" t="n">
        <v>1024</v>
      </c>
    </row>
    <row r="132" customFormat="false" ht="12.75" hidden="false" customHeight="false" outlineLevel="0" collapsed="false">
      <c r="A132" s="78"/>
      <c r="B132" s="200" t="s">
        <v>181</v>
      </c>
      <c r="C132" s="299" t="n">
        <v>0.001</v>
      </c>
      <c r="D132" s="78"/>
      <c r="E132" s="79" t="n">
        <v>0.001</v>
      </c>
      <c r="F132" s="79" t="n">
        <f aca="false">C132-E132</f>
        <v>0</v>
      </c>
      <c r="G132" s="199" t="n">
        <v>0.001</v>
      </c>
      <c r="H132" s="79"/>
      <c r="I132" s="199" t="s">
        <v>182</v>
      </c>
      <c r="J132" s="78" t="n">
        <v>6688</v>
      </c>
      <c r="K132" s="300" t="n">
        <v>17</v>
      </c>
      <c r="L132" s="78"/>
      <c r="N132" s="1" t="s">
        <v>135</v>
      </c>
      <c r="O132" s="1" t="n">
        <v>1500</v>
      </c>
    </row>
    <row r="133" customFormat="false" ht="12.75" hidden="false" customHeight="false" outlineLevel="0" collapsed="false">
      <c r="A133" s="78"/>
      <c r="B133" s="200" t="s">
        <v>183</v>
      </c>
      <c r="C133" s="299" t="n">
        <v>0.5</v>
      </c>
      <c r="D133" s="78"/>
      <c r="E133" s="79" t="n">
        <v>0.5</v>
      </c>
      <c r="F133" s="79" t="n">
        <f aca="false">C133-E133</f>
        <v>0</v>
      </c>
      <c r="G133" s="199" t="n">
        <v>0.5</v>
      </c>
      <c r="H133" s="79"/>
      <c r="I133" s="199" t="s">
        <v>87</v>
      </c>
      <c r="J133" s="78" t="n">
        <v>6888</v>
      </c>
      <c r="K133" s="301" t="n">
        <v>5687</v>
      </c>
      <c r="L133" s="78"/>
      <c r="N133" s="1" t="s">
        <v>184</v>
      </c>
      <c r="O133" s="1" t="n">
        <v>219</v>
      </c>
    </row>
    <row r="134" customFormat="false" ht="12.75" hidden="false" customHeight="false" outlineLevel="0" collapsed="false">
      <c r="A134" s="78"/>
      <c r="B134" s="200" t="s">
        <v>185</v>
      </c>
      <c r="C134" s="299" t="n">
        <v>10</v>
      </c>
      <c r="D134" s="78" t="n">
        <v>2</v>
      </c>
      <c r="E134" s="79" t="n">
        <v>10</v>
      </c>
      <c r="F134" s="79" t="n">
        <f aca="false">C134-E134</f>
        <v>0</v>
      </c>
      <c r="G134" s="199" t="n">
        <v>12</v>
      </c>
      <c r="H134" s="79"/>
      <c r="I134" s="199"/>
      <c r="J134" s="78"/>
      <c r="K134" s="202"/>
      <c r="L134" s="78"/>
      <c r="N134" s="1" t="s">
        <v>186</v>
      </c>
      <c r="O134" s="1" t="n">
        <v>1000</v>
      </c>
    </row>
    <row r="135" customFormat="false" ht="12.75" hidden="false" customHeight="false" outlineLevel="0" collapsed="false">
      <c r="A135" s="199" t="s">
        <v>187</v>
      </c>
      <c r="B135" s="200" t="s">
        <v>188</v>
      </c>
      <c r="C135" s="299" t="n">
        <v>3.6</v>
      </c>
      <c r="D135" s="78"/>
      <c r="E135" s="79" t="n">
        <v>3.6</v>
      </c>
      <c r="F135" s="79" t="n">
        <f aca="false">C135-E135</f>
        <v>0</v>
      </c>
      <c r="G135" s="199" t="n">
        <v>3.6</v>
      </c>
      <c r="H135" s="79"/>
      <c r="I135" s="199" t="s">
        <v>189</v>
      </c>
      <c r="J135" s="78" t="n">
        <v>900338</v>
      </c>
      <c r="K135" s="301" t="n">
        <v>749</v>
      </c>
      <c r="L135" s="78"/>
      <c r="N135" s="1" t="s">
        <v>190</v>
      </c>
      <c r="O135" s="1" t="n">
        <v>90</v>
      </c>
    </row>
    <row r="136" customFormat="false" ht="12.75" hidden="false" customHeight="false" outlineLevel="0" collapsed="false">
      <c r="A136" s="199"/>
      <c r="B136" s="200"/>
      <c r="C136" s="200"/>
      <c r="D136" s="78"/>
      <c r="E136" s="79"/>
      <c r="F136" s="79"/>
      <c r="G136" s="199"/>
      <c r="H136" s="79"/>
      <c r="I136" s="199"/>
      <c r="J136" s="78"/>
      <c r="K136" s="204"/>
      <c r="L136" s="78"/>
    </row>
    <row r="137" customFormat="false" ht="12.75" hidden="false" customHeight="false" outlineLevel="0" collapsed="false">
      <c r="A137" s="78"/>
      <c r="B137" s="200" t="s">
        <v>27</v>
      </c>
      <c r="C137" s="199" t="n">
        <v>0</v>
      </c>
      <c r="D137" s="78" t="s">
        <v>192</v>
      </c>
      <c r="E137" s="79" t="n">
        <v>0</v>
      </c>
      <c r="F137" s="79" t="n">
        <f aca="false">C137-E137</f>
        <v>0</v>
      </c>
      <c r="G137" s="199" t="n">
        <v>0</v>
      </c>
      <c r="H137" s="79"/>
      <c r="I137" s="199" t="s">
        <v>410</v>
      </c>
      <c r="J137" s="78" t="n">
        <v>3405</v>
      </c>
      <c r="K137" s="301" t="n">
        <v>2429</v>
      </c>
      <c r="L137" s="78"/>
      <c r="N137" s="1" t="s">
        <v>123</v>
      </c>
    </row>
    <row r="138" customFormat="false" ht="12.75" hidden="false" customHeight="false" outlineLevel="0" collapsed="false">
      <c r="A138" s="78"/>
      <c r="B138" s="200" t="s">
        <v>194</v>
      </c>
      <c r="C138" s="299" t="n">
        <v>2.4</v>
      </c>
      <c r="D138" s="78"/>
      <c r="E138" s="79" t="n">
        <v>2.4</v>
      </c>
      <c r="F138" s="79" t="n">
        <f aca="false">C138-E138</f>
        <v>0</v>
      </c>
      <c r="G138" s="199" t="n">
        <v>2.4</v>
      </c>
      <c r="H138" s="79"/>
      <c r="I138" s="199" t="s">
        <v>195</v>
      </c>
      <c r="J138" s="78"/>
      <c r="K138" s="204" t="n">
        <v>0</v>
      </c>
      <c r="L138" s="78" t="n">
        <v>660</v>
      </c>
    </row>
    <row r="139" customFormat="false" ht="12.75" hidden="false" customHeight="false" outlineLevel="0" collapsed="false">
      <c r="A139" s="199" t="s">
        <v>196</v>
      </c>
      <c r="B139" s="200" t="s">
        <v>197</v>
      </c>
      <c r="C139" s="299" t="n">
        <v>0.8</v>
      </c>
      <c r="D139" s="79"/>
      <c r="E139" s="79" t="n">
        <v>0.8</v>
      </c>
      <c r="F139" s="79" t="n">
        <f aca="false">C139-E139</f>
        <v>0</v>
      </c>
      <c r="G139" s="199" t="n">
        <v>0.8</v>
      </c>
      <c r="H139" s="79"/>
      <c r="I139" s="199" t="s">
        <v>198</v>
      </c>
      <c r="J139" s="78" t="n">
        <v>5333</v>
      </c>
      <c r="K139" s="301" t="n">
        <v>250</v>
      </c>
      <c r="L139" s="78" t="s">
        <v>199</v>
      </c>
    </row>
    <row r="140" customFormat="false" ht="12.75" hidden="false" customHeight="false" outlineLevel="0" collapsed="false">
      <c r="A140" s="79"/>
      <c r="B140" s="200" t="s">
        <v>9</v>
      </c>
      <c r="C140" s="299" t="n">
        <v>16.5</v>
      </c>
      <c r="D140" s="79"/>
      <c r="E140" s="79" t="n">
        <v>16.941</v>
      </c>
      <c r="F140" s="79" t="n">
        <f aca="false">C140-E140</f>
        <v>-0.440999999999999</v>
      </c>
      <c r="G140" s="199" t="n">
        <v>16.5</v>
      </c>
      <c r="H140" s="199"/>
      <c r="I140" s="202" t="s">
        <v>200</v>
      </c>
      <c r="J140" s="78" t="n">
        <v>6835</v>
      </c>
      <c r="K140" s="301" t="n">
        <v>24</v>
      </c>
      <c r="L140" s="78"/>
    </row>
    <row r="141" customFormat="false" ht="12.75" hidden="false" customHeight="false" outlineLevel="0" collapsed="false">
      <c r="A141" s="79"/>
      <c r="B141" s="200" t="s">
        <v>11</v>
      </c>
      <c r="C141" s="199" t="n">
        <v>0</v>
      </c>
      <c r="D141" s="79" t="s">
        <v>82</v>
      </c>
      <c r="E141" s="79" t="n">
        <v>0</v>
      </c>
      <c r="F141" s="79" t="n">
        <f aca="false">C141-E141</f>
        <v>0</v>
      </c>
      <c r="G141" s="199" t="n">
        <v>20</v>
      </c>
      <c r="H141" s="79"/>
      <c r="I141" s="202" t="s">
        <v>201</v>
      </c>
      <c r="J141" s="78" t="n">
        <v>4286</v>
      </c>
      <c r="K141" s="301" t="n">
        <v>39</v>
      </c>
      <c r="L141" s="78"/>
    </row>
    <row r="142" customFormat="false" ht="12.75" hidden="false" customHeight="false" outlineLevel="0" collapsed="false">
      <c r="A142" s="79"/>
      <c r="B142" s="200"/>
      <c r="C142" s="199"/>
      <c r="D142" s="79"/>
      <c r="E142" s="79"/>
      <c r="F142" s="79"/>
      <c r="G142" s="199"/>
      <c r="H142" s="79"/>
      <c r="I142" s="202" t="s">
        <v>202</v>
      </c>
      <c r="J142" s="78" t="n">
        <v>9676</v>
      </c>
      <c r="K142" s="302" t="n">
        <v>0</v>
      </c>
      <c r="L142" s="206" t="s">
        <v>203</v>
      </c>
    </row>
    <row r="143" customFormat="false" ht="12.75" hidden="false" customHeight="false" outlineLevel="0" collapsed="false">
      <c r="A143" s="79"/>
      <c r="B143" s="200" t="s">
        <v>204</v>
      </c>
      <c r="C143" s="299" t="n">
        <v>0.025</v>
      </c>
      <c r="D143" s="79"/>
      <c r="E143" s="79" t="n">
        <v>0.025</v>
      </c>
      <c r="F143" s="79" t="n">
        <f aca="false">C143-E143</f>
        <v>0</v>
      </c>
      <c r="G143" s="199" t="n">
        <v>0.025</v>
      </c>
      <c r="H143" s="79"/>
      <c r="I143" s="202" t="s">
        <v>411</v>
      </c>
      <c r="J143" s="78" t="n">
        <v>6480</v>
      </c>
      <c r="K143" s="301" t="n">
        <v>1</v>
      </c>
      <c r="L143" s="206"/>
    </row>
    <row r="144" customFormat="false" ht="12.75" hidden="false" customHeight="false" outlineLevel="0" collapsed="false">
      <c r="A144" s="79"/>
      <c r="B144" s="200" t="s">
        <v>206</v>
      </c>
      <c r="C144" s="199" t="n">
        <v>0</v>
      </c>
      <c r="D144" s="79"/>
      <c r="E144" s="79" t="n">
        <v>1.3</v>
      </c>
      <c r="F144" s="79" t="n">
        <f aca="false">C144-E144</f>
        <v>-1.3</v>
      </c>
      <c r="G144" s="199" t="n">
        <v>1.3</v>
      </c>
      <c r="H144" s="79"/>
      <c r="I144" s="202" t="s">
        <v>205</v>
      </c>
      <c r="J144" s="78" t="n">
        <v>6551</v>
      </c>
      <c r="K144" s="301" t="n">
        <v>100</v>
      </c>
      <c r="L144" s="78"/>
    </row>
    <row r="145" customFormat="false" ht="12.75" hidden="false" customHeight="false" outlineLevel="0" collapsed="false">
      <c r="A145" s="79"/>
      <c r="B145" s="200" t="s">
        <v>208</v>
      </c>
      <c r="C145" s="299" t="n">
        <v>7</v>
      </c>
      <c r="D145" s="79" t="n">
        <v>8</v>
      </c>
      <c r="E145" s="79" t="n">
        <v>7.407</v>
      </c>
      <c r="F145" s="79" t="n">
        <f aca="false">C145-E145</f>
        <v>-0.407</v>
      </c>
      <c r="G145" s="199" t="n">
        <v>8</v>
      </c>
      <c r="H145" s="79"/>
      <c r="I145" s="202" t="s">
        <v>207</v>
      </c>
      <c r="J145" s="78" t="n">
        <v>6373</v>
      </c>
      <c r="K145" s="301" t="n">
        <v>1</v>
      </c>
      <c r="L145" s="78"/>
    </row>
    <row r="146" customFormat="false" ht="12.75" hidden="false" customHeight="false" outlineLevel="0" collapsed="false">
      <c r="A146" s="79"/>
      <c r="B146" s="200"/>
      <c r="C146" s="200"/>
      <c r="D146" s="79"/>
      <c r="E146" s="79"/>
      <c r="F146" s="79"/>
      <c r="G146" s="199"/>
      <c r="H146" s="79"/>
      <c r="I146" s="202" t="s">
        <v>412</v>
      </c>
      <c r="J146" s="78" t="n">
        <v>4056</v>
      </c>
      <c r="K146" s="301" t="n">
        <v>514</v>
      </c>
      <c r="L146" s="78"/>
    </row>
    <row r="147" customFormat="false" ht="12.75" hidden="false" customHeight="false" outlineLevel="0" collapsed="false">
      <c r="A147" s="79"/>
      <c r="B147" s="200" t="s">
        <v>211</v>
      </c>
      <c r="C147" s="303" t="n">
        <v>18</v>
      </c>
      <c r="D147" s="79" t="s">
        <v>413</v>
      </c>
      <c r="E147" s="79" t="n">
        <v>20</v>
      </c>
      <c r="F147" s="79" t="n">
        <f aca="false">C147-E147</f>
        <v>-2</v>
      </c>
      <c r="G147" s="199" t="n">
        <v>22.5</v>
      </c>
      <c r="H147" s="78"/>
      <c r="I147" s="202" t="s">
        <v>412</v>
      </c>
      <c r="J147" s="78" t="n">
        <v>6855</v>
      </c>
      <c r="K147" s="301" t="n">
        <v>3</v>
      </c>
      <c r="L147" s="78"/>
    </row>
    <row r="148" customFormat="false" ht="12.75" hidden="false" customHeight="false" outlineLevel="0" collapsed="false">
      <c r="A148" s="79"/>
      <c r="B148" s="200" t="s">
        <v>213</v>
      </c>
      <c r="C148" s="299" t="n">
        <v>3.85</v>
      </c>
      <c r="D148" s="79"/>
      <c r="E148" s="79" t="n">
        <v>3.85</v>
      </c>
      <c r="F148" s="79" t="n">
        <f aca="false">C148-E148</f>
        <v>0</v>
      </c>
      <c r="G148" s="199" t="n">
        <v>3.85</v>
      </c>
      <c r="H148" s="78"/>
      <c r="I148" s="202" t="s">
        <v>209</v>
      </c>
      <c r="J148" s="78" t="n">
        <v>4132</v>
      </c>
      <c r="K148" s="301" t="n">
        <v>154</v>
      </c>
      <c r="L148" s="78" t="n">
        <v>11</v>
      </c>
    </row>
    <row r="149" customFormat="false" ht="12.75" hidden="false" customHeight="false" outlineLevel="0" collapsed="false">
      <c r="A149" s="79"/>
      <c r="B149" s="200" t="s">
        <v>15</v>
      </c>
      <c r="C149" s="200" t="n">
        <v>0</v>
      </c>
      <c r="D149" s="79"/>
      <c r="E149" s="79" t="n">
        <v>0</v>
      </c>
      <c r="F149" s="79" t="n">
        <f aca="false">C149-E149</f>
        <v>0</v>
      </c>
      <c r="G149" s="199" t="n">
        <v>62</v>
      </c>
      <c r="H149" s="78"/>
      <c r="I149" s="202" t="s">
        <v>210</v>
      </c>
      <c r="J149" s="78" t="n">
        <v>4120</v>
      </c>
      <c r="K149" s="301" t="n">
        <v>821</v>
      </c>
      <c r="L149" s="78"/>
    </row>
    <row r="150" customFormat="false" ht="12.75" hidden="false" customHeight="false" outlineLevel="0" collapsed="false">
      <c r="A150" s="79"/>
      <c r="B150" s="200" t="s">
        <v>216</v>
      </c>
      <c r="C150" s="299" t="n">
        <v>0.025</v>
      </c>
      <c r="D150" s="79"/>
      <c r="E150" s="79" t="n">
        <v>0.025</v>
      </c>
      <c r="F150" s="79" t="n">
        <f aca="false">C150-E150</f>
        <v>0</v>
      </c>
      <c r="G150" s="199" t="n">
        <v>0.025</v>
      </c>
      <c r="H150" s="78"/>
      <c r="I150" s="202" t="s">
        <v>99</v>
      </c>
      <c r="J150" s="78" t="n">
        <v>639</v>
      </c>
      <c r="K150" s="301" t="n">
        <v>500</v>
      </c>
      <c r="L150" s="78"/>
    </row>
    <row r="151" customFormat="false" ht="12.75" hidden="false" customHeight="false" outlineLevel="0" collapsed="false">
      <c r="A151" s="79"/>
      <c r="B151" s="200" t="s">
        <v>218</v>
      </c>
      <c r="C151" s="299" t="n">
        <v>0.05</v>
      </c>
      <c r="D151" s="79"/>
      <c r="E151" s="79" t="n">
        <v>0.05</v>
      </c>
      <c r="F151" s="79" t="n">
        <f aca="false">C151-E151</f>
        <v>0</v>
      </c>
      <c r="G151" s="199" t="n">
        <v>0.05</v>
      </c>
      <c r="H151" s="78"/>
      <c r="I151" s="202" t="s">
        <v>212</v>
      </c>
      <c r="J151" s="78" t="n">
        <v>6840</v>
      </c>
      <c r="K151" s="301" t="n">
        <v>1317</v>
      </c>
      <c r="L151" s="78"/>
    </row>
    <row r="152" customFormat="false" ht="12.75" hidden="false" customHeight="false" outlineLevel="0" collapsed="false">
      <c r="A152" s="79"/>
      <c r="B152" s="200" t="s">
        <v>220</v>
      </c>
      <c r="C152" s="299" t="n">
        <v>13</v>
      </c>
      <c r="D152" s="79" t="n">
        <v>11</v>
      </c>
      <c r="E152" s="79" t="n">
        <v>4.665</v>
      </c>
      <c r="F152" s="79" t="n">
        <f aca="false">C152-E152</f>
        <v>8.335</v>
      </c>
      <c r="G152" s="199" t="n">
        <v>6</v>
      </c>
      <c r="H152" s="78"/>
      <c r="I152" s="202"/>
      <c r="J152" s="78"/>
      <c r="K152" s="202"/>
      <c r="L152" s="78"/>
    </row>
    <row r="153" customFormat="false" ht="12.75" hidden="false" customHeight="false" outlineLevel="0" collapsed="false">
      <c r="A153" s="79"/>
      <c r="B153" s="200" t="s">
        <v>222</v>
      </c>
      <c r="C153" s="299" t="n">
        <v>0.419</v>
      </c>
      <c r="D153" s="78"/>
      <c r="E153" s="79" t="n">
        <v>0.419</v>
      </c>
      <c r="F153" s="79" t="n">
        <f aca="false">C153-E153</f>
        <v>0</v>
      </c>
      <c r="G153" s="199" t="n">
        <v>0.419</v>
      </c>
      <c r="H153" s="78"/>
      <c r="I153" s="202" t="s">
        <v>215</v>
      </c>
      <c r="J153" s="78" t="n">
        <v>6519</v>
      </c>
      <c r="K153" s="301" t="n">
        <v>2</v>
      </c>
      <c r="L153" s="78"/>
    </row>
    <row r="154" customFormat="false" ht="12.75" hidden="false" customHeight="false" outlineLevel="0" collapsed="false">
      <c r="A154" s="79"/>
      <c r="B154" s="200"/>
      <c r="C154" s="200"/>
      <c r="D154" s="78"/>
      <c r="E154" s="79"/>
      <c r="F154" s="79"/>
      <c r="G154" s="199"/>
      <c r="H154" s="78"/>
      <c r="I154" s="202" t="s">
        <v>217</v>
      </c>
      <c r="J154" s="78" t="n">
        <v>5502</v>
      </c>
      <c r="K154" s="301" t="n">
        <v>37</v>
      </c>
      <c r="L154" s="78"/>
    </row>
    <row r="155" customFormat="false" ht="12.75" hidden="false" customHeight="false" outlineLevel="0" collapsed="false">
      <c r="A155" s="78"/>
      <c r="B155" s="200" t="s">
        <v>225</v>
      </c>
      <c r="C155" s="299" t="n">
        <v>5</v>
      </c>
      <c r="D155" s="78"/>
      <c r="E155" s="79" t="n">
        <v>5</v>
      </c>
      <c r="F155" s="79" t="n">
        <f aca="false">C155-E155</f>
        <v>0</v>
      </c>
      <c r="G155" s="199" t="n">
        <v>5</v>
      </c>
      <c r="H155" s="78"/>
      <c r="I155" s="202" t="s">
        <v>219</v>
      </c>
      <c r="J155" s="78" t="n">
        <v>6789</v>
      </c>
      <c r="K155" s="301" t="n">
        <v>12500</v>
      </c>
      <c r="L155" s="78"/>
    </row>
    <row r="156" customFormat="false" ht="12.75" hidden="false" customHeight="false" outlineLevel="0" collapsed="false">
      <c r="A156" s="78"/>
      <c r="B156" s="200" t="s">
        <v>227</v>
      </c>
      <c r="C156" s="199" t="n">
        <v>0</v>
      </c>
      <c r="D156" s="78"/>
      <c r="E156" s="79" t="n">
        <v>0</v>
      </c>
      <c r="F156" s="79" t="n">
        <f aca="false">C156-E156</f>
        <v>0</v>
      </c>
      <c r="G156" s="199" t="n">
        <v>20</v>
      </c>
      <c r="H156" s="78"/>
      <c r="I156" s="202" t="s">
        <v>221</v>
      </c>
      <c r="J156" s="209" t="n">
        <v>6545</v>
      </c>
      <c r="K156" s="301" t="n">
        <v>68</v>
      </c>
      <c r="L156" s="78"/>
    </row>
    <row r="157" customFormat="false" ht="12.75" hidden="false" customHeight="false" outlineLevel="0" collapsed="false">
      <c r="A157" s="78"/>
      <c r="B157" s="200" t="s">
        <v>228</v>
      </c>
      <c r="C157" s="299" t="n">
        <v>10</v>
      </c>
      <c r="D157" s="78"/>
      <c r="E157" s="79" t="n">
        <v>9.562</v>
      </c>
      <c r="F157" s="79" t="n">
        <f aca="false">C157-E157</f>
        <v>0.438000000000001</v>
      </c>
      <c r="G157" s="199" t="n">
        <v>10</v>
      </c>
      <c r="H157" s="78"/>
      <c r="I157" s="202" t="s">
        <v>221</v>
      </c>
      <c r="J157" s="209" t="n">
        <v>275</v>
      </c>
      <c r="K157" s="301" t="n">
        <v>82</v>
      </c>
      <c r="L157" s="78" t="s">
        <v>224</v>
      </c>
    </row>
    <row r="158" customFormat="false" ht="12.75" hidden="false" customHeight="false" outlineLevel="0" collapsed="false">
      <c r="A158" s="78"/>
      <c r="B158" s="200" t="s">
        <v>229</v>
      </c>
      <c r="C158" s="299" t="n">
        <v>0.1</v>
      </c>
      <c r="D158" s="78"/>
      <c r="E158" s="79" t="n">
        <v>0.1</v>
      </c>
      <c r="F158" s="79" t="n">
        <f aca="false">C158-E158</f>
        <v>0</v>
      </c>
      <c r="G158" s="199" t="n">
        <v>0.1</v>
      </c>
      <c r="H158" s="78"/>
      <c r="I158" s="202" t="s">
        <v>223</v>
      </c>
      <c r="J158" s="209" t="n">
        <v>9812</v>
      </c>
      <c r="K158" s="301" t="n">
        <v>471</v>
      </c>
      <c r="L158" s="78"/>
    </row>
    <row r="159" customFormat="false" ht="12.75" hidden="false" customHeight="false" outlineLevel="0" collapsed="false">
      <c r="A159" s="78"/>
      <c r="B159" s="200" t="s">
        <v>58</v>
      </c>
      <c r="C159" s="299" t="n">
        <v>2</v>
      </c>
      <c r="D159" s="78"/>
      <c r="E159" s="79" t="n">
        <v>2</v>
      </c>
      <c r="F159" s="79" t="n">
        <f aca="false">C159-E159</f>
        <v>0</v>
      </c>
      <c r="G159" s="199" t="n">
        <v>2</v>
      </c>
      <c r="H159" s="78"/>
      <c r="I159" s="202" t="s">
        <v>226</v>
      </c>
      <c r="J159" s="209" t="n">
        <v>6387</v>
      </c>
      <c r="K159" s="301" t="n">
        <v>400</v>
      </c>
      <c r="L159" s="78"/>
    </row>
    <row r="160" customFormat="false" ht="12.75" hidden="false" customHeight="false" outlineLevel="0" collapsed="false">
      <c r="A160" s="78"/>
      <c r="B160" s="200" t="s">
        <v>232</v>
      </c>
      <c r="C160" s="299" t="n">
        <v>0.02</v>
      </c>
      <c r="D160" s="78"/>
      <c r="E160" s="79" t="n">
        <v>0.02</v>
      </c>
      <c r="F160" s="79" t="n">
        <f aca="false">C160-E160</f>
        <v>0</v>
      </c>
      <c r="G160" s="199" t="n">
        <v>0.02</v>
      </c>
      <c r="H160" s="78"/>
      <c r="I160" s="202" t="s">
        <v>226</v>
      </c>
      <c r="J160" s="209" t="n">
        <v>6347</v>
      </c>
      <c r="K160" s="301" t="n">
        <v>186</v>
      </c>
      <c r="L160" s="78"/>
    </row>
    <row r="161" customFormat="false" ht="12.75" hidden="false" customHeight="false" outlineLevel="0" collapsed="false">
      <c r="A161" s="78"/>
      <c r="B161" s="200"/>
      <c r="C161" s="199"/>
      <c r="D161" s="78"/>
      <c r="E161" s="79" t="n">
        <v>0</v>
      </c>
      <c r="F161" s="79" t="n">
        <f aca="false">C161-E161</f>
        <v>0</v>
      </c>
      <c r="G161" s="199" t="n">
        <v>10</v>
      </c>
      <c r="H161" s="78"/>
      <c r="I161" s="202" t="s">
        <v>226</v>
      </c>
      <c r="J161" s="209" t="n">
        <v>5892</v>
      </c>
      <c r="K161" s="301" t="n">
        <v>105</v>
      </c>
      <c r="L161" s="78"/>
    </row>
    <row r="162" customFormat="false" ht="12.75" hidden="false" customHeight="false" outlineLevel="0" collapsed="false">
      <c r="A162" s="78"/>
      <c r="B162" s="200" t="s">
        <v>235</v>
      </c>
      <c r="C162" s="299" t="n">
        <v>0.556</v>
      </c>
      <c r="D162" s="78"/>
      <c r="E162" s="79" t="n">
        <v>0.5</v>
      </c>
      <c r="F162" s="79" t="n">
        <f aca="false">C162-E162</f>
        <v>0.0560000000000001</v>
      </c>
      <c r="G162" s="199" t="n">
        <v>0.705</v>
      </c>
      <c r="H162" s="78"/>
      <c r="I162" s="202" t="s">
        <v>226</v>
      </c>
      <c r="J162" s="209" t="n">
        <v>6757</v>
      </c>
      <c r="K162" s="301" t="n">
        <v>194</v>
      </c>
      <c r="L162" s="78"/>
    </row>
    <row r="163" customFormat="false" ht="12.75" hidden="false" customHeight="false" outlineLevel="0" collapsed="false">
      <c r="A163" s="78"/>
      <c r="B163" s="200" t="s">
        <v>53</v>
      </c>
      <c r="C163" s="299" t="n">
        <v>10</v>
      </c>
      <c r="D163" s="78"/>
      <c r="E163" s="79" t="n">
        <v>10.922</v>
      </c>
      <c r="F163" s="79" t="n">
        <f aca="false">C163-E163</f>
        <v>-0.922000000000001</v>
      </c>
      <c r="G163" s="199" t="n">
        <v>8.5</v>
      </c>
      <c r="H163" s="78"/>
      <c r="I163" s="202" t="s">
        <v>231</v>
      </c>
      <c r="J163" s="78" t="n">
        <v>6598</v>
      </c>
      <c r="K163" s="301" t="n">
        <v>235</v>
      </c>
      <c r="L163" s="78"/>
    </row>
    <row r="164" customFormat="false" ht="12.75" hidden="false" customHeight="false" outlineLevel="0" collapsed="false">
      <c r="A164" s="78"/>
      <c r="B164" s="200" t="s">
        <v>237</v>
      </c>
      <c r="C164" s="299" t="n">
        <v>2</v>
      </c>
      <c r="D164" s="78"/>
      <c r="E164" s="79" t="n">
        <v>2</v>
      </c>
      <c r="F164" s="79" t="n">
        <f aca="false">C164-E164</f>
        <v>0</v>
      </c>
      <c r="G164" s="199" t="n">
        <v>0</v>
      </c>
      <c r="H164" s="78"/>
      <c r="I164" s="202" t="s">
        <v>233</v>
      </c>
      <c r="J164" s="78" t="n">
        <v>6392</v>
      </c>
      <c r="K164" s="301" t="n">
        <v>65</v>
      </c>
      <c r="L164" s="78" t="n">
        <v>1287</v>
      </c>
    </row>
    <row r="165" customFormat="false" ht="12.75" hidden="false" customHeight="false" outlineLevel="0" collapsed="false">
      <c r="A165" s="78"/>
      <c r="B165" s="200" t="s">
        <v>21</v>
      </c>
      <c r="C165" s="299" t="n">
        <v>33</v>
      </c>
      <c r="D165" s="78"/>
      <c r="E165" s="79" t="n">
        <v>42.671</v>
      </c>
      <c r="F165" s="79" t="n">
        <f aca="false">C165-E165</f>
        <v>-9.671</v>
      </c>
      <c r="G165" s="199" t="n">
        <v>30</v>
      </c>
      <c r="H165" s="78"/>
      <c r="I165" s="202" t="s">
        <v>234</v>
      </c>
      <c r="J165" s="78" t="n">
        <v>440</v>
      </c>
      <c r="K165" s="301" t="n">
        <v>444</v>
      </c>
      <c r="L165" s="78" t="n">
        <v>4770</v>
      </c>
    </row>
    <row r="166" customFormat="false" ht="12.75" hidden="false" customHeight="false" outlineLevel="0" collapsed="false">
      <c r="A166" s="78"/>
      <c r="B166" s="304" t="s">
        <v>19</v>
      </c>
      <c r="C166" s="299" t="n">
        <v>65</v>
      </c>
      <c r="D166" s="78" t="n">
        <v>65</v>
      </c>
      <c r="E166" s="79" t="n">
        <v>63.607</v>
      </c>
      <c r="F166" s="79" t="n">
        <f aca="false">C166-E166</f>
        <v>1.393</v>
      </c>
      <c r="G166" s="199" t="n">
        <v>65</v>
      </c>
      <c r="H166" s="78"/>
      <c r="I166" s="202" t="s">
        <v>135</v>
      </c>
      <c r="J166" s="78" t="n">
        <v>6173</v>
      </c>
      <c r="K166" s="302" t="n">
        <v>975</v>
      </c>
      <c r="L166" s="78"/>
    </row>
    <row r="167" customFormat="false" ht="12.75" hidden="false" customHeight="false" outlineLevel="0" collapsed="false">
      <c r="A167" s="78"/>
      <c r="B167" s="200" t="s">
        <v>242</v>
      </c>
      <c r="C167" s="299" t="n">
        <v>0.18</v>
      </c>
      <c r="D167" s="78"/>
      <c r="E167" s="79" t="n">
        <v>0.18</v>
      </c>
      <c r="F167" s="79" t="n">
        <f aca="false">C167-E167</f>
        <v>0</v>
      </c>
      <c r="G167" s="199" t="n">
        <v>0.18</v>
      </c>
      <c r="H167" s="78"/>
      <c r="I167" s="202" t="s">
        <v>236</v>
      </c>
      <c r="J167" s="78"/>
      <c r="K167" s="202" t="n">
        <v>0</v>
      </c>
      <c r="L167" s="78"/>
    </row>
    <row r="168" customFormat="false" ht="12.75" hidden="false" customHeight="false" outlineLevel="0" collapsed="false">
      <c r="A168" s="78"/>
      <c r="B168" s="210" t="s">
        <v>244</v>
      </c>
      <c r="C168" s="305" t="n">
        <v>2.5</v>
      </c>
      <c r="D168" s="78"/>
      <c r="E168" s="79" t="n">
        <v>0</v>
      </c>
      <c r="F168" s="79" t="n">
        <f aca="false">C168-E168</f>
        <v>2.5</v>
      </c>
      <c r="G168" s="199" t="n">
        <v>1.991</v>
      </c>
      <c r="H168" s="78"/>
      <c r="I168" s="202" t="s">
        <v>238</v>
      </c>
      <c r="J168" s="78" t="n">
        <v>4132</v>
      </c>
      <c r="K168" s="301" t="n">
        <v>7500</v>
      </c>
      <c r="L168" s="78"/>
    </row>
    <row r="169" customFormat="false" ht="12.75" hidden="false" customHeight="false" outlineLevel="0" collapsed="false">
      <c r="A169" s="78"/>
      <c r="B169" s="200" t="s">
        <v>23</v>
      </c>
      <c r="C169" s="299" t="n">
        <v>30</v>
      </c>
      <c r="D169" s="78"/>
      <c r="E169" s="79" t="n">
        <v>26.359</v>
      </c>
      <c r="F169" s="79" t="n">
        <f aca="false">C169-E169</f>
        <v>3.641</v>
      </c>
      <c r="G169" s="199" t="n">
        <v>45</v>
      </c>
      <c r="H169" s="78"/>
      <c r="I169" s="202" t="s">
        <v>239</v>
      </c>
      <c r="J169" s="209" t="s">
        <v>240</v>
      </c>
      <c r="K169" s="301" t="n">
        <v>3506</v>
      </c>
      <c r="L169" s="78"/>
    </row>
    <row r="170" customFormat="false" ht="12.75" hidden="false" customHeight="false" outlineLevel="0" collapsed="false">
      <c r="A170" s="78"/>
      <c r="B170" s="200"/>
      <c r="C170" s="200"/>
      <c r="D170" s="78"/>
      <c r="E170" s="79"/>
      <c r="F170" s="79"/>
      <c r="G170" s="199"/>
      <c r="H170" s="78"/>
      <c r="I170" s="202" t="s">
        <v>241</v>
      </c>
      <c r="J170" s="78" t="n">
        <v>3405</v>
      </c>
      <c r="K170" s="202" t="n">
        <v>0</v>
      </c>
      <c r="L170" s="78"/>
    </row>
    <row r="171" customFormat="false" ht="12.75" hidden="false" customHeight="false" outlineLevel="0" collapsed="false">
      <c r="A171" s="78"/>
      <c r="B171" s="200" t="s">
        <v>66</v>
      </c>
      <c r="C171" s="200" t="n">
        <v>0</v>
      </c>
      <c r="D171" s="78"/>
      <c r="E171" s="79" t="n">
        <v>6.142</v>
      </c>
      <c r="F171" s="79" t="n">
        <f aca="false">C171-E171</f>
        <v>-6.142</v>
      </c>
      <c r="G171" s="199" t="n">
        <v>6</v>
      </c>
      <c r="H171" s="78"/>
      <c r="I171" s="202" t="s">
        <v>243</v>
      </c>
      <c r="J171" s="78" t="n">
        <v>6353</v>
      </c>
      <c r="K171" s="301" t="n">
        <v>4000</v>
      </c>
      <c r="L171" s="78" t="s">
        <v>224</v>
      </c>
    </row>
    <row r="172" customFormat="false" ht="12.75" hidden="false" customHeight="false" outlineLevel="0" collapsed="false">
      <c r="A172" s="78"/>
      <c r="B172" s="200" t="s">
        <v>250</v>
      </c>
      <c r="C172" s="306" t="n">
        <v>4.172</v>
      </c>
      <c r="D172" s="206" t="s">
        <v>414</v>
      </c>
      <c r="E172" s="79" t="n">
        <v>11.156</v>
      </c>
      <c r="F172" s="79" t="n">
        <f aca="false">C172-E172</f>
        <v>-6.984</v>
      </c>
      <c r="G172" s="199" t="n">
        <v>11.5</v>
      </c>
      <c r="H172" s="78"/>
      <c r="I172" s="202" t="s">
        <v>245</v>
      </c>
      <c r="J172" s="78" t="n">
        <v>6899</v>
      </c>
      <c r="K172" s="301" t="n">
        <v>1</v>
      </c>
      <c r="L172" s="78"/>
    </row>
    <row r="173" customFormat="false" ht="12.75" hidden="false" customHeight="false" outlineLevel="0" collapsed="false">
      <c r="A173" s="78"/>
      <c r="B173" s="200" t="s">
        <v>252</v>
      </c>
      <c r="C173" s="299" t="n">
        <v>0.5</v>
      </c>
      <c r="D173" s="78"/>
      <c r="E173" s="79" t="n">
        <v>0.5</v>
      </c>
      <c r="F173" s="79" t="n">
        <f aca="false">C173-E173</f>
        <v>0</v>
      </c>
      <c r="G173" s="199" t="n">
        <v>0.3</v>
      </c>
      <c r="H173" s="78"/>
      <c r="I173" s="202"/>
      <c r="J173" s="78"/>
      <c r="K173" s="204"/>
      <c r="L173" s="78"/>
    </row>
    <row r="174" customFormat="false" ht="12.75" hidden="false" customHeight="false" outlineLevel="0" collapsed="false">
      <c r="A174" s="78"/>
      <c r="B174" s="200" t="s">
        <v>254</v>
      </c>
      <c r="C174" s="299" t="n">
        <v>0.215</v>
      </c>
      <c r="D174" s="78"/>
      <c r="E174" s="79" t="n">
        <v>0.215</v>
      </c>
      <c r="F174" s="79" t="n">
        <f aca="false">C174-E174</f>
        <v>0</v>
      </c>
      <c r="G174" s="199" t="n">
        <v>0.215</v>
      </c>
      <c r="H174" s="78"/>
      <c r="I174" s="202" t="s">
        <v>247</v>
      </c>
      <c r="J174" s="211" t="s">
        <v>248</v>
      </c>
      <c r="K174" s="301" t="n">
        <v>20</v>
      </c>
      <c r="L174" s="78" t="n">
        <v>2000</v>
      </c>
    </row>
    <row r="175" customFormat="false" ht="12.75" hidden="false" customHeight="false" outlineLevel="0" collapsed="false">
      <c r="A175" s="78"/>
      <c r="B175" s="200" t="s">
        <v>62</v>
      </c>
      <c r="C175" s="299" t="n">
        <v>0.8</v>
      </c>
      <c r="D175" s="78"/>
      <c r="E175" s="79" t="n">
        <v>0.9</v>
      </c>
      <c r="F175" s="79" t="n">
        <f aca="false">C175-E175</f>
        <v>-0.1</v>
      </c>
      <c r="G175" s="199" t="n">
        <v>0.9</v>
      </c>
      <c r="H175" s="78"/>
      <c r="I175" s="202" t="s">
        <v>249</v>
      </c>
      <c r="J175" s="78" t="n">
        <v>7491</v>
      </c>
      <c r="K175" s="301" t="n">
        <v>1000</v>
      </c>
      <c r="L175" s="78"/>
    </row>
    <row r="176" customFormat="false" ht="12.75" hidden="false" customHeight="false" outlineLevel="0" collapsed="false">
      <c r="A176" s="78"/>
      <c r="B176" s="200" t="s">
        <v>259</v>
      </c>
      <c r="C176" s="199" t="n">
        <v>0</v>
      </c>
      <c r="D176" s="78"/>
      <c r="E176" s="79" t="n">
        <v>0</v>
      </c>
      <c r="F176" s="79" t="n">
        <f aca="false">C176-E176</f>
        <v>0</v>
      </c>
      <c r="G176" s="199" t="n">
        <v>0.08</v>
      </c>
      <c r="H176" s="78"/>
      <c r="I176" s="202" t="s">
        <v>251</v>
      </c>
      <c r="J176" s="78" t="n">
        <v>6173</v>
      </c>
      <c r="K176" s="212" t="n">
        <v>0</v>
      </c>
      <c r="L176" s="78"/>
    </row>
    <row r="177" customFormat="false" ht="12.75" hidden="false" customHeight="false" outlineLevel="0" collapsed="false">
      <c r="A177" s="78"/>
      <c r="B177" s="200" t="s">
        <v>261</v>
      </c>
      <c r="C177" s="200" t="n">
        <v>0</v>
      </c>
      <c r="D177" s="78"/>
      <c r="E177" s="79" t="n">
        <v>0</v>
      </c>
      <c r="F177" s="79" t="n">
        <f aca="false">C177-E177</f>
        <v>0</v>
      </c>
      <c r="G177" s="199" t="n">
        <v>0</v>
      </c>
      <c r="H177" s="78"/>
      <c r="I177" s="202" t="s">
        <v>253</v>
      </c>
      <c r="J177" s="78" t="n">
        <v>6210</v>
      </c>
      <c r="K177" s="301" t="n">
        <v>7500</v>
      </c>
      <c r="L177" s="78" t="n">
        <v>7307</v>
      </c>
    </row>
    <row r="178" customFormat="false" ht="12.75" hidden="false" customHeight="false" outlineLevel="0" collapsed="false">
      <c r="A178" s="78"/>
      <c r="B178" s="200" t="s">
        <v>263</v>
      </c>
      <c r="C178" s="299" t="n">
        <v>1</v>
      </c>
      <c r="D178" s="78"/>
      <c r="E178" s="79" t="n">
        <v>1</v>
      </c>
      <c r="F178" s="79" t="n">
        <f aca="false">C178-E178</f>
        <v>0</v>
      </c>
      <c r="G178" s="199" t="n">
        <v>1.5</v>
      </c>
      <c r="H178" s="78"/>
      <c r="I178" s="202" t="s">
        <v>255</v>
      </c>
      <c r="J178" s="78" t="n">
        <v>5097</v>
      </c>
      <c r="K178" s="204" t="n">
        <v>0</v>
      </c>
      <c r="L178" s="78"/>
    </row>
    <row r="179" customFormat="false" ht="12.75" hidden="false" customHeight="false" outlineLevel="0" collapsed="false">
      <c r="A179" s="78"/>
      <c r="B179" s="200" t="s">
        <v>265</v>
      </c>
      <c r="C179" s="299" t="n">
        <v>1.5</v>
      </c>
      <c r="D179" s="78"/>
      <c r="E179" s="79" t="n">
        <v>1.5</v>
      </c>
      <c r="F179" s="79" t="n">
        <f aca="false">C179-E179</f>
        <v>0</v>
      </c>
      <c r="G179" s="199" t="n">
        <v>1</v>
      </c>
      <c r="H179" s="78"/>
      <c r="I179" s="202" t="s">
        <v>256</v>
      </c>
      <c r="J179" s="78" t="s">
        <v>415</v>
      </c>
      <c r="K179" s="301" t="n">
        <v>60</v>
      </c>
      <c r="L179" s="78"/>
    </row>
    <row r="180" customFormat="false" ht="12.75" hidden="false" customHeight="false" outlineLevel="0" collapsed="false">
      <c r="A180" s="78"/>
      <c r="B180" s="200" t="s">
        <v>267</v>
      </c>
      <c r="C180" s="299" t="n">
        <v>1.4</v>
      </c>
      <c r="D180" s="78"/>
      <c r="E180" s="79" t="n">
        <v>1.4</v>
      </c>
      <c r="F180" s="79" t="n">
        <f aca="false">C180-E180</f>
        <v>0</v>
      </c>
      <c r="G180" s="199" t="n">
        <v>1.5</v>
      </c>
      <c r="H180" s="78"/>
      <c r="I180" s="202" t="s">
        <v>260</v>
      </c>
      <c r="J180" s="211" t="s">
        <v>248</v>
      </c>
      <c r="K180" s="301" t="n">
        <v>800</v>
      </c>
      <c r="L180" s="78"/>
    </row>
    <row r="181" customFormat="false" ht="12.75" hidden="false" customHeight="false" outlineLevel="0" collapsed="false">
      <c r="A181" s="78"/>
      <c r="B181" s="200" t="s">
        <v>270</v>
      </c>
      <c r="C181" s="299" t="n">
        <v>20</v>
      </c>
      <c r="D181" s="202"/>
      <c r="E181" s="79" t="n">
        <v>25.217</v>
      </c>
      <c r="F181" s="79" t="n">
        <f aca="false">C181-E181</f>
        <v>-5.217</v>
      </c>
      <c r="G181" s="199" t="n">
        <v>1.4</v>
      </c>
      <c r="H181" s="78"/>
      <c r="I181" s="202"/>
      <c r="J181" s="78"/>
      <c r="K181" s="204"/>
      <c r="L181" s="78"/>
    </row>
    <row r="182" customFormat="false" ht="12.75" hidden="false" customHeight="false" outlineLevel="0" collapsed="false">
      <c r="A182" s="78"/>
      <c r="B182" s="200" t="s">
        <v>272</v>
      </c>
      <c r="C182" s="299" t="n">
        <v>5.46</v>
      </c>
      <c r="D182" s="78"/>
      <c r="E182" s="79" t="n">
        <v>5.975</v>
      </c>
      <c r="F182" s="79" t="n">
        <f aca="false">C182-E182</f>
        <v>-0.515</v>
      </c>
      <c r="G182" s="199" t="n">
        <v>25</v>
      </c>
      <c r="H182" s="78"/>
      <c r="I182" s="202" t="s">
        <v>264</v>
      </c>
      <c r="J182" s="78" t="n">
        <v>5310</v>
      </c>
      <c r="K182" s="301" t="n">
        <v>138</v>
      </c>
      <c r="L182" s="78"/>
    </row>
    <row r="183" customFormat="false" ht="12.75" hidden="false" customHeight="false" outlineLevel="0" collapsed="false">
      <c r="A183" s="78"/>
      <c r="B183" s="200" t="s">
        <v>274</v>
      </c>
      <c r="C183" s="299" t="n">
        <v>15</v>
      </c>
      <c r="D183" s="78"/>
      <c r="E183" s="79" t="n">
        <v>10</v>
      </c>
      <c r="F183" s="79" t="n">
        <f aca="false">C183-E183</f>
        <v>5</v>
      </c>
      <c r="G183" s="199" t="n">
        <v>5.975</v>
      </c>
      <c r="H183" s="78"/>
      <c r="I183" s="202"/>
      <c r="J183" s="78"/>
      <c r="K183" s="302"/>
      <c r="L183" s="78"/>
    </row>
    <row r="184" customFormat="false" ht="12.75" hidden="false" customHeight="false" outlineLevel="0" collapsed="false">
      <c r="A184" s="78"/>
      <c r="B184" s="200" t="s">
        <v>276</v>
      </c>
      <c r="C184" s="299" t="n">
        <v>0.05</v>
      </c>
      <c r="D184" s="78"/>
      <c r="E184" s="79" t="n">
        <v>0.05</v>
      </c>
      <c r="F184" s="79" t="n">
        <f aca="false">C184-E184</f>
        <v>0</v>
      </c>
      <c r="G184" s="199" t="n">
        <v>10</v>
      </c>
      <c r="H184" s="78"/>
      <c r="I184" s="202" t="s">
        <v>268</v>
      </c>
      <c r="J184" s="78" t="s">
        <v>416</v>
      </c>
      <c r="K184" s="301" t="n">
        <v>120</v>
      </c>
      <c r="L184" s="78"/>
    </row>
    <row r="185" customFormat="false" ht="12.75" hidden="false" customHeight="false" outlineLevel="0" collapsed="false">
      <c r="A185" s="78"/>
      <c r="B185" s="200" t="s">
        <v>278</v>
      </c>
      <c r="C185" s="299" t="n">
        <v>0.6</v>
      </c>
      <c r="D185" s="78"/>
      <c r="E185" s="79" t="n">
        <v>0.713</v>
      </c>
      <c r="F185" s="79" t="n">
        <f aca="false">C185-E185</f>
        <v>-0.113</v>
      </c>
      <c r="G185" s="199" t="n">
        <v>0.05</v>
      </c>
      <c r="H185" s="78"/>
      <c r="I185" s="202" t="s">
        <v>268</v>
      </c>
      <c r="J185" s="78" t="n">
        <v>6534</v>
      </c>
      <c r="K185" s="301" t="n">
        <v>2038</v>
      </c>
      <c r="L185" s="78"/>
    </row>
    <row r="186" customFormat="false" ht="12.75" hidden="false" customHeight="false" outlineLevel="0" collapsed="false">
      <c r="A186" s="78"/>
      <c r="B186" s="200" t="s">
        <v>280</v>
      </c>
      <c r="C186" s="299" t="n">
        <v>0.24</v>
      </c>
      <c r="D186" s="78"/>
      <c r="E186" s="79" t="n">
        <v>1.2</v>
      </c>
      <c r="F186" s="79" t="n">
        <f aca="false">C186-E186</f>
        <v>-0.96</v>
      </c>
      <c r="G186" s="199" t="n">
        <v>0.713</v>
      </c>
      <c r="H186" s="78"/>
      <c r="I186" s="202" t="s">
        <v>273</v>
      </c>
      <c r="J186" s="78" t="n">
        <v>6614</v>
      </c>
      <c r="K186" s="204" t="n">
        <v>0</v>
      </c>
      <c r="L186" s="78"/>
    </row>
    <row r="187" customFormat="false" ht="12.75" hidden="false" customHeight="false" outlineLevel="0" collapsed="false">
      <c r="A187" s="78"/>
      <c r="B187" s="200" t="s">
        <v>119</v>
      </c>
      <c r="C187" s="307" t="n">
        <v>5</v>
      </c>
      <c r="D187" s="78"/>
      <c r="E187" s="79" t="n">
        <v>0</v>
      </c>
      <c r="F187" s="79" t="n">
        <f aca="false">C187-E187</f>
        <v>5</v>
      </c>
      <c r="G187" s="199" t="n">
        <v>1.2</v>
      </c>
      <c r="H187" s="78"/>
      <c r="I187" s="202" t="s">
        <v>275</v>
      </c>
      <c r="J187" s="78" t="n">
        <v>6542</v>
      </c>
      <c r="K187" s="302" t="n">
        <v>1</v>
      </c>
      <c r="L187" s="78"/>
    </row>
    <row r="188" customFormat="false" ht="12.75" hidden="false" customHeight="false" outlineLevel="0" collapsed="false">
      <c r="A188" s="78"/>
      <c r="B188" s="200" t="s">
        <v>283</v>
      </c>
      <c r="C188" s="299" t="n">
        <v>10</v>
      </c>
      <c r="D188" s="78"/>
      <c r="E188" s="79" t="n">
        <v>10</v>
      </c>
      <c r="F188" s="79" t="n">
        <f aca="false">C188-E188</f>
        <v>0</v>
      </c>
      <c r="G188" s="199" t="n">
        <v>5</v>
      </c>
      <c r="H188" s="78"/>
      <c r="I188" s="202" t="s">
        <v>277</v>
      </c>
      <c r="J188" s="78" t="n">
        <v>5310</v>
      </c>
      <c r="K188" s="301" t="n">
        <v>184</v>
      </c>
      <c r="L188" s="78"/>
    </row>
    <row r="189" customFormat="false" ht="12.75" hidden="false" customHeight="false" outlineLevel="0" collapsed="false">
      <c r="A189" s="78"/>
      <c r="B189" s="200"/>
      <c r="C189" s="200"/>
      <c r="D189" s="78"/>
      <c r="E189" s="79"/>
      <c r="F189" s="79"/>
      <c r="G189" s="199"/>
      <c r="H189" s="78"/>
      <c r="I189" s="202" t="s">
        <v>279</v>
      </c>
      <c r="J189" s="78" t="n">
        <v>5310</v>
      </c>
      <c r="K189" s="301" t="n">
        <v>1200</v>
      </c>
      <c r="L189" s="78"/>
    </row>
    <row r="190" customFormat="false" ht="12.75" hidden="false" customHeight="false" outlineLevel="0" collapsed="false">
      <c r="A190" s="78"/>
      <c r="B190" s="200" t="s">
        <v>286</v>
      </c>
      <c r="C190" s="299" t="n">
        <v>0.45</v>
      </c>
      <c r="D190" s="78"/>
      <c r="E190" s="79" t="n">
        <v>0.45</v>
      </c>
      <c r="F190" s="79" t="n">
        <f aca="false">C190-E190</f>
        <v>0</v>
      </c>
      <c r="G190" s="199" t="n">
        <v>10</v>
      </c>
      <c r="H190" s="78"/>
      <c r="I190" s="202" t="s">
        <v>281</v>
      </c>
      <c r="J190" s="78"/>
      <c r="K190" s="202" t="n">
        <v>0</v>
      </c>
      <c r="L190" s="78"/>
    </row>
    <row r="191" customFormat="false" ht="12.75" hidden="false" customHeight="false" outlineLevel="0" collapsed="false">
      <c r="A191" s="78"/>
      <c r="B191" s="79" t="s">
        <v>288</v>
      </c>
      <c r="C191" s="79" t="n">
        <v>0</v>
      </c>
      <c r="D191" s="78"/>
      <c r="E191" s="79" t="n">
        <v>0</v>
      </c>
      <c r="F191" s="79" t="n">
        <f aca="false">C191-E191</f>
        <v>0</v>
      </c>
      <c r="G191" s="199" t="n">
        <v>0.45</v>
      </c>
      <c r="H191" s="78"/>
      <c r="I191" s="202" t="s">
        <v>282</v>
      </c>
      <c r="J191" s="78"/>
      <c r="K191" s="202" t="n">
        <v>0</v>
      </c>
      <c r="L191" s="78"/>
    </row>
    <row r="192" customFormat="false" ht="12.75" hidden="false" customHeight="false" outlineLevel="0" collapsed="false">
      <c r="A192" s="78"/>
      <c r="B192" s="200" t="s">
        <v>290</v>
      </c>
      <c r="C192" s="299" t="n">
        <v>20</v>
      </c>
      <c r="D192" s="78"/>
      <c r="E192" s="79" t="n">
        <v>20</v>
      </c>
      <c r="F192" s="79" t="n">
        <f aca="false">C192-E192</f>
        <v>0</v>
      </c>
      <c r="G192" s="199" t="n">
        <v>19</v>
      </c>
      <c r="H192" s="78"/>
      <c r="I192" s="202" t="s">
        <v>284</v>
      </c>
      <c r="J192" s="78"/>
      <c r="K192" s="202" t="n">
        <v>0</v>
      </c>
      <c r="L192" s="78"/>
    </row>
    <row r="193" customFormat="false" ht="12.75" hidden="false" customHeight="false" outlineLevel="0" collapsed="false">
      <c r="A193" s="78"/>
      <c r="B193" s="200" t="s">
        <v>292</v>
      </c>
      <c r="C193" s="299" t="n">
        <v>1.5</v>
      </c>
      <c r="D193" s="78"/>
      <c r="E193" s="79" t="n">
        <v>1.5</v>
      </c>
      <c r="F193" s="79" t="n">
        <f aca="false">C193-E193</f>
        <v>0</v>
      </c>
      <c r="G193" s="199" t="n">
        <v>10</v>
      </c>
      <c r="H193" s="78"/>
      <c r="I193" s="202" t="s">
        <v>285</v>
      </c>
      <c r="J193" s="78"/>
      <c r="K193" s="202" t="n">
        <v>0</v>
      </c>
      <c r="L193" s="78"/>
    </row>
    <row r="194" customFormat="false" ht="12.75" hidden="false" customHeight="false" outlineLevel="0" collapsed="false">
      <c r="A194" s="78"/>
      <c r="B194" s="79" t="s">
        <v>125</v>
      </c>
      <c r="C194" s="308" t="n">
        <v>4.5</v>
      </c>
      <c r="D194" s="309"/>
      <c r="E194" s="79" t="n">
        <v>0</v>
      </c>
      <c r="F194" s="79" t="n">
        <f aca="false">C194-E194</f>
        <v>4.5</v>
      </c>
      <c r="G194" s="199" t="n">
        <v>1.5</v>
      </c>
      <c r="H194" s="78"/>
      <c r="I194" s="202" t="s">
        <v>287</v>
      </c>
      <c r="J194" s="78"/>
      <c r="K194" s="202" t="n">
        <v>0</v>
      </c>
      <c r="L194" s="78"/>
    </row>
    <row r="195" customFormat="false" ht="12.75" hidden="false" customHeight="false" outlineLevel="0" collapsed="false">
      <c r="A195" s="78"/>
      <c r="B195" s="79"/>
      <c r="C195" s="79"/>
      <c r="D195" s="78"/>
      <c r="E195" s="79"/>
      <c r="F195" s="79"/>
      <c r="G195" s="199"/>
      <c r="H195" s="78"/>
      <c r="I195" s="202" t="s">
        <v>289</v>
      </c>
      <c r="J195" s="78" t="n">
        <v>7211</v>
      </c>
      <c r="K195" s="204" t="n">
        <v>0</v>
      </c>
      <c r="L195" s="78" t="n">
        <v>12500</v>
      </c>
    </row>
    <row r="196" customFormat="false" ht="12.75" hidden="false" customHeight="false" outlineLevel="0" collapsed="false">
      <c r="A196" s="78"/>
      <c r="B196" s="79"/>
      <c r="C196" s="79"/>
      <c r="D196" s="78"/>
      <c r="E196" s="79"/>
      <c r="F196" s="79"/>
      <c r="G196" s="199"/>
      <c r="H196" s="78"/>
      <c r="I196" s="202" t="s">
        <v>291</v>
      </c>
      <c r="J196" s="78" t="n">
        <v>6722</v>
      </c>
      <c r="K196" s="301" t="n">
        <v>41</v>
      </c>
      <c r="L196" s="78"/>
    </row>
    <row r="197" customFormat="false" ht="12.75" hidden="false" customHeight="false" outlineLevel="0" collapsed="false">
      <c r="A197" s="78"/>
      <c r="B197" s="200" t="s">
        <v>295</v>
      </c>
      <c r="C197" s="299" t="n">
        <v>4</v>
      </c>
      <c r="D197" s="78"/>
      <c r="E197" s="79" t="n">
        <v>4</v>
      </c>
      <c r="F197" s="79" t="n">
        <f aca="false">C197-E197</f>
        <v>0</v>
      </c>
      <c r="G197" s="199" t="n">
        <v>4.5</v>
      </c>
      <c r="H197" s="78"/>
      <c r="I197" s="202" t="s">
        <v>293</v>
      </c>
      <c r="J197" s="78"/>
      <c r="K197" s="301" t="n">
        <v>630</v>
      </c>
      <c r="L197" s="78"/>
    </row>
    <row r="198" customFormat="false" ht="12.75" hidden="false" customHeight="false" outlineLevel="0" collapsed="false">
      <c r="A198" s="78"/>
      <c r="B198" s="200" t="s">
        <v>297</v>
      </c>
      <c r="C198" s="299" t="n">
        <v>0.08</v>
      </c>
      <c r="D198" s="78"/>
      <c r="E198" s="79" t="n">
        <v>0.061</v>
      </c>
      <c r="F198" s="79" t="n">
        <f aca="false">C198-E198</f>
        <v>0.019</v>
      </c>
      <c r="G198" s="199" t="n">
        <v>4</v>
      </c>
      <c r="H198" s="78"/>
      <c r="I198" s="202" t="s">
        <v>294</v>
      </c>
      <c r="J198" s="78" t="n">
        <v>4063</v>
      </c>
      <c r="K198" s="301" t="n">
        <v>231</v>
      </c>
      <c r="L198" s="78"/>
    </row>
    <row r="199" customFormat="false" ht="12.75" hidden="false" customHeight="false" outlineLevel="0" collapsed="false">
      <c r="A199" s="78"/>
      <c r="B199" s="200" t="s">
        <v>299</v>
      </c>
      <c r="C199" s="299" t="n">
        <v>40</v>
      </c>
      <c r="D199" s="78"/>
      <c r="E199" s="79" t="n">
        <v>41.425</v>
      </c>
      <c r="F199" s="210" t="n">
        <f aca="false">C199-E199</f>
        <v>-1.425</v>
      </c>
      <c r="G199" s="199" t="n">
        <v>0.061</v>
      </c>
      <c r="H199" s="78"/>
      <c r="I199" s="202" t="s">
        <v>117</v>
      </c>
      <c r="J199" s="78" t="n">
        <v>3405</v>
      </c>
      <c r="K199" s="301" t="n">
        <v>2591</v>
      </c>
      <c r="L199" s="78"/>
    </row>
    <row r="200" customFormat="false" ht="12.75" hidden="false" customHeight="false" outlineLevel="0" collapsed="false">
      <c r="A200" s="78"/>
      <c r="B200" s="200" t="s">
        <v>31</v>
      </c>
      <c r="C200" s="299" t="n">
        <v>19</v>
      </c>
      <c r="D200" s="78"/>
      <c r="E200" s="79" t="n">
        <v>18.899</v>
      </c>
      <c r="F200" s="79" t="n">
        <f aca="false">C200-E200</f>
        <v>0.100999999999999</v>
      </c>
      <c r="G200" s="199" t="n">
        <v>40</v>
      </c>
      <c r="H200" s="78"/>
      <c r="I200" s="202" t="s">
        <v>69</v>
      </c>
      <c r="J200" s="78" t="s">
        <v>417</v>
      </c>
      <c r="K200" s="301" t="n">
        <v>7000</v>
      </c>
      <c r="L200" s="78"/>
    </row>
    <row r="201" customFormat="false" ht="12.75" hidden="false" customHeight="false" outlineLevel="0" collapsed="false">
      <c r="A201" s="78"/>
      <c r="B201" s="200" t="s">
        <v>302</v>
      </c>
      <c r="C201" s="299" t="n">
        <v>1</v>
      </c>
      <c r="D201" s="78"/>
      <c r="E201" s="79" t="n">
        <v>1</v>
      </c>
      <c r="F201" s="79" t="n">
        <f aca="false">C201-E201</f>
        <v>0</v>
      </c>
      <c r="G201" s="199" t="n">
        <v>20</v>
      </c>
      <c r="H201" s="78"/>
      <c r="I201" s="202" t="s">
        <v>296</v>
      </c>
      <c r="J201" s="78" t="n">
        <v>9643</v>
      </c>
      <c r="K201" s="301" t="n">
        <v>4300</v>
      </c>
      <c r="L201" s="78"/>
    </row>
    <row r="202" customFormat="false" ht="12.75" hidden="false" customHeight="false" outlineLevel="0" collapsed="false">
      <c r="A202" s="78"/>
      <c r="B202" s="200" t="s">
        <v>185</v>
      </c>
      <c r="C202" s="200" t="n">
        <v>0</v>
      </c>
      <c r="D202" s="78"/>
      <c r="E202" s="79" t="n">
        <v>0</v>
      </c>
      <c r="F202" s="79" t="n">
        <f aca="false">C202-E202</f>
        <v>0</v>
      </c>
      <c r="G202" s="199" t="n">
        <v>1</v>
      </c>
      <c r="H202" s="78"/>
      <c r="I202" s="202" t="s">
        <v>298</v>
      </c>
      <c r="J202" s="78" t="n">
        <v>6788</v>
      </c>
      <c r="K202" s="301" t="n">
        <v>250</v>
      </c>
      <c r="L202" s="78" t="n">
        <v>863</v>
      </c>
    </row>
    <row r="203" customFormat="false" ht="12.75" hidden="false" customHeight="false" outlineLevel="0" collapsed="false">
      <c r="A203" s="78"/>
      <c r="B203" s="200" t="s">
        <v>305</v>
      </c>
      <c r="C203" s="299" t="n">
        <v>1</v>
      </c>
      <c r="D203" s="78"/>
      <c r="E203" s="79" t="n">
        <v>1</v>
      </c>
      <c r="F203" s="79" t="n">
        <f aca="false">C203-E203</f>
        <v>0</v>
      </c>
      <c r="G203" s="199" t="n">
        <v>10</v>
      </c>
      <c r="H203" s="78"/>
      <c r="I203" s="202" t="s">
        <v>300</v>
      </c>
      <c r="J203" s="78" t="n">
        <v>6683</v>
      </c>
      <c r="K203" s="301" t="n">
        <v>2500</v>
      </c>
      <c r="L203" s="78"/>
    </row>
    <row r="204" customFormat="false" ht="12.75" hidden="false" customHeight="false" outlineLevel="0" collapsed="false">
      <c r="A204" s="78"/>
      <c r="B204" s="200" t="s">
        <v>308</v>
      </c>
      <c r="C204" s="299" t="n">
        <v>49</v>
      </c>
      <c r="D204" s="78" t="s">
        <v>413</v>
      </c>
      <c r="E204" s="79" t="n">
        <v>67.478</v>
      </c>
      <c r="F204" s="79" t="n">
        <f aca="false">C204-E204</f>
        <v>-18.478</v>
      </c>
      <c r="G204" s="199" t="n">
        <v>1</v>
      </c>
      <c r="H204" s="78"/>
      <c r="I204" s="202" t="s">
        <v>301</v>
      </c>
      <c r="J204" s="78" t="n">
        <v>2185</v>
      </c>
      <c r="K204" s="301" t="n">
        <v>35</v>
      </c>
      <c r="L204" s="78"/>
    </row>
    <row r="205" customFormat="false" ht="12.75" hidden="false" customHeight="false" outlineLevel="0" collapsed="false">
      <c r="A205" s="78"/>
      <c r="B205" s="200" t="s">
        <v>310</v>
      </c>
      <c r="C205" s="306" t="n">
        <v>0</v>
      </c>
      <c r="D205" s="78"/>
      <c r="E205" s="79" t="n">
        <v>0.2</v>
      </c>
      <c r="F205" s="79" t="n">
        <f aca="false">C205-E205</f>
        <v>-0.2</v>
      </c>
      <c r="G205" s="199" t="n">
        <v>65</v>
      </c>
      <c r="H205" s="78"/>
      <c r="I205" s="202"/>
      <c r="J205" s="78"/>
      <c r="K205" s="204"/>
      <c r="L205" s="78"/>
    </row>
    <row r="206" customFormat="false" ht="12.75" hidden="false" customHeight="false" outlineLevel="0" collapsed="false">
      <c r="A206" s="78"/>
      <c r="B206" s="200" t="s">
        <v>311</v>
      </c>
      <c r="C206" s="299" t="n">
        <v>0.043</v>
      </c>
      <c r="D206" s="78"/>
      <c r="E206" s="79"/>
      <c r="F206" s="79"/>
      <c r="G206" s="199"/>
      <c r="H206" s="78"/>
      <c r="I206" s="202"/>
      <c r="J206" s="78"/>
      <c r="K206" s="204"/>
      <c r="L206" s="78" t="n">
        <v>10</v>
      </c>
    </row>
    <row r="207" customFormat="false" ht="12.75" hidden="false" customHeight="false" outlineLevel="0" collapsed="false">
      <c r="A207" s="78"/>
      <c r="B207" s="200" t="s">
        <v>313</v>
      </c>
      <c r="C207" s="200" t="n">
        <v>0</v>
      </c>
      <c r="D207" s="78"/>
      <c r="E207" s="79" t="n">
        <v>4.665</v>
      </c>
      <c r="F207" s="79" t="n">
        <f aca="false">C207-E207</f>
        <v>-4.665</v>
      </c>
      <c r="G207" s="199" t="n">
        <v>0.2</v>
      </c>
      <c r="H207" s="78"/>
      <c r="I207" s="202" t="s">
        <v>306</v>
      </c>
      <c r="J207" s="78" t="s">
        <v>418</v>
      </c>
      <c r="K207" s="301" t="n">
        <v>8677</v>
      </c>
      <c r="L207" s="78"/>
    </row>
    <row r="208" customFormat="false" ht="12.75" hidden="false" customHeight="false" outlineLevel="0" collapsed="false">
      <c r="A208" s="78"/>
      <c r="B208" s="200" t="s">
        <v>314</v>
      </c>
      <c r="C208" s="299" t="n">
        <v>0.05</v>
      </c>
      <c r="D208" s="78"/>
      <c r="E208" s="79" t="n">
        <v>0.05</v>
      </c>
      <c r="F208" s="79" t="n">
        <f aca="false">C208-E208</f>
        <v>0</v>
      </c>
      <c r="G208" s="199" t="n">
        <v>4</v>
      </c>
      <c r="H208" s="78"/>
      <c r="I208" s="202" t="s">
        <v>309</v>
      </c>
      <c r="J208" s="78" t="n">
        <v>4132</v>
      </c>
      <c r="K208" s="301" t="n">
        <v>10</v>
      </c>
      <c r="L208" s="78"/>
    </row>
    <row r="209" customFormat="false" ht="12.75" hidden="false" customHeight="false" outlineLevel="0" collapsed="false">
      <c r="A209" s="78"/>
      <c r="B209" s="79" t="s">
        <v>216</v>
      </c>
      <c r="C209" s="79" t="n">
        <v>0</v>
      </c>
      <c r="D209" s="78"/>
      <c r="E209" s="79" t="n">
        <v>0</v>
      </c>
      <c r="F209" s="79" t="n">
        <f aca="false">C209-E209</f>
        <v>0</v>
      </c>
      <c r="G209" s="199" t="n">
        <v>0.05</v>
      </c>
      <c r="H209" s="78"/>
      <c r="I209" s="202" t="s">
        <v>118</v>
      </c>
      <c r="J209" s="78" t="n">
        <v>2540</v>
      </c>
      <c r="K209" s="204" t="n">
        <v>0</v>
      </c>
      <c r="L209" s="78"/>
    </row>
    <row r="210" customFormat="false" ht="12.75" hidden="false" customHeight="false" outlineLevel="0" collapsed="false">
      <c r="A210" s="78"/>
      <c r="B210" s="200" t="s">
        <v>317</v>
      </c>
      <c r="C210" s="200" t="n">
        <v>0</v>
      </c>
      <c r="D210" s="78"/>
      <c r="E210" s="79" t="n">
        <v>0</v>
      </c>
      <c r="F210" s="79" t="n">
        <f aca="false">C210-E210</f>
        <v>0</v>
      </c>
      <c r="G210" s="199" t="n">
        <v>0</v>
      </c>
      <c r="H210" s="78"/>
      <c r="I210" s="202" t="s">
        <v>312</v>
      </c>
      <c r="J210" s="78" t="n">
        <v>3405</v>
      </c>
      <c r="K210" s="301" t="n">
        <v>15</v>
      </c>
      <c r="L210" s="78"/>
    </row>
    <row r="211" customFormat="false" ht="12.75" hidden="false" customHeight="false" outlineLevel="0" collapsed="false">
      <c r="B211" s="0" t="s">
        <v>319</v>
      </c>
      <c r="C211" s="79" t="n">
        <v>0</v>
      </c>
      <c r="D211" s="78" t="s">
        <v>320</v>
      </c>
      <c r="E211" s="79" t="n">
        <v>0</v>
      </c>
      <c r="F211" s="79" t="n">
        <f aca="false">C211-E211</f>
        <v>0</v>
      </c>
      <c r="G211" s="199" t="n">
        <v>12.5</v>
      </c>
      <c r="H211" s="78"/>
      <c r="I211" s="202" t="s">
        <v>312</v>
      </c>
      <c r="J211" s="78" t="n">
        <v>5801</v>
      </c>
      <c r="K211" s="301" t="n">
        <v>1</v>
      </c>
      <c r="L211" s="78"/>
    </row>
    <row r="212" customFormat="false" ht="12.75" hidden="false" customHeight="false" outlineLevel="0" collapsed="false">
      <c r="B212" s="0" t="s">
        <v>322</v>
      </c>
      <c r="C212" s="79" t="n">
        <v>0</v>
      </c>
      <c r="D212" s="78"/>
      <c r="E212" s="79" t="n">
        <v>0</v>
      </c>
      <c r="F212" s="79" t="n">
        <f aca="false">C212-E212</f>
        <v>0</v>
      </c>
      <c r="G212" s="199" t="n">
        <v>0</v>
      </c>
      <c r="H212" s="78"/>
      <c r="I212" s="202" t="s">
        <v>315</v>
      </c>
      <c r="J212" s="78" t="n">
        <v>6589</v>
      </c>
      <c r="K212" s="301" t="n">
        <v>1100</v>
      </c>
      <c r="L212" s="78"/>
    </row>
    <row r="213" customFormat="false" ht="12.75" hidden="false" customHeight="false" outlineLevel="0" collapsed="false">
      <c r="B213" s="0"/>
      <c r="C213" s="213" t="n">
        <f aca="false">SUM(C131:C212)</f>
        <v>443.716</v>
      </c>
      <c r="D213" s="78"/>
      <c r="E213" s="213" t="n">
        <f aca="false">SUM(E131:E212)</f>
        <v>472.433</v>
      </c>
      <c r="F213" s="79" t="n">
        <f aca="false">C212-E212</f>
        <v>0</v>
      </c>
      <c r="G213" s="202"/>
      <c r="H213" s="78"/>
      <c r="I213" s="202"/>
      <c r="J213" s="78"/>
      <c r="K213" s="301"/>
      <c r="L213" s="78"/>
    </row>
    <row r="214" customFormat="false" ht="12.75" hidden="false" customHeight="false" outlineLevel="0" collapsed="false">
      <c r="B214" s="0"/>
      <c r="C214" s="79"/>
      <c r="D214" s="78"/>
      <c r="E214" s="78"/>
      <c r="F214" s="78"/>
      <c r="G214" s="78"/>
      <c r="H214" s="78"/>
      <c r="I214" s="202" t="s">
        <v>316</v>
      </c>
      <c r="J214" s="78" t="n">
        <v>106</v>
      </c>
      <c r="K214" s="301" t="n">
        <v>1068</v>
      </c>
      <c r="L214" s="78"/>
    </row>
    <row r="215" customFormat="false" ht="12.75" hidden="false" customHeight="false" outlineLevel="0" collapsed="false">
      <c r="A215" s="215"/>
      <c r="B215" s="0"/>
      <c r="C215" s="79"/>
      <c r="D215" s="78"/>
      <c r="E215" s="78"/>
      <c r="F215" s="78"/>
      <c r="G215" s="78"/>
      <c r="H215" s="78"/>
      <c r="I215" s="202"/>
      <c r="J215" s="78"/>
      <c r="K215" s="204"/>
      <c r="L215" s="78" t="s">
        <v>224</v>
      </c>
    </row>
    <row r="216" customFormat="false" ht="12.75" hidden="false" customHeight="false" outlineLevel="0" collapsed="false">
      <c r="B216" s="0"/>
      <c r="C216" s="79"/>
      <c r="D216" s="78"/>
      <c r="E216" s="78"/>
      <c r="F216" s="78"/>
      <c r="G216" s="78"/>
      <c r="H216" s="78"/>
      <c r="I216" s="202" t="s">
        <v>321</v>
      </c>
      <c r="J216" s="78" t="n">
        <v>6598</v>
      </c>
      <c r="K216" s="301" t="n">
        <v>4206</v>
      </c>
    </row>
    <row r="217" customFormat="false" ht="12.75" hidden="false" customHeight="false" outlineLevel="0" collapsed="false">
      <c r="B217" s="216" t="s">
        <v>11</v>
      </c>
      <c r="C217" s="200" t="n">
        <v>0</v>
      </c>
      <c r="D217" s="78"/>
      <c r="E217" s="78"/>
      <c r="F217" s="78"/>
      <c r="G217" s="78"/>
      <c r="H217" s="78"/>
      <c r="I217" s="79"/>
      <c r="J217" s="78"/>
      <c r="K217" s="204"/>
    </row>
    <row r="218" customFormat="false" ht="12.75" hidden="false" customHeight="false" outlineLevel="0" collapsed="false">
      <c r="B218" s="216" t="s">
        <v>9</v>
      </c>
      <c r="C218" s="200" t="n">
        <v>0</v>
      </c>
      <c r="D218" s="78" t="n">
        <v>3</v>
      </c>
      <c r="E218" s="78"/>
      <c r="F218" s="78"/>
      <c r="G218" s="78"/>
      <c r="H218" s="78"/>
      <c r="I218" s="78"/>
      <c r="J218" s="78"/>
      <c r="K218" s="214" t="n">
        <f aca="false">SUM(K131:K217)</f>
        <v>89093</v>
      </c>
    </row>
    <row r="219" customFormat="false" ht="12.75" hidden="false" customHeight="false" outlineLevel="0" collapsed="false">
      <c r="B219" s="216" t="s">
        <v>323</v>
      </c>
      <c r="C219" s="200" t="n">
        <v>0</v>
      </c>
      <c r="D219" s="78" t="s">
        <v>324</v>
      </c>
      <c r="E219" s="78"/>
      <c r="F219" s="78"/>
      <c r="G219" s="78"/>
      <c r="H219" s="78"/>
      <c r="I219" s="78"/>
      <c r="J219" s="78"/>
      <c r="K219" s="78"/>
    </row>
    <row r="220" customFormat="false" ht="12.75" hidden="false" customHeight="false" outlineLevel="0" collapsed="false">
      <c r="B220" s="216" t="s">
        <v>15</v>
      </c>
      <c r="C220" s="200" t="n">
        <v>0</v>
      </c>
      <c r="D220" s="78"/>
      <c r="E220" s="78"/>
      <c r="F220" s="78" t="n">
        <v>5</v>
      </c>
      <c r="G220" s="78"/>
      <c r="H220" s="78"/>
      <c r="I220" s="78"/>
      <c r="J220" s="78"/>
      <c r="K220" s="78"/>
    </row>
    <row r="221" customFormat="false" ht="12.75" hidden="false" customHeight="false" outlineLevel="0" collapsed="false">
      <c r="B221" s="216" t="s">
        <v>227</v>
      </c>
      <c r="C221" s="200" t="n">
        <v>0</v>
      </c>
      <c r="D221" s="78" t="s">
        <v>325</v>
      </c>
      <c r="E221" s="78"/>
      <c r="F221" s="78" t="n">
        <v>10</v>
      </c>
      <c r="G221" s="78"/>
      <c r="H221" s="78"/>
      <c r="I221" s="78"/>
      <c r="J221" s="78"/>
      <c r="K221" s="78"/>
    </row>
    <row r="222" customFormat="false" ht="12.75" hidden="false" customHeight="false" outlineLevel="0" collapsed="false">
      <c r="B222" s="216" t="s">
        <v>53</v>
      </c>
      <c r="C222" s="200" t="n">
        <v>0</v>
      </c>
      <c r="D222" s="78"/>
      <c r="E222" s="78"/>
      <c r="F222" s="78"/>
      <c r="G222" s="78"/>
      <c r="H222" s="78"/>
      <c r="I222" s="78"/>
      <c r="J222" s="78"/>
      <c r="K222" s="78"/>
    </row>
    <row r="223" customFormat="false" ht="12.75" hidden="false" customHeight="false" outlineLevel="0" collapsed="false">
      <c r="B223" s="216" t="s">
        <v>21</v>
      </c>
      <c r="C223" s="200" t="n">
        <v>0</v>
      </c>
      <c r="D223" s="78"/>
      <c r="E223" s="78"/>
      <c r="F223" s="78"/>
      <c r="G223" s="78"/>
      <c r="H223" s="78"/>
      <c r="I223" s="78"/>
      <c r="J223" s="78"/>
      <c r="K223" s="78"/>
    </row>
    <row r="224" customFormat="false" ht="12.75" hidden="false" customHeight="false" outlineLevel="0" collapsed="false">
      <c r="B224" s="216" t="s">
        <v>19</v>
      </c>
      <c r="C224" s="200" t="n">
        <v>0</v>
      </c>
      <c r="D224" s="78" t="s">
        <v>324</v>
      </c>
      <c r="E224" s="78"/>
      <c r="F224" s="78" t="n">
        <v>5</v>
      </c>
      <c r="G224" s="78"/>
      <c r="H224" s="78"/>
      <c r="I224" s="79"/>
      <c r="J224" s="78"/>
      <c r="K224" s="78"/>
    </row>
    <row r="225" customFormat="false" ht="12.75" hidden="false" customHeight="false" outlineLevel="0" collapsed="false">
      <c r="A225" s="1" t="s">
        <v>326</v>
      </c>
      <c r="B225" s="216" t="s">
        <v>23</v>
      </c>
      <c r="C225" s="200" t="n">
        <v>0</v>
      </c>
      <c r="D225" s="78" t="s">
        <v>324</v>
      </c>
      <c r="E225" s="78"/>
      <c r="F225" s="78" t="n">
        <v>15</v>
      </c>
      <c r="G225" s="78"/>
      <c r="H225" s="78"/>
      <c r="I225" s="78"/>
      <c r="J225" s="78"/>
    </row>
    <row r="226" customFormat="false" ht="12.75" hidden="false" customHeight="false" outlineLevel="0" collapsed="false">
      <c r="B226" s="0" t="s">
        <v>250</v>
      </c>
      <c r="C226" s="79" t="n">
        <v>0</v>
      </c>
      <c r="D226" s="78" t="s">
        <v>324</v>
      </c>
      <c r="E226" s="78"/>
      <c r="F226" s="78" t="n">
        <v>15</v>
      </c>
      <c r="G226" s="78"/>
      <c r="H226" s="78"/>
      <c r="I226" s="78"/>
      <c r="J226" s="78"/>
    </row>
    <row r="227" customFormat="false" ht="12.75" hidden="false" customHeight="false" outlineLevel="0" collapsed="false">
      <c r="B227" s="216" t="s">
        <v>270</v>
      </c>
      <c r="C227" s="200" t="n">
        <v>0</v>
      </c>
      <c r="D227" s="78"/>
      <c r="E227" s="78"/>
      <c r="F227" s="78" t="n">
        <v>5</v>
      </c>
      <c r="G227" s="78"/>
      <c r="H227" s="78"/>
      <c r="I227" s="78"/>
      <c r="J227" s="78"/>
    </row>
    <row r="228" customFormat="false" ht="12.75" hidden="false" customHeight="false" outlineLevel="0" collapsed="false">
      <c r="B228" s="216" t="s">
        <v>327</v>
      </c>
      <c r="C228" s="200" t="n">
        <v>0</v>
      </c>
      <c r="D228" s="78" t="s">
        <v>328</v>
      </c>
      <c r="E228" s="78"/>
      <c r="F228" s="78"/>
      <c r="G228" s="78"/>
      <c r="H228" s="78"/>
      <c r="I228" s="78"/>
      <c r="J228" s="78"/>
    </row>
    <row r="229" customFormat="false" ht="12.75" hidden="false" customHeight="false" outlineLevel="0" collapsed="false">
      <c r="B229" s="0" t="s">
        <v>299</v>
      </c>
      <c r="C229" s="199" t="n">
        <v>0</v>
      </c>
      <c r="D229" s="78"/>
      <c r="E229" s="78"/>
      <c r="F229" s="78" t="n">
        <f aca="false">SUM(F220:F228)</f>
        <v>55</v>
      </c>
      <c r="G229" s="78"/>
      <c r="H229" s="78"/>
      <c r="I229" s="78"/>
      <c r="J229" s="78"/>
    </row>
    <row r="230" customFormat="false" ht="12.75" hidden="false" customHeight="false" outlineLevel="0" collapsed="false">
      <c r="B230" s="0" t="s">
        <v>31</v>
      </c>
      <c r="C230" s="199" t="n">
        <v>0</v>
      </c>
      <c r="D230" s="78"/>
      <c r="E230" s="78"/>
      <c r="F230" s="78"/>
      <c r="G230" s="78"/>
      <c r="H230" s="78"/>
      <c r="I230" s="78"/>
      <c r="J230" s="78"/>
    </row>
    <row r="231" customFormat="false" ht="12.75" hidden="false" customHeight="false" outlineLevel="0" collapsed="false">
      <c r="B231" s="0" t="s">
        <v>317</v>
      </c>
      <c r="C231" s="199" t="n">
        <v>0</v>
      </c>
      <c r="D231" s="78"/>
      <c r="E231" s="78"/>
      <c r="F231" s="78"/>
      <c r="G231" s="78"/>
      <c r="H231" s="78"/>
      <c r="I231" s="78"/>
      <c r="J231" s="78"/>
    </row>
    <row r="232" customFormat="false" ht="12.75" hidden="false" customHeight="false" outlineLevel="0" collapsed="false">
      <c r="B232" s="0" t="s">
        <v>329</v>
      </c>
      <c r="C232" s="199" t="n">
        <v>0</v>
      </c>
      <c r="D232" s="78"/>
      <c r="E232" s="78"/>
      <c r="F232" s="78"/>
      <c r="G232" s="78"/>
      <c r="H232" s="78"/>
      <c r="I232" s="78"/>
      <c r="J232" s="78"/>
    </row>
    <row r="233" customFormat="false" ht="12.75" hidden="false" customHeight="false" outlineLevel="0" collapsed="false">
      <c r="B233" s="0" t="s">
        <v>330</v>
      </c>
      <c r="C233" s="217" t="n">
        <f aca="false">SUM(C217:C232)</f>
        <v>0</v>
      </c>
      <c r="D233" s="78"/>
      <c r="F233" s="78"/>
      <c r="G233" s="78"/>
      <c r="H233" s="78"/>
      <c r="I233" s="78"/>
      <c r="J233" s="78"/>
    </row>
    <row r="234" customFormat="false" ht="12.75" hidden="false" customHeight="false" outlineLevel="0" collapsed="false">
      <c r="B234" s="48"/>
      <c r="C234" s="48"/>
      <c r="I234" s="78"/>
      <c r="J234" s="78"/>
    </row>
    <row r="235" customFormat="false" ht="12.75" hidden="false" customHeight="false" outlineLevel="0" collapsed="false">
      <c r="B235" s="0"/>
      <c r="C235" s="0" t="n">
        <f aca="false">C213+C233</f>
        <v>443.716</v>
      </c>
      <c r="I235" s="79"/>
      <c r="J235" s="78"/>
    </row>
    <row r="236" customFormat="false" ht="12.75" hidden="false" customHeight="false" outlineLevel="0" collapsed="false">
      <c r="B236" s="0"/>
      <c r="C236" s="0"/>
      <c r="I236" s="79"/>
      <c r="J236" s="78"/>
    </row>
    <row r="237" customFormat="false" ht="12.75" hidden="false" customHeight="false" outlineLevel="0" collapsed="false">
      <c r="B237" s="0"/>
      <c r="C237" s="0" t="n">
        <f aca="false">E213-C235</f>
        <v>28.7169999999999</v>
      </c>
      <c r="G237" s="218" t="s">
        <v>331</v>
      </c>
      <c r="H237" s="219"/>
      <c r="I237" s="78"/>
      <c r="J237" s="78"/>
      <c r="Q237" s="219"/>
      <c r="R237" s="219"/>
      <c r="S237" s="220"/>
    </row>
    <row r="238" customFormat="false" ht="12.75" hidden="false" customHeight="false" outlineLevel="0" collapsed="false">
      <c r="B238" s="0"/>
      <c r="C238" s="0"/>
      <c r="G238" s="221"/>
      <c r="H238" s="222" t="s">
        <v>332</v>
      </c>
      <c r="I238" s="78"/>
      <c r="J238" s="78"/>
      <c r="N238" s="219"/>
      <c r="O238" s="219"/>
      <c r="P238" s="219"/>
      <c r="Q238" s="223"/>
      <c r="R238" s="223"/>
      <c r="S238" s="181"/>
    </row>
    <row r="239" customFormat="false" ht="12" hidden="false" customHeight="false" outlineLevel="0" collapsed="false">
      <c r="G239" s="224"/>
      <c r="H239" s="87"/>
      <c r="I239" s="78"/>
      <c r="J239" s="78"/>
      <c r="N239" s="223"/>
      <c r="O239" s="223"/>
      <c r="P239" s="223"/>
      <c r="Q239" s="87"/>
      <c r="R239" s="87"/>
      <c r="S239" s="184"/>
    </row>
    <row r="240" customFormat="false" ht="12" hidden="false" customHeight="false" outlineLevel="0" collapsed="false">
      <c r="G240" s="224"/>
      <c r="H240" s="87"/>
      <c r="I240" s="78"/>
      <c r="J240" s="78"/>
      <c r="N240" s="87"/>
      <c r="O240" s="87"/>
      <c r="P240" s="87"/>
      <c r="Q240" s="87"/>
      <c r="R240" s="87"/>
      <c r="S240" s="184"/>
    </row>
    <row r="241" customFormat="false" ht="12.75" hidden="false" customHeight="false" outlineLevel="0" collapsed="false">
      <c r="B241" s="0"/>
      <c r="C241" s="225"/>
      <c r="G241" s="224"/>
      <c r="H241" s="87"/>
      <c r="I241" s="78"/>
      <c r="J241" s="78"/>
      <c r="N241" s="87"/>
      <c r="O241" s="87"/>
      <c r="P241" s="87"/>
      <c r="Q241" s="87"/>
      <c r="R241" s="87"/>
      <c r="S241" s="184"/>
    </row>
    <row r="242" customFormat="false" ht="12.75" hidden="false" customHeight="false" outlineLevel="0" collapsed="false">
      <c r="B242" s="0"/>
      <c r="C242" s="225"/>
      <c r="G242" s="224"/>
      <c r="H242" s="87"/>
      <c r="I242" s="78"/>
      <c r="J242" s="78"/>
      <c r="N242" s="87"/>
      <c r="O242" s="87"/>
      <c r="P242" s="87"/>
      <c r="Q242" s="87"/>
      <c r="R242" s="87"/>
      <c r="S242" s="184"/>
    </row>
    <row r="243" customFormat="false" ht="12.75" hidden="false" customHeight="false" outlineLevel="0" collapsed="false">
      <c r="B243" s="0"/>
      <c r="C243" s="225"/>
      <c r="G243" s="224"/>
      <c r="H243" s="87"/>
      <c r="I243" s="78"/>
      <c r="J243" s="78"/>
      <c r="M243" s="219"/>
      <c r="N243" s="87"/>
      <c r="O243" s="87"/>
      <c r="P243" s="87"/>
      <c r="Q243" s="87"/>
      <c r="R243" s="87"/>
      <c r="S243" s="184"/>
    </row>
    <row r="244" customFormat="false" ht="12.75" hidden="false" customHeight="false" outlineLevel="0" collapsed="false">
      <c r="B244" s="0"/>
      <c r="C244" s="225"/>
      <c r="G244" s="224"/>
      <c r="H244" s="87"/>
      <c r="I244" s="78"/>
      <c r="J244" s="78"/>
      <c r="M244" s="223"/>
      <c r="N244" s="87"/>
      <c r="O244" s="87"/>
      <c r="P244" s="87"/>
      <c r="Q244" s="87"/>
      <c r="R244" s="87"/>
      <c r="S244" s="184"/>
    </row>
    <row r="245" customFormat="false" ht="12.75" hidden="false" customHeight="false" outlineLevel="0" collapsed="false">
      <c r="B245" s="0"/>
      <c r="C245" s="225"/>
      <c r="G245" s="224"/>
      <c r="H245" s="87"/>
      <c r="I245" s="78"/>
      <c r="J245" s="78"/>
      <c r="M245" s="87"/>
      <c r="N245" s="87"/>
      <c r="O245" s="87"/>
      <c r="P245" s="87"/>
      <c r="Q245" s="87"/>
      <c r="R245" s="87"/>
      <c r="S245" s="184"/>
    </row>
    <row r="246" customFormat="false" ht="12.75" hidden="false" customHeight="false" outlineLevel="0" collapsed="false">
      <c r="B246" s="0"/>
      <c r="C246" s="225"/>
      <c r="G246" s="224"/>
      <c r="H246" s="87"/>
      <c r="I246" s="78"/>
      <c r="J246" s="78"/>
      <c r="M246" s="87"/>
      <c r="N246" s="87"/>
      <c r="O246" s="87"/>
      <c r="P246" s="87"/>
      <c r="Q246" s="87"/>
      <c r="R246" s="87"/>
      <c r="S246" s="184"/>
    </row>
    <row r="247" customFormat="false" ht="12.75" hidden="false" customHeight="false" outlineLevel="0" collapsed="false">
      <c r="B247" s="0"/>
      <c r="C247" s="225"/>
      <c r="G247" s="224"/>
      <c r="H247" s="87" t="s">
        <v>333</v>
      </c>
      <c r="I247" s="78"/>
      <c r="J247" s="78"/>
      <c r="M247" s="87"/>
      <c r="N247" s="87"/>
      <c r="O247" s="87"/>
      <c r="P247" s="87"/>
      <c r="Q247" s="87"/>
      <c r="R247" s="87"/>
      <c r="S247" s="184"/>
    </row>
    <row r="248" customFormat="false" ht="12.75" hidden="false" customHeight="false" outlineLevel="0" collapsed="false">
      <c r="B248" s="0"/>
      <c r="C248" s="225"/>
      <c r="G248" s="224"/>
      <c r="H248" s="87"/>
      <c r="I248" s="78"/>
      <c r="J248" s="78"/>
      <c r="M248" s="87"/>
      <c r="N248" s="87"/>
      <c r="O248" s="87"/>
      <c r="P248" s="87"/>
      <c r="Q248" s="87"/>
      <c r="R248" s="87"/>
      <c r="S248" s="184"/>
    </row>
    <row r="249" customFormat="false" ht="12.75" hidden="false" customHeight="false" outlineLevel="0" collapsed="false">
      <c r="B249" s="0"/>
      <c r="C249" s="225"/>
      <c r="G249" s="224"/>
      <c r="H249" s="87"/>
      <c r="I249" s="78"/>
      <c r="J249" s="78"/>
      <c r="M249" s="87"/>
      <c r="N249" s="87"/>
      <c r="O249" s="87"/>
      <c r="P249" s="87"/>
      <c r="Q249" s="87"/>
      <c r="R249" s="87"/>
      <c r="S249" s="184"/>
    </row>
    <row r="250" customFormat="false" ht="12.75" hidden="false" customHeight="false" outlineLevel="0" collapsed="false">
      <c r="B250" s="0"/>
      <c r="C250" s="225"/>
      <c r="G250" s="224"/>
      <c r="H250" s="87"/>
      <c r="L250" s="219"/>
      <c r="M250" s="87"/>
      <c r="N250" s="87"/>
      <c r="O250" s="87"/>
      <c r="P250" s="87"/>
      <c r="Q250" s="87"/>
      <c r="R250" s="87"/>
      <c r="S250" s="184"/>
    </row>
    <row r="251" customFormat="false" ht="12.75" hidden="false" customHeight="false" outlineLevel="0" collapsed="false">
      <c r="B251" s="0"/>
      <c r="C251" s="225"/>
      <c r="G251" s="224"/>
      <c r="H251" s="87"/>
      <c r="L251" s="223"/>
      <c r="M251" s="87"/>
      <c r="N251" s="87"/>
      <c r="O251" s="87"/>
      <c r="P251" s="87"/>
      <c r="Q251" s="87"/>
      <c r="R251" s="87"/>
      <c r="S251" s="184"/>
    </row>
    <row r="252" customFormat="false" ht="12.75" hidden="false" customHeight="false" outlineLevel="0" collapsed="false">
      <c r="B252" s="0"/>
      <c r="C252" s="225"/>
      <c r="G252" s="224"/>
      <c r="H252" s="87"/>
      <c r="L252" s="87"/>
      <c r="M252" s="87"/>
      <c r="N252" s="87"/>
      <c r="O252" s="87"/>
      <c r="P252" s="87"/>
      <c r="Q252" s="87"/>
      <c r="R252" s="87"/>
      <c r="S252" s="184"/>
    </row>
    <row r="253" customFormat="false" ht="12.75" hidden="false" customHeight="false" outlineLevel="0" collapsed="false">
      <c r="B253" s="0"/>
      <c r="C253" s="225"/>
      <c r="G253" s="224"/>
      <c r="H253" s="87"/>
      <c r="L253" s="87"/>
      <c r="M253" s="87"/>
      <c r="N253" s="87"/>
      <c r="O253" s="87"/>
      <c r="P253" s="87"/>
      <c r="Q253" s="87"/>
      <c r="R253" s="87"/>
      <c r="S253" s="184"/>
    </row>
    <row r="254" customFormat="false" ht="12.75" hidden="false" customHeight="false" outlineLevel="0" collapsed="false">
      <c r="B254" s="0"/>
      <c r="C254" s="225"/>
      <c r="G254" s="224"/>
      <c r="H254" s="87"/>
      <c r="I254" s="219"/>
      <c r="J254" s="219"/>
      <c r="K254" s="219"/>
      <c r="L254" s="87"/>
      <c r="M254" s="87"/>
      <c r="N254" s="87"/>
      <c r="O254" s="87"/>
      <c r="P254" s="87"/>
      <c r="Q254" s="87"/>
      <c r="R254" s="87"/>
      <c r="S254" s="184"/>
    </row>
    <row r="255" customFormat="false" ht="12.75" hidden="false" customHeight="false" outlineLevel="0" collapsed="false">
      <c r="B255" s="0"/>
      <c r="C255" s="225"/>
      <c r="G255" s="224"/>
      <c r="H255" s="87"/>
      <c r="I255" s="226"/>
      <c r="J255" s="227"/>
      <c r="K255" s="223"/>
      <c r="L255" s="87"/>
      <c r="M255" s="87"/>
      <c r="N255" s="87"/>
      <c r="O255" s="87"/>
      <c r="P255" s="87"/>
      <c r="Q255" s="87"/>
      <c r="R255" s="87"/>
      <c r="S255" s="184"/>
    </row>
    <row r="256" customFormat="false" ht="12.75" hidden="false" customHeight="false" outlineLevel="0" collapsed="false">
      <c r="B256" s="48"/>
      <c r="C256" s="229"/>
      <c r="G256" s="224"/>
      <c r="H256" s="87"/>
      <c r="I256" s="81" t="s">
        <v>334</v>
      </c>
      <c r="J256" s="228" t="n">
        <v>0</v>
      </c>
      <c r="K256" s="87"/>
      <c r="L256" s="87"/>
      <c r="M256" s="87"/>
      <c r="N256" s="87"/>
      <c r="O256" s="87"/>
      <c r="P256" s="87"/>
      <c r="Q256" s="87"/>
      <c r="R256" s="87"/>
      <c r="S256" s="184"/>
    </row>
    <row r="257" customFormat="false" ht="12.75" hidden="false" customHeight="false" outlineLevel="0" collapsed="false">
      <c r="B257" s="0"/>
      <c r="C257" s="225"/>
      <c r="G257" s="224"/>
      <c r="H257" s="87"/>
      <c r="I257" s="87" t="s">
        <v>335</v>
      </c>
      <c r="J257" s="214" t="n">
        <v>0</v>
      </c>
      <c r="K257" s="87"/>
      <c r="L257" s="87"/>
      <c r="M257" s="87"/>
      <c r="N257" s="87"/>
      <c r="O257" s="87"/>
      <c r="P257" s="87"/>
      <c r="Q257" s="87"/>
      <c r="R257" s="87"/>
      <c r="S257" s="184"/>
    </row>
    <row r="258" customFormat="false" ht="12.75" hidden="false" customHeight="false" outlineLevel="0" collapsed="false">
      <c r="B258" s="0"/>
      <c r="C258" s="225"/>
      <c r="G258" s="224"/>
      <c r="H258" s="87"/>
      <c r="I258" s="87" t="s">
        <v>336</v>
      </c>
      <c r="J258" s="214" t="n">
        <v>0</v>
      </c>
      <c r="K258" s="87"/>
      <c r="L258" s="87"/>
      <c r="M258" s="87"/>
      <c r="N258" s="87"/>
      <c r="O258" s="87"/>
      <c r="P258" s="87"/>
      <c r="Q258" s="87"/>
      <c r="R258" s="87"/>
      <c r="S258" s="184"/>
    </row>
    <row r="259" customFormat="false" ht="12.75" hidden="false" customHeight="false" outlineLevel="0" collapsed="false">
      <c r="B259" s="0"/>
      <c r="C259" s="225"/>
      <c r="G259" s="224"/>
      <c r="H259" s="87" t="s">
        <v>341</v>
      </c>
      <c r="I259" s="87" t="s">
        <v>337</v>
      </c>
      <c r="J259" s="214" t="n">
        <v>0</v>
      </c>
      <c r="K259" s="87"/>
      <c r="L259" s="87"/>
      <c r="M259" s="87"/>
      <c r="N259" s="87"/>
      <c r="O259" s="87"/>
      <c r="P259" s="87"/>
      <c r="Q259" s="87"/>
      <c r="R259" s="87"/>
      <c r="S259" s="184"/>
    </row>
    <row r="260" customFormat="false" ht="12.75" hidden="false" customHeight="false" outlineLevel="0" collapsed="false">
      <c r="B260" s="0"/>
      <c r="C260" s="225"/>
      <c r="G260" s="224"/>
      <c r="H260" s="87"/>
      <c r="I260" s="87" t="s">
        <v>338</v>
      </c>
      <c r="J260" s="214" t="n">
        <v>0</v>
      </c>
      <c r="K260" s="87"/>
      <c r="L260" s="87"/>
      <c r="M260" s="87"/>
      <c r="N260" s="87"/>
      <c r="O260" s="87"/>
      <c r="P260" s="87"/>
      <c r="Q260" s="87" t="s">
        <v>343</v>
      </c>
      <c r="R260" s="87"/>
      <c r="S260" s="184"/>
    </row>
    <row r="261" customFormat="false" ht="12.75" hidden="false" customHeight="false" outlineLevel="0" collapsed="false">
      <c r="B261" s="0"/>
      <c r="C261" s="225"/>
      <c r="G261" s="224"/>
      <c r="H261" s="87"/>
      <c r="I261" s="87" t="s">
        <v>339</v>
      </c>
      <c r="J261" s="214" t="n">
        <v>0</v>
      </c>
      <c r="K261" s="87"/>
      <c r="L261" s="87"/>
      <c r="M261" s="87"/>
      <c r="N261" s="87"/>
      <c r="O261" s="87"/>
      <c r="P261" s="214" t="n">
        <v>-31732</v>
      </c>
      <c r="Q261" s="87"/>
      <c r="R261" s="87"/>
      <c r="S261" s="184"/>
    </row>
    <row r="262" customFormat="false" ht="12.75" hidden="false" customHeight="false" outlineLevel="0" collapsed="false">
      <c r="B262" s="0"/>
      <c r="C262" s="225"/>
      <c r="G262" s="224"/>
      <c r="H262" s="87"/>
      <c r="I262" s="87" t="s">
        <v>340</v>
      </c>
      <c r="J262" s="230" t="n">
        <v>0</v>
      </c>
      <c r="K262" s="87"/>
      <c r="L262" s="87"/>
      <c r="M262" s="87"/>
      <c r="N262" s="87"/>
      <c r="O262" s="87"/>
      <c r="P262" s="214"/>
      <c r="Q262" s="87"/>
      <c r="R262" s="87"/>
      <c r="S262" s="184"/>
    </row>
    <row r="263" customFormat="false" ht="12.75" hidden="false" customHeight="false" outlineLevel="0" collapsed="false">
      <c r="B263" s="0"/>
      <c r="C263" s="225"/>
      <c r="G263" s="224"/>
      <c r="H263" s="87"/>
      <c r="I263" s="87"/>
      <c r="J263" s="214" t="n">
        <f aca="false">SUM(J256:J262)</f>
        <v>0</v>
      </c>
      <c r="K263" s="87"/>
      <c r="L263" s="87"/>
      <c r="M263" s="87"/>
      <c r="N263" s="87"/>
      <c r="O263" s="87"/>
      <c r="P263" s="214"/>
      <c r="Q263" s="87" t="s">
        <v>44</v>
      </c>
      <c r="R263" s="87"/>
      <c r="S263" s="184"/>
    </row>
    <row r="264" customFormat="false" ht="12.75" hidden="false" customHeight="false" outlineLevel="0" collapsed="false">
      <c r="B264" s="0"/>
      <c r="C264" s="225"/>
      <c r="G264" s="224"/>
      <c r="H264" s="87"/>
      <c r="I264" s="87"/>
      <c r="J264" s="214"/>
      <c r="K264" s="87"/>
      <c r="L264" s="87"/>
      <c r="M264" s="87"/>
      <c r="N264" s="87" t="s">
        <v>348</v>
      </c>
      <c r="O264" s="87"/>
      <c r="P264" s="214" t="n">
        <f aca="false">K286</f>
        <v>-4368</v>
      </c>
      <c r="Q264" s="87" t="s">
        <v>349</v>
      </c>
      <c r="R264" s="87"/>
      <c r="S264" s="184"/>
    </row>
    <row r="265" customFormat="false" ht="12.75" hidden="false" customHeight="false" outlineLevel="0" collapsed="false">
      <c r="B265" s="0"/>
      <c r="C265" s="225"/>
      <c r="G265" s="224"/>
      <c r="H265" s="87"/>
      <c r="I265" s="87" t="s">
        <v>342</v>
      </c>
      <c r="J265" s="214" t="n">
        <v>0</v>
      </c>
      <c r="K265" s="87"/>
      <c r="L265" s="87"/>
      <c r="M265" s="87"/>
      <c r="N265" s="87"/>
      <c r="O265" s="87"/>
      <c r="P265" s="230" t="n">
        <v>-2500</v>
      </c>
      <c r="Q265" s="87"/>
      <c r="R265" s="87"/>
      <c r="S265" s="184"/>
    </row>
    <row r="266" customFormat="false" ht="12.75" hidden="false" customHeight="false" outlineLevel="0" collapsed="false">
      <c r="B266" s="0"/>
      <c r="C266" s="225"/>
      <c r="G266" s="224"/>
      <c r="H266" s="87"/>
      <c r="I266" s="87" t="s">
        <v>344</v>
      </c>
      <c r="J266" s="214" t="n">
        <v>0</v>
      </c>
      <c r="K266" s="87"/>
      <c r="L266" s="87"/>
      <c r="M266" s="214" t="n">
        <v>525707</v>
      </c>
      <c r="N266" s="87" t="s">
        <v>352</v>
      </c>
      <c r="O266" s="87"/>
      <c r="P266" s="87"/>
      <c r="Q266" s="87" t="s">
        <v>353</v>
      </c>
      <c r="R266" s="87"/>
      <c r="S266" s="184"/>
    </row>
    <row r="267" customFormat="false" ht="12.75" hidden="false" customHeight="false" outlineLevel="0" collapsed="false">
      <c r="B267" s="0"/>
      <c r="C267" s="0"/>
      <c r="G267" s="224"/>
      <c r="H267" s="87"/>
      <c r="I267" s="87" t="s">
        <v>345</v>
      </c>
      <c r="J267" s="214" t="n">
        <v>0</v>
      </c>
      <c r="K267" s="87"/>
      <c r="L267" s="87"/>
      <c r="M267" s="214"/>
      <c r="N267" s="87"/>
      <c r="O267" s="214"/>
      <c r="P267" s="214" t="n">
        <f aca="false">SUM(P261:P265)</f>
        <v>-38600</v>
      </c>
      <c r="Q267" s="87"/>
      <c r="R267" s="87"/>
      <c r="S267" s="184"/>
    </row>
    <row r="268" customFormat="false" ht="12.75" hidden="false" customHeight="false" outlineLevel="0" collapsed="false">
      <c r="B268" s="0"/>
      <c r="C268" s="0"/>
      <c r="G268" s="224"/>
      <c r="H268" s="87"/>
      <c r="I268" s="87" t="s">
        <v>346</v>
      </c>
      <c r="J268" s="214" t="n">
        <v>0</v>
      </c>
      <c r="K268" s="87"/>
      <c r="L268" s="87"/>
      <c r="M268" s="214"/>
      <c r="N268" s="87"/>
      <c r="O268" s="87"/>
      <c r="P268" s="87"/>
      <c r="Q268" s="87"/>
      <c r="R268" s="87"/>
      <c r="S268" s="231" t="n">
        <f aca="false">22000+P269</f>
        <v>15133</v>
      </c>
    </row>
    <row r="269" customFormat="false" ht="12.75" hidden="false" customHeight="false" outlineLevel="0" collapsed="false">
      <c r="B269" s="0"/>
      <c r="C269" s="0"/>
      <c r="G269" s="224"/>
      <c r="H269" s="87"/>
      <c r="I269" s="87" t="s">
        <v>347</v>
      </c>
      <c r="J269" s="214" t="n">
        <v>0</v>
      </c>
      <c r="K269" s="87"/>
      <c r="L269" s="87"/>
      <c r="M269" s="214" t="n">
        <v>493974</v>
      </c>
      <c r="N269" s="87"/>
      <c r="O269" s="87"/>
      <c r="P269" s="232" t="n">
        <f aca="false">P267+M271</f>
        <v>-6867</v>
      </c>
      <c r="Q269" s="87"/>
      <c r="R269" s="87"/>
      <c r="S269" s="184"/>
    </row>
    <row r="270" customFormat="false" ht="12.75" hidden="false" customHeight="false" outlineLevel="0" collapsed="false">
      <c r="B270" s="0"/>
      <c r="C270" s="0"/>
      <c r="G270" s="224"/>
      <c r="H270" s="87"/>
      <c r="I270" s="87" t="s">
        <v>350</v>
      </c>
      <c r="J270" s="214" t="n">
        <v>0</v>
      </c>
      <c r="K270" s="87"/>
      <c r="L270" s="87"/>
      <c r="M270" s="214"/>
      <c r="N270" s="87"/>
      <c r="O270" s="87"/>
      <c r="P270" s="87"/>
      <c r="Q270" s="87"/>
      <c r="R270" s="87"/>
      <c r="S270" s="184"/>
    </row>
    <row r="271" customFormat="false" ht="12.75" hidden="false" customHeight="false" outlineLevel="0" collapsed="false">
      <c r="B271" s="0"/>
      <c r="C271" s="0"/>
      <c r="G271" s="224"/>
      <c r="H271" s="87"/>
      <c r="I271" s="87" t="s">
        <v>351</v>
      </c>
      <c r="J271" s="214" t="n">
        <v>0</v>
      </c>
      <c r="K271" s="87"/>
      <c r="L271" s="87"/>
      <c r="M271" s="214" t="n">
        <f aca="false">M266-M269</f>
        <v>31733</v>
      </c>
      <c r="N271" s="87"/>
      <c r="O271" s="87"/>
      <c r="P271" s="87"/>
      <c r="Q271" s="87"/>
      <c r="R271" s="87"/>
      <c r="S271" s="184"/>
    </row>
    <row r="272" customFormat="false" ht="12.75" hidden="false" customHeight="false" outlineLevel="0" collapsed="false">
      <c r="B272" s="48"/>
      <c r="C272" s="48"/>
      <c r="G272" s="224"/>
      <c r="H272" s="87" t="s">
        <v>355</v>
      </c>
      <c r="I272" s="87" t="s">
        <v>354</v>
      </c>
      <c r="J272" s="214" t="n">
        <v>0</v>
      </c>
      <c r="K272" s="87"/>
      <c r="L272" s="87"/>
      <c r="M272" s="87"/>
      <c r="N272" s="87"/>
      <c r="O272" s="87"/>
      <c r="P272" s="87"/>
      <c r="Q272" s="87"/>
      <c r="R272" s="87"/>
      <c r="S272" s="184"/>
    </row>
    <row r="273" customFormat="false" ht="12.75" hidden="false" customHeight="false" outlineLevel="0" collapsed="false">
      <c r="B273" s="0"/>
      <c r="C273" s="0"/>
      <c r="G273" s="224"/>
      <c r="H273" s="87"/>
      <c r="I273" s="87" t="s">
        <v>234</v>
      </c>
      <c r="J273" s="230" t="n">
        <v>0</v>
      </c>
      <c r="K273" s="87"/>
      <c r="L273" s="87"/>
      <c r="M273" s="87"/>
      <c r="N273" s="87"/>
      <c r="O273" s="87"/>
      <c r="P273" s="87"/>
      <c r="Q273" s="87"/>
      <c r="R273" s="87"/>
      <c r="S273" s="184"/>
    </row>
    <row r="274" customFormat="false" ht="12.75" hidden="false" customHeight="false" outlineLevel="0" collapsed="false">
      <c r="B274" s="0"/>
      <c r="C274" s="0"/>
      <c r="G274" s="224"/>
      <c r="H274" s="87"/>
      <c r="I274" s="87"/>
      <c r="J274" s="214" t="n">
        <f aca="false">SUM(J263:J273)</f>
        <v>0</v>
      </c>
      <c r="K274" s="87"/>
      <c r="L274" s="87"/>
      <c r="M274" s="232" t="n">
        <f aca="false">M271+K286</f>
        <v>27365</v>
      </c>
      <c r="N274" s="87"/>
      <c r="O274" s="87"/>
      <c r="P274" s="87"/>
      <c r="Q274" s="87"/>
      <c r="R274" s="87"/>
      <c r="S274" s="184"/>
    </row>
    <row r="275" customFormat="false" ht="12.75" hidden="false" customHeight="false" outlineLevel="0" collapsed="false">
      <c r="B275" s="0"/>
      <c r="C275" s="0"/>
      <c r="G275" s="224"/>
      <c r="H275" s="236" t="s">
        <v>358</v>
      </c>
      <c r="I275" s="87"/>
      <c r="J275" s="214"/>
      <c r="K275" s="87"/>
      <c r="L275" s="87"/>
      <c r="M275" s="232"/>
      <c r="N275" s="87"/>
      <c r="O275" s="87"/>
      <c r="P275" s="87"/>
      <c r="Q275" s="87"/>
      <c r="R275" s="87"/>
      <c r="S275" s="184"/>
    </row>
    <row r="276" customFormat="false" ht="12.75" hidden="false" customHeight="false" outlineLevel="0" collapsed="false">
      <c r="B276" s="0"/>
      <c r="C276" s="0"/>
      <c r="G276" s="238"/>
      <c r="H276" s="239"/>
      <c r="I276" s="87"/>
      <c r="J276" s="214"/>
      <c r="K276" s="87"/>
      <c r="L276" s="87"/>
      <c r="M276" s="232"/>
      <c r="N276" s="87"/>
      <c r="O276" s="87"/>
      <c r="P276" s="87"/>
      <c r="Q276" s="239"/>
      <c r="R276" s="239"/>
      <c r="S276" s="174"/>
    </row>
    <row r="277" customFormat="false" ht="12.75" hidden="false" customHeight="false" outlineLevel="0" collapsed="false">
      <c r="B277" s="0"/>
      <c r="C277" s="0"/>
      <c r="I277" s="87" t="s">
        <v>356</v>
      </c>
      <c r="J277" s="233" t="n">
        <v>-862</v>
      </c>
      <c r="K277" s="87"/>
      <c r="L277" s="87"/>
      <c r="M277" s="87"/>
      <c r="N277" s="239"/>
      <c r="O277" s="239"/>
      <c r="P277" s="239"/>
    </row>
    <row r="278" customFormat="false" ht="12.75" hidden="false" customHeight="false" outlineLevel="0" collapsed="false">
      <c r="B278" s="48"/>
      <c r="C278" s="48"/>
      <c r="I278" s="234" t="s">
        <v>356</v>
      </c>
      <c r="J278" s="235" t="n">
        <v>-1</v>
      </c>
      <c r="K278" s="87"/>
      <c r="L278" s="87"/>
      <c r="M278" s="87"/>
    </row>
    <row r="279" customFormat="false" ht="12.75" hidden="false" customHeight="false" outlineLevel="0" collapsed="false">
      <c r="B279" s="0"/>
      <c r="C279" s="0"/>
      <c r="I279" s="234" t="s">
        <v>357</v>
      </c>
      <c r="J279" s="235" t="n">
        <v>-1</v>
      </c>
      <c r="K279" s="87"/>
      <c r="L279" s="87"/>
      <c r="M279" s="87"/>
    </row>
    <row r="280" customFormat="false" ht="12.75" hidden="false" customHeight="false" outlineLevel="0" collapsed="false">
      <c r="B280" s="79"/>
      <c r="C280" s="79"/>
      <c r="I280" s="160" t="s">
        <v>359</v>
      </c>
      <c r="J280" s="237" t="n">
        <v>-1500</v>
      </c>
      <c r="K280" s="87"/>
      <c r="L280" s="87"/>
      <c r="M280" s="87"/>
    </row>
    <row r="281" customFormat="false" ht="12.75" hidden="false" customHeight="false" outlineLevel="0" collapsed="false">
      <c r="B281" s="0"/>
      <c r="C281" s="0"/>
      <c r="I281" s="234" t="s">
        <v>360</v>
      </c>
      <c r="J281" s="235" t="n">
        <v>-1</v>
      </c>
      <c r="K281" s="87"/>
      <c r="L281" s="87"/>
      <c r="M281" s="87"/>
    </row>
    <row r="282" customFormat="false" ht="12.75" hidden="false" customHeight="false" outlineLevel="0" collapsed="false">
      <c r="B282" s="0"/>
      <c r="C282" s="0"/>
      <c r="I282" s="234" t="s">
        <v>361</v>
      </c>
      <c r="J282" s="235" t="n">
        <v>-1</v>
      </c>
      <c r="K282" s="87"/>
      <c r="L282" s="87"/>
      <c r="M282" s="239"/>
    </row>
    <row r="283" customFormat="false" ht="12.75" hidden="false" customHeight="false" outlineLevel="0" collapsed="false">
      <c r="B283" s="0"/>
      <c r="C283" s="0"/>
      <c r="I283" s="160" t="s">
        <v>362</v>
      </c>
      <c r="J283" s="237" t="n">
        <v>-1000</v>
      </c>
      <c r="K283" s="87"/>
      <c r="L283" s="87"/>
    </row>
    <row r="284" customFormat="false" ht="12.75" hidden="false" customHeight="false" outlineLevel="0" collapsed="false">
      <c r="B284" s="0"/>
      <c r="C284" s="0"/>
      <c r="I284" s="234" t="s">
        <v>363</v>
      </c>
      <c r="J284" s="235" t="n">
        <v>-1</v>
      </c>
      <c r="K284" s="87"/>
      <c r="L284" s="87"/>
    </row>
    <row r="285" customFormat="false" ht="12.75" hidden="false" customHeight="false" outlineLevel="0" collapsed="false">
      <c r="B285" s="0"/>
      <c r="C285" s="0"/>
      <c r="I285" s="160" t="s">
        <v>364</v>
      </c>
      <c r="J285" s="237" t="n">
        <v>-1000</v>
      </c>
      <c r="K285" s="87"/>
      <c r="L285" s="87"/>
    </row>
    <row r="286" customFormat="false" ht="12.75" hidden="false" customHeight="false" outlineLevel="0" collapsed="false">
      <c r="B286" s="0"/>
      <c r="C286" s="0"/>
      <c r="I286" s="234" t="s">
        <v>365</v>
      </c>
      <c r="J286" s="235" t="n">
        <v>-1</v>
      </c>
      <c r="K286" s="232" t="n">
        <f aca="false">SUM(J277:J286)</f>
        <v>-4368</v>
      </c>
      <c r="L286" s="87"/>
    </row>
    <row r="287" customFormat="false" ht="12.75" hidden="false" customHeight="false" outlineLevel="0" collapsed="false">
      <c r="B287" s="0"/>
      <c r="C287" s="0"/>
      <c r="I287" s="87" t="s">
        <v>366</v>
      </c>
      <c r="J287" s="230" t="n">
        <f aca="false">-M271-K286</f>
        <v>-27365</v>
      </c>
      <c r="K287" s="232"/>
      <c r="L287" s="87"/>
    </row>
    <row r="288" customFormat="false" ht="12.75" hidden="false" customHeight="false" outlineLevel="0" collapsed="false">
      <c r="B288" s="0"/>
      <c r="C288" s="0"/>
      <c r="I288" s="87"/>
      <c r="J288" s="214" t="n">
        <f aca="false">SUM(J274:J287)</f>
        <v>-31733</v>
      </c>
      <c r="K288" s="87"/>
      <c r="L288" s="87"/>
    </row>
    <row r="289" customFormat="false" ht="12.75" hidden="false" customHeight="false" outlineLevel="0" collapsed="false">
      <c r="B289" s="0"/>
      <c r="C289" s="0"/>
      <c r="I289" s="87"/>
      <c r="J289" s="214"/>
      <c r="K289" s="87"/>
      <c r="L289" s="239"/>
    </row>
    <row r="290" customFormat="false" ht="12.75" hidden="false" customHeight="false" outlineLevel="0" collapsed="false">
      <c r="B290" s="0"/>
      <c r="C290" s="0"/>
      <c r="I290" s="87" t="s">
        <v>367</v>
      </c>
      <c r="J290" s="214" t="n">
        <v>3915</v>
      </c>
      <c r="K290" s="87"/>
    </row>
    <row r="291" customFormat="false" ht="12.75" hidden="false" customHeight="false" outlineLevel="0" collapsed="false">
      <c r="B291" s="0"/>
      <c r="C291" s="0"/>
      <c r="I291" s="87"/>
      <c r="J291" s="214"/>
      <c r="K291" s="87"/>
    </row>
    <row r="292" customFormat="false" ht="13.5" hidden="false" customHeight="false" outlineLevel="0" collapsed="false">
      <c r="B292" s="0"/>
      <c r="C292" s="0"/>
      <c r="I292" s="87"/>
      <c r="J292" s="240" t="n">
        <f aca="false">SUM(J288:J291)</f>
        <v>-27818</v>
      </c>
      <c r="K292" s="87"/>
    </row>
    <row r="293" customFormat="false" ht="13.5" hidden="false" customHeight="false" outlineLevel="0" collapsed="false">
      <c r="B293" s="0"/>
      <c r="C293" s="0"/>
      <c r="I293" s="239"/>
      <c r="J293" s="230"/>
      <c r="K293" s="239"/>
    </row>
    <row r="294" customFormat="false" ht="12.75" hidden="false" customHeight="false" outlineLevel="0" collapsed="false">
      <c r="B294" s="0"/>
      <c r="C294" s="0"/>
      <c r="J294" s="214"/>
    </row>
    <row r="295" customFormat="false" ht="12.75" hidden="false" customHeight="false" outlineLevel="0" collapsed="false">
      <c r="B295" s="0"/>
      <c r="C295" s="0"/>
      <c r="J295" s="214"/>
    </row>
    <row r="296" customFormat="false" ht="12.75" hidden="false" customHeight="false" outlineLevel="0" collapsed="false">
      <c r="B296" s="0"/>
      <c r="C296" s="0"/>
      <c r="J296" s="214" t="n">
        <f aca="false">551878-11621</f>
        <v>540257</v>
      </c>
    </row>
    <row r="297" customFormat="false" ht="12.75" hidden="false" customHeight="false" outlineLevel="0" collapsed="false">
      <c r="B297" s="0"/>
      <c r="C297" s="0"/>
      <c r="J297" s="214"/>
    </row>
    <row r="298" customFormat="false" ht="12.75" hidden="false" customHeight="false" outlineLevel="0" collapsed="false">
      <c r="B298" s="241"/>
      <c r="C298" s="241"/>
      <c r="J298" s="214"/>
    </row>
    <row r="299" customFormat="false" ht="12.75" hidden="false" customHeight="false" outlineLevel="0" collapsed="false">
      <c r="B299" s="241"/>
      <c r="C299" s="241"/>
      <c r="J299" s="214"/>
    </row>
    <row r="300" customFormat="false" ht="12.75" hidden="false" customHeight="false" outlineLevel="0" collapsed="false">
      <c r="B300" s="0"/>
      <c r="C300" s="0"/>
      <c r="J300" s="214"/>
    </row>
    <row r="301" customFormat="false" ht="12.75" hidden="false" customHeight="false" outlineLevel="0" collapsed="false">
      <c r="B301" s="0"/>
      <c r="C301" s="0"/>
      <c r="J301" s="214"/>
    </row>
    <row r="302" customFormat="false" ht="12" hidden="false" customHeight="false" outlineLevel="0" collapsed="false">
      <c r="J302" s="214"/>
    </row>
    <row r="303" customFormat="false" ht="12" hidden="false" customHeight="false" outlineLevel="0" collapsed="false">
      <c r="J303" s="214"/>
    </row>
    <row r="304" customFormat="false" ht="12" hidden="false" customHeight="false" outlineLevel="0" collapsed="false">
      <c r="J304" s="214"/>
    </row>
    <row r="305" customFormat="false" ht="12" hidden="false" customHeight="false" outlineLevel="0" collapsed="false">
      <c r="J305" s="214"/>
    </row>
    <row r="306" customFormat="false" ht="12" hidden="false" customHeight="false" outlineLevel="0" collapsed="false">
      <c r="J306" s="214"/>
    </row>
    <row r="307" customFormat="false" ht="12" hidden="false" customHeight="false" outlineLevel="0" collapsed="false">
      <c r="J307" s="214"/>
    </row>
    <row r="308" customFormat="false" ht="12" hidden="false" customHeight="false" outlineLevel="0" collapsed="false">
      <c r="J308" s="214"/>
    </row>
    <row r="309" customFormat="false" ht="12" hidden="false" customHeight="false" outlineLevel="0" collapsed="false">
      <c r="J309" s="214"/>
    </row>
    <row r="310" customFormat="false" ht="12" hidden="false" customHeight="false" outlineLevel="0" collapsed="false">
      <c r="J310" s="214"/>
    </row>
    <row r="311" customFormat="false" ht="12" hidden="false" customHeight="false" outlineLevel="0" collapsed="false">
      <c r="J311" s="214"/>
    </row>
    <row r="312" customFormat="false" ht="12" hidden="false" customHeight="false" outlineLevel="0" collapsed="false">
      <c r="J312" s="214"/>
    </row>
    <row r="313" customFormat="false" ht="12" hidden="false" customHeight="false" outlineLevel="0" collapsed="false">
      <c r="J313" s="214"/>
    </row>
    <row r="314" customFormat="false" ht="12" hidden="false" customHeight="false" outlineLevel="0" collapsed="false">
      <c r="J314" s="214"/>
    </row>
    <row r="315" customFormat="false" ht="12" hidden="false" customHeight="false" outlineLevel="0" collapsed="false">
      <c r="J315" s="214"/>
    </row>
    <row r="316" customFormat="false" ht="12" hidden="false" customHeight="false" outlineLevel="0" collapsed="false">
      <c r="J316" s="214"/>
    </row>
    <row r="317" customFormat="false" ht="12" hidden="false" customHeight="false" outlineLevel="0" collapsed="false">
      <c r="J317" s="214"/>
    </row>
    <row r="318" customFormat="false" ht="12" hidden="false" customHeight="false" outlineLevel="0" collapsed="false">
      <c r="J318" s="214"/>
    </row>
    <row r="319" customFormat="false" ht="12" hidden="false" customHeight="false" outlineLevel="0" collapsed="false">
      <c r="J319" s="214"/>
    </row>
    <row r="320" customFormat="false" ht="12" hidden="false" customHeight="false" outlineLevel="0" collapsed="false">
      <c r="J320" s="214"/>
    </row>
    <row r="321" customFormat="false" ht="12" hidden="false" customHeight="false" outlineLevel="0" collapsed="false">
      <c r="J321" s="214"/>
    </row>
    <row r="322" customFormat="false" ht="12" hidden="false" customHeight="false" outlineLevel="0" collapsed="false">
      <c r="J322" s="214"/>
    </row>
    <row r="323" customFormat="false" ht="12" hidden="false" customHeight="false" outlineLevel="0" collapsed="false">
      <c r="J323" s="214"/>
    </row>
    <row r="324" customFormat="false" ht="12" hidden="false" customHeight="false" outlineLevel="0" collapsed="false">
      <c r="J324" s="214"/>
    </row>
    <row r="325" customFormat="false" ht="12" hidden="false" customHeight="false" outlineLevel="0" collapsed="false">
      <c r="J325" s="214"/>
    </row>
    <row r="326" customFormat="false" ht="12" hidden="false" customHeight="false" outlineLevel="0" collapsed="false">
      <c r="J326" s="214"/>
    </row>
    <row r="327" customFormat="false" ht="12" hidden="false" customHeight="false" outlineLevel="0" collapsed="false">
      <c r="J327" s="214"/>
    </row>
    <row r="328" customFormat="false" ht="12" hidden="false" customHeight="false" outlineLevel="0" collapsed="false">
      <c r="J328" s="214"/>
    </row>
    <row r="329" customFormat="false" ht="12" hidden="false" customHeight="false" outlineLevel="0" collapsed="false">
      <c r="J329" s="214"/>
    </row>
    <row r="330" customFormat="false" ht="12" hidden="false" customHeight="false" outlineLevel="0" collapsed="false">
      <c r="J330" s="214"/>
    </row>
    <row r="331" customFormat="false" ht="12" hidden="false" customHeight="false" outlineLevel="0" collapsed="false">
      <c r="J331" s="214"/>
    </row>
    <row r="332" customFormat="false" ht="12" hidden="false" customHeight="false" outlineLevel="0" collapsed="false">
      <c r="J332" s="214"/>
    </row>
    <row r="333" customFormat="false" ht="12" hidden="false" customHeight="false" outlineLevel="0" collapsed="false">
      <c r="J333" s="214"/>
    </row>
    <row r="334" customFormat="false" ht="12" hidden="false" customHeight="false" outlineLevel="0" collapsed="false">
      <c r="J334" s="214"/>
    </row>
    <row r="335" customFormat="false" ht="12" hidden="false" customHeight="false" outlineLevel="0" collapsed="false">
      <c r="J335" s="214"/>
    </row>
    <row r="336" customFormat="false" ht="12" hidden="false" customHeight="false" outlineLevel="0" collapsed="false">
      <c r="J336" s="214"/>
    </row>
    <row r="337" customFormat="false" ht="12" hidden="false" customHeight="false" outlineLevel="0" collapsed="false">
      <c r="J337" s="214"/>
    </row>
    <row r="338" customFormat="false" ht="12" hidden="false" customHeight="false" outlineLevel="0" collapsed="false">
      <c r="J338" s="214"/>
    </row>
    <row r="339" customFormat="false" ht="12" hidden="false" customHeight="false" outlineLevel="0" collapsed="false">
      <c r="J339" s="214"/>
    </row>
    <row r="340" customFormat="false" ht="12" hidden="false" customHeight="false" outlineLevel="0" collapsed="false">
      <c r="J340" s="214"/>
    </row>
    <row r="341" customFormat="false" ht="12" hidden="false" customHeight="false" outlineLevel="0" collapsed="false">
      <c r="J341" s="214"/>
    </row>
    <row r="342" customFormat="false" ht="12" hidden="false" customHeight="false" outlineLevel="0" collapsed="false">
      <c r="J342" s="214"/>
    </row>
    <row r="343" customFormat="false" ht="12" hidden="false" customHeight="false" outlineLevel="0" collapsed="false">
      <c r="J343" s="214"/>
    </row>
    <row r="344" customFormat="false" ht="12" hidden="false" customHeight="false" outlineLevel="0" collapsed="false">
      <c r="J344" s="214"/>
    </row>
    <row r="345" customFormat="false" ht="12" hidden="false" customHeight="false" outlineLevel="0" collapsed="false">
      <c r="J345" s="214"/>
    </row>
    <row r="346" customFormat="false" ht="12" hidden="false" customHeight="false" outlineLevel="0" collapsed="false">
      <c r="J346" s="214"/>
    </row>
    <row r="347" customFormat="false" ht="12" hidden="false" customHeight="false" outlineLevel="0" collapsed="false">
      <c r="J347" s="214"/>
    </row>
    <row r="348" customFormat="false" ht="12" hidden="false" customHeight="false" outlineLevel="0" collapsed="false">
      <c r="J348" s="214"/>
    </row>
    <row r="349" customFormat="false" ht="12" hidden="false" customHeight="false" outlineLevel="0" collapsed="false">
      <c r="J349" s="214"/>
    </row>
    <row r="350" customFormat="false" ht="12" hidden="false" customHeight="false" outlineLevel="0" collapsed="false">
      <c r="J350" s="214"/>
    </row>
    <row r="351" customFormat="false" ht="12" hidden="false" customHeight="false" outlineLevel="0" collapsed="false">
      <c r="J351" s="214"/>
    </row>
    <row r="352" customFormat="false" ht="12" hidden="false" customHeight="false" outlineLevel="0" collapsed="false">
      <c r="J352" s="214"/>
    </row>
    <row r="353" customFormat="false" ht="12" hidden="false" customHeight="false" outlineLevel="0" collapsed="false">
      <c r="J353" s="214"/>
    </row>
    <row r="354" customFormat="false" ht="12" hidden="false" customHeight="false" outlineLevel="0" collapsed="false">
      <c r="J354" s="214"/>
    </row>
    <row r="355" customFormat="false" ht="12" hidden="false" customHeight="false" outlineLevel="0" collapsed="false">
      <c r="J355" s="214"/>
    </row>
    <row r="356" customFormat="false" ht="12" hidden="false" customHeight="false" outlineLevel="0" collapsed="false">
      <c r="J356" s="214"/>
    </row>
    <row r="357" customFormat="false" ht="12" hidden="false" customHeight="false" outlineLevel="0" collapsed="false">
      <c r="J357" s="214"/>
    </row>
    <row r="358" customFormat="false" ht="12" hidden="false" customHeight="false" outlineLevel="0" collapsed="false">
      <c r="J358" s="214"/>
    </row>
    <row r="359" customFormat="false" ht="12" hidden="false" customHeight="false" outlineLevel="0" collapsed="false">
      <c r="J359" s="214"/>
    </row>
    <row r="360" customFormat="false" ht="12" hidden="false" customHeight="false" outlineLevel="0" collapsed="false">
      <c r="J360" s="214"/>
    </row>
    <row r="361" customFormat="false" ht="12" hidden="false" customHeight="false" outlineLevel="0" collapsed="false">
      <c r="J361" s="214"/>
    </row>
    <row r="362" customFormat="false" ht="12" hidden="false" customHeight="false" outlineLevel="0" collapsed="false">
      <c r="J362" s="214"/>
    </row>
    <row r="363" customFormat="false" ht="12" hidden="false" customHeight="false" outlineLevel="0" collapsed="false">
      <c r="J363" s="214"/>
    </row>
    <row r="364" customFormat="false" ht="12" hidden="false" customHeight="false" outlineLevel="0" collapsed="false">
      <c r="J364" s="214"/>
    </row>
    <row r="365" customFormat="false" ht="12" hidden="false" customHeight="false" outlineLevel="0" collapsed="false">
      <c r="J365" s="214"/>
    </row>
    <row r="366" customFormat="false" ht="12" hidden="false" customHeight="false" outlineLevel="0" collapsed="false">
      <c r="J366" s="214"/>
    </row>
    <row r="367" customFormat="false" ht="12" hidden="false" customHeight="false" outlineLevel="0" collapsed="false">
      <c r="J367" s="214"/>
    </row>
    <row r="368" customFormat="false" ht="12" hidden="false" customHeight="false" outlineLevel="0" collapsed="false">
      <c r="J368" s="214"/>
    </row>
    <row r="369" customFormat="false" ht="12" hidden="false" customHeight="false" outlineLevel="0" collapsed="false">
      <c r="J369" s="214"/>
    </row>
    <row r="370" customFormat="false" ht="12" hidden="false" customHeight="false" outlineLevel="0" collapsed="false">
      <c r="J370" s="214"/>
    </row>
    <row r="371" customFormat="false" ht="12" hidden="false" customHeight="false" outlineLevel="0" collapsed="false">
      <c r="J371" s="214"/>
    </row>
    <row r="372" customFormat="false" ht="12" hidden="false" customHeight="false" outlineLevel="0" collapsed="false">
      <c r="J372" s="214"/>
    </row>
    <row r="373" customFormat="false" ht="12" hidden="false" customHeight="false" outlineLevel="0" collapsed="false">
      <c r="J373" s="214"/>
    </row>
    <row r="374" customFormat="false" ht="12" hidden="false" customHeight="false" outlineLevel="0" collapsed="false">
      <c r="J374" s="214"/>
    </row>
    <row r="375" customFormat="false" ht="12" hidden="false" customHeight="false" outlineLevel="0" collapsed="false">
      <c r="J375" s="214"/>
    </row>
    <row r="376" customFormat="false" ht="12" hidden="false" customHeight="false" outlineLevel="0" collapsed="false">
      <c r="J376" s="214"/>
    </row>
    <row r="377" customFormat="false" ht="12" hidden="false" customHeight="false" outlineLevel="0" collapsed="false">
      <c r="J377" s="214"/>
    </row>
    <row r="378" customFormat="false" ht="12" hidden="false" customHeight="false" outlineLevel="0" collapsed="false">
      <c r="J378" s="214"/>
    </row>
    <row r="379" customFormat="false" ht="12" hidden="false" customHeight="false" outlineLevel="0" collapsed="false">
      <c r="J379" s="214"/>
    </row>
    <row r="380" customFormat="false" ht="12" hidden="false" customHeight="false" outlineLevel="0" collapsed="false">
      <c r="J380" s="214"/>
    </row>
    <row r="381" customFormat="false" ht="12" hidden="false" customHeight="false" outlineLevel="0" collapsed="false">
      <c r="J381" s="214"/>
    </row>
    <row r="382" customFormat="false" ht="12" hidden="false" customHeight="false" outlineLevel="0" collapsed="false">
      <c r="J382" s="214"/>
    </row>
    <row r="383" customFormat="false" ht="12" hidden="false" customHeight="false" outlineLevel="0" collapsed="false">
      <c r="J383" s="214"/>
    </row>
    <row r="384" customFormat="false" ht="12" hidden="false" customHeight="false" outlineLevel="0" collapsed="false">
      <c r="J384" s="214"/>
    </row>
    <row r="385" customFormat="false" ht="12" hidden="false" customHeight="false" outlineLevel="0" collapsed="false">
      <c r="J385" s="214"/>
    </row>
    <row r="386" customFormat="false" ht="12" hidden="false" customHeight="false" outlineLevel="0" collapsed="false">
      <c r="J386" s="214"/>
    </row>
    <row r="387" customFormat="false" ht="12" hidden="false" customHeight="false" outlineLevel="0" collapsed="false">
      <c r="J387" s="214"/>
    </row>
    <row r="388" customFormat="false" ht="12" hidden="false" customHeight="false" outlineLevel="0" collapsed="false">
      <c r="J388" s="214"/>
    </row>
    <row r="389" customFormat="false" ht="12" hidden="false" customHeight="false" outlineLevel="0" collapsed="false">
      <c r="J389" s="214"/>
    </row>
    <row r="390" customFormat="false" ht="12" hidden="false" customHeight="false" outlineLevel="0" collapsed="false">
      <c r="J390" s="214"/>
    </row>
    <row r="391" customFormat="false" ht="12" hidden="false" customHeight="false" outlineLevel="0" collapsed="false">
      <c r="J391" s="214"/>
    </row>
    <row r="392" customFormat="false" ht="12" hidden="false" customHeight="false" outlineLevel="0" collapsed="false">
      <c r="J392" s="214"/>
    </row>
    <row r="393" customFormat="false" ht="12" hidden="false" customHeight="false" outlineLevel="0" collapsed="false">
      <c r="J393" s="214"/>
    </row>
    <row r="394" customFormat="false" ht="12" hidden="false" customHeight="false" outlineLevel="0" collapsed="false">
      <c r="J394" s="214"/>
    </row>
    <row r="395" customFormat="false" ht="12" hidden="false" customHeight="false" outlineLevel="0" collapsed="false">
      <c r="J395" s="214"/>
    </row>
    <row r="396" customFormat="false" ht="12" hidden="false" customHeight="false" outlineLevel="0" collapsed="false">
      <c r="J396" s="214"/>
    </row>
  </sheetData>
  <mergeCells count="18">
    <mergeCell ref="A1:H1"/>
    <mergeCell ref="K6:L6"/>
    <mergeCell ref="A31:D31"/>
    <mergeCell ref="E31:H31"/>
    <mergeCell ref="I31:J31"/>
    <mergeCell ref="E32:F32"/>
    <mergeCell ref="G32:H32"/>
    <mergeCell ref="I36:J36"/>
    <mergeCell ref="A37:D37"/>
    <mergeCell ref="I43:J43"/>
    <mergeCell ref="A46:D46"/>
    <mergeCell ref="G46:L46"/>
    <mergeCell ref="A47:B47"/>
    <mergeCell ref="C47:D47"/>
    <mergeCell ref="E47:F47"/>
    <mergeCell ref="I47:J47"/>
    <mergeCell ref="K47:L47"/>
    <mergeCell ref="A130:C130"/>
  </mergeCells>
  <printOptions headings="false" gridLines="false" gridLinesSet="true" horizontalCentered="true" verticalCentered="true"/>
  <pageMargins left="0.25" right="0.25" top="0.75" bottom="0.25" header="0.511811023622047" footer="0.2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&amp;L&amp;8Tx Desk Logistics - Daren Farmer&amp;R&amp;8&amp;D
&amp;T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369"/>
  <sheetViews>
    <sheetView showFormulas="false" showGridLines="false" showRowColHeaders="true" showZeros="true" rightToLeft="false" tabSelected="false" showOutlineSymbols="true" defaultGridColor="true" view="normal" topLeftCell="A42" colorId="64" zoomScale="80" zoomScaleNormal="80" zoomScalePageLayoutView="100" workbookViewId="0">
      <selection pane="topLeft" activeCell="D16" activeCellId="0" sqref="D16"/>
    </sheetView>
  </sheetViews>
  <sheetFormatPr defaultColWidth="9.13671875" defaultRowHeight="12" customHeight="true" zeroHeight="false" outlineLevelRow="0" outlineLevelCol="0"/>
  <cols>
    <col collapsed="false" customWidth="true" hidden="false" outlineLevel="0" max="2" min="1" style="1" width="12.14"/>
    <col collapsed="false" customWidth="true" hidden="false" outlineLevel="0" max="3" min="3" style="1" width="11.28"/>
    <col collapsed="false" customWidth="true" hidden="false" outlineLevel="0" max="4" min="4" style="1" width="11.85"/>
    <col collapsed="false" customWidth="true" hidden="false" outlineLevel="0" max="5" min="5" style="1" width="11.56"/>
    <col collapsed="false" customWidth="true" hidden="false" outlineLevel="0" max="6" min="6" style="1" width="11.7"/>
    <col collapsed="false" customWidth="true" hidden="false" outlineLevel="0" max="7" min="7" style="1" width="11.85"/>
    <col collapsed="false" customWidth="true" hidden="false" outlineLevel="0" max="8" min="8" style="1" width="11.7"/>
    <col collapsed="false" customWidth="true" hidden="false" outlineLevel="0" max="9" min="9" style="1" width="11.85"/>
    <col collapsed="false" customWidth="true" hidden="false" outlineLevel="0" max="10" min="10" style="1" width="8.7"/>
    <col collapsed="false" customWidth="true" hidden="false" outlineLevel="0" max="11" min="11" style="1" width="11.85"/>
    <col collapsed="false" customWidth="false" hidden="false" outlineLevel="0" max="12" min="12" style="1" width="9.14"/>
    <col collapsed="false" customWidth="true" hidden="false" outlineLevel="0" max="13" min="13" style="1" width="8.56"/>
    <col collapsed="false" customWidth="false" hidden="false" outlineLevel="0" max="14" min="14" style="1" width="9.14"/>
    <col collapsed="false" customWidth="true" hidden="false" outlineLevel="0" max="15" min="15" style="1" width="5.56"/>
    <col collapsed="false" customWidth="false" hidden="false" outlineLevel="0" max="257" min="16" style="1" width="9.14"/>
  </cols>
  <sheetData>
    <row r="1" customFormat="false" ht="16.5" hidden="false" customHeight="fals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  <c r="IP1" s="3"/>
      <c r="IQ1" s="3"/>
      <c r="IR1" s="3"/>
      <c r="IS1" s="3"/>
      <c r="IT1" s="3"/>
      <c r="IU1" s="3"/>
      <c r="IV1" s="3"/>
      <c r="IW1" s="3"/>
    </row>
    <row r="2" customFormat="false" ht="12.75" hidden="false" customHeight="false" outlineLevel="0" collapsed="false">
      <c r="A2" s="4"/>
      <c r="B2" s="5"/>
      <c r="C2" s="5"/>
      <c r="D2" s="6"/>
      <c r="E2" s="6"/>
      <c r="F2" s="6"/>
      <c r="G2" s="5"/>
      <c r="H2" s="7"/>
    </row>
    <row r="3" customFormat="false" ht="13.5" hidden="false" customHeight="false" outlineLevel="0" collapsed="false">
      <c r="A3" s="8"/>
      <c r="B3" s="9"/>
      <c r="C3" s="10"/>
      <c r="D3" s="6"/>
      <c r="E3" s="10"/>
      <c r="F3" s="10"/>
      <c r="G3" s="10"/>
      <c r="H3" s="7"/>
    </row>
    <row r="4" customFormat="false" ht="12.75" hidden="false" customHeight="false" outlineLevel="0" collapsed="false">
      <c r="A4" s="11"/>
      <c r="B4" s="5"/>
      <c r="C4" s="5"/>
      <c r="D4" s="12" t="s">
        <v>419</v>
      </c>
      <c r="E4" s="242"/>
      <c r="F4" s="242"/>
      <c r="G4" s="243"/>
      <c r="H4" s="244"/>
      <c r="L4" s="0"/>
    </row>
    <row r="5" customFormat="false" ht="13.5" hidden="false" customHeight="false" outlineLevel="0" collapsed="false">
      <c r="A5" s="16"/>
      <c r="B5" s="6"/>
      <c r="C5" s="6"/>
      <c r="D5" s="17" t="s">
        <v>2</v>
      </c>
      <c r="E5" s="245" t="s">
        <v>369</v>
      </c>
      <c r="F5" s="245" t="str">
        <f aca="false">D4</f>
        <v>Mar</v>
      </c>
      <c r="G5" s="246" t="str">
        <f aca="false">+F5</f>
        <v>Mar</v>
      </c>
      <c r="H5" s="247" t="str">
        <f aca="false">+F5</f>
        <v>Mar</v>
      </c>
      <c r="L5" s="0"/>
    </row>
    <row r="6" customFormat="false" ht="13.5" hidden="false" customHeight="false" outlineLevel="0" collapsed="false">
      <c r="A6" s="16"/>
      <c r="B6" s="6"/>
      <c r="C6" s="6"/>
      <c r="D6" s="21" t="s">
        <v>4</v>
      </c>
      <c r="E6" s="248" t="s">
        <v>2</v>
      </c>
      <c r="F6" s="248" t="n">
        <v>99</v>
      </c>
      <c r="G6" s="249" t="s">
        <v>5</v>
      </c>
      <c r="H6" s="250" t="s">
        <v>6</v>
      </c>
      <c r="I6" s="25"/>
      <c r="K6" s="26" t="s">
        <v>7</v>
      </c>
      <c r="L6" s="26"/>
    </row>
    <row r="7" customFormat="false" ht="12.75" hidden="false" customHeight="false" outlineLevel="0" collapsed="false">
      <c r="A7" s="27" t="s">
        <v>8</v>
      </c>
      <c r="B7" s="6"/>
      <c r="D7" s="28" t="n">
        <f aca="false">C186+C206</f>
        <v>468.544</v>
      </c>
      <c r="E7" s="310" t="n">
        <f aca="false">736.504-E11-E12</f>
        <v>514.486</v>
      </c>
      <c r="F7" s="251" t="n">
        <v>541.2</v>
      </c>
      <c r="G7" s="252" t="n">
        <f aca="false">D7*1.1</f>
        <v>515.3984</v>
      </c>
      <c r="H7" s="253" t="n">
        <f aca="false">D7*0.9</f>
        <v>421.6896</v>
      </c>
      <c r="I7" s="32"/>
      <c r="K7" s="33" t="s">
        <v>9</v>
      </c>
      <c r="L7" s="34" t="n">
        <f aca="false">C113</f>
        <v>16.5</v>
      </c>
      <c r="N7" s="0"/>
      <c r="O7" s="0"/>
    </row>
    <row r="8" customFormat="false" ht="12.75" hidden="false" customHeight="false" outlineLevel="0" collapsed="false">
      <c r="A8" s="27" t="s">
        <v>375</v>
      </c>
      <c r="B8" s="6"/>
      <c r="C8" s="35"/>
      <c r="D8" s="37" t="n">
        <f aca="false">70+70</f>
        <v>140</v>
      </c>
      <c r="E8" s="310" t="n">
        <f aca="false">71.396+94.42</f>
        <v>165.816</v>
      </c>
      <c r="F8" s="254" t="n">
        <f aca="false">39.366+43.281</f>
        <v>82.647</v>
      </c>
      <c r="G8" s="255" t="n">
        <f aca="false">73+105</f>
        <v>178</v>
      </c>
      <c r="H8" s="253" t="n">
        <f aca="false">65.7+60</f>
        <v>125.7</v>
      </c>
      <c r="I8" s="25"/>
      <c r="K8" s="39" t="s">
        <v>11</v>
      </c>
      <c r="L8" s="40" t="n">
        <f aca="false">C114+C190</f>
        <v>0</v>
      </c>
      <c r="N8" s="0"/>
      <c r="O8" s="0"/>
    </row>
    <row r="9" customFormat="false" ht="12.75" hidden="false" customHeight="false" outlineLevel="0" collapsed="false">
      <c r="A9" s="27" t="s">
        <v>12</v>
      </c>
      <c r="B9" s="6"/>
      <c r="C9" s="6"/>
      <c r="D9" s="37" t="n">
        <v>20</v>
      </c>
      <c r="E9" s="310" t="n">
        <v>36.81</v>
      </c>
      <c r="F9" s="254" t="n">
        <v>20.407</v>
      </c>
      <c r="G9" s="255" t="n">
        <v>60</v>
      </c>
      <c r="H9" s="253" t="n">
        <v>20</v>
      </c>
      <c r="I9" s="25"/>
      <c r="K9" s="39" t="s">
        <v>13</v>
      </c>
      <c r="L9" s="41" t="n">
        <f aca="false">C120+C192</f>
        <v>20</v>
      </c>
      <c r="N9" s="0"/>
      <c r="O9" s="0"/>
    </row>
    <row r="10" customFormat="false" ht="12.75" hidden="false" customHeight="false" outlineLevel="0" collapsed="false">
      <c r="A10" s="27" t="s">
        <v>14</v>
      </c>
      <c r="B10" s="6"/>
      <c r="C10" s="6"/>
      <c r="D10" s="37" t="n">
        <v>34.118</v>
      </c>
      <c r="E10" s="310" t="n">
        <v>33.025</v>
      </c>
      <c r="F10" s="254" t="n">
        <v>77</v>
      </c>
      <c r="G10" s="255" t="n">
        <v>0</v>
      </c>
      <c r="H10" s="253" t="n">
        <v>0</v>
      </c>
      <c r="I10" s="42"/>
      <c r="K10" s="39" t="s">
        <v>15</v>
      </c>
      <c r="L10" s="40" t="n">
        <f aca="false">C122+C193</f>
        <v>0</v>
      </c>
      <c r="N10" s="0"/>
      <c r="O10" s="0"/>
    </row>
    <row r="11" customFormat="false" ht="12.75" hidden="false" customHeight="false" outlineLevel="0" collapsed="false">
      <c r="A11" s="27" t="s">
        <v>16</v>
      </c>
      <c r="B11" s="6"/>
      <c r="C11" s="6"/>
      <c r="D11" s="37" t="n">
        <f aca="false">110+15+0.4</f>
        <v>125.4</v>
      </c>
      <c r="E11" s="310" t="n">
        <v>126.13</v>
      </c>
      <c r="F11" s="254" t="n">
        <v>114.28</v>
      </c>
      <c r="G11" s="255" t="n">
        <v>145</v>
      </c>
      <c r="H11" s="253" t="n">
        <v>90</v>
      </c>
      <c r="I11" s="25"/>
      <c r="K11" s="39" t="s">
        <v>17</v>
      </c>
      <c r="L11" s="40" t="n">
        <f aca="false">C129+C194</f>
        <v>0</v>
      </c>
      <c r="N11" s="0"/>
      <c r="O11" s="0"/>
    </row>
    <row r="12" customFormat="false" ht="12.75" hidden="false" customHeight="false" outlineLevel="0" collapsed="false">
      <c r="A12" s="27" t="s">
        <v>18</v>
      </c>
      <c r="B12" s="6"/>
      <c r="C12" s="6"/>
      <c r="D12" s="37" t="n">
        <v>95</v>
      </c>
      <c r="E12" s="310" t="n">
        <v>95.888</v>
      </c>
      <c r="F12" s="254" t="n">
        <v>106.53</v>
      </c>
      <c r="G12" s="255" t="n">
        <f aca="false">90*1.05</f>
        <v>94.5</v>
      </c>
      <c r="H12" s="253" t="n">
        <f aca="false">90*0.95</f>
        <v>85.5</v>
      </c>
      <c r="I12" s="25"/>
      <c r="K12" s="39" t="s">
        <v>19</v>
      </c>
      <c r="L12" s="40" t="n">
        <f aca="false">C139+C197</f>
        <v>65</v>
      </c>
      <c r="N12" s="0"/>
      <c r="O12" s="0"/>
    </row>
    <row r="13" customFormat="false" ht="12.75" hidden="false" customHeight="false" outlineLevel="0" collapsed="false">
      <c r="A13" s="27" t="s">
        <v>20</v>
      </c>
      <c r="B13" s="6"/>
      <c r="C13" s="6"/>
      <c r="D13" s="37" t="n">
        <v>55</v>
      </c>
      <c r="E13" s="310" t="n">
        <v>55</v>
      </c>
      <c r="F13" s="254" t="n">
        <v>53.493</v>
      </c>
      <c r="G13" s="255" t="n">
        <v>180</v>
      </c>
      <c r="H13" s="253" t="n">
        <v>0</v>
      </c>
      <c r="I13" s="25"/>
      <c r="J13" s="0"/>
      <c r="K13" s="39" t="s">
        <v>21</v>
      </c>
      <c r="L13" s="40" t="n">
        <f aca="false">C138+C196</f>
        <v>33</v>
      </c>
      <c r="N13" s="0"/>
      <c r="O13" s="0"/>
    </row>
    <row r="14" customFormat="false" ht="12.75" hidden="false" customHeight="false" outlineLevel="0" collapsed="false">
      <c r="A14" s="27" t="s">
        <v>22</v>
      </c>
      <c r="B14" s="6"/>
      <c r="C14" s="6"/>
      <c r="D14" s="37" t="n">
        <f aca="false">B67</f>
        <v>11.058</v>
      </c>
      <c r="E14" s="310" t="n">
        <v>10.558</v>
      </c>
      <c r="F14" s="254" t="n">
        <v>6.7</v>
      </c>
      <c r="G14" s="255" t="n">
        <f aca="false">D14*1.05</f>
        <v>11.6109</v>
      </c>
      <c r="H14" s="253" t="n">
        <f aca="false">D14*0.95</f>
        <v>10.5051</v>
      </c>
      <c r="I14" s="25"/>
      <c r="K14" s="39" t="s">
        <v>23</v>
      </c>
      <c r="L14" s="40" t="n">
        <f aca="false">C142+C198</f>
        <v>30</v>
      </c>
      <c r="N14" s="0"/>
      <c r="O14" s="0"/>
    </row>
    <row r="15" customFormat="false" ht="12.75" hidden="false" customHeight="false" outlineLevel="0" collapsed="false">
      <c r="A15" s="27" t="s">
        <v>370</v>
      </c>
      <c r="B15" s="6"/>
      <c r="C15" s="6"/>
      <c r="D15" s="37" t="n">
        <f aca="false">SUM(D16:D18)</f>
        <v>228</v>
      </c>
      <c r="E15" s="310" t="n">
        <f aca="false">SUM(E16:E18)</f>
        <v>201</v>
      </c>
      <c r="F15" s="254" t="n">
        <f aca="false">SUM(F16:F18)</f>
        <v>141</v>
      </c>
      <c r="G15" s="255" t="n">
        <v>1174</v>
      </c>
      <c r="H15" s="253" t="n">
        <v>0</v>
      </c>
      <c r="I15" s="25"/>
      <c r="K15" s="39" t="s">
        <v>25</v>
      </c>
      <c r="L15" s="40" t="n">
        <f aca="false">C154+C200</f>
        <v>20</v>
      </c>
      <c r="N15" s="0"/>
      <c r="O15" s="0"/>
    </row>
    <row r="16" customFormat="false" ht="12.75" hidden="false" customHeight="false" outlineLevel="0" collapsed="false">
      <c r="A16" s="27" t="s">
        <v>371</v>
      </c>
      <c r="B16" s="43"/>
      <c r="C16" s="6"/>
      <c r="D16" s="44" t="n">
        <v>160</v>
      </c>
      <c r="E16" s="310" t="n">
        <f aca="false">127+5</f>
        <v>132</v>
      </c>
      <c r="F16" s="254" t="n">
        <v>75</v>
      </c>
      <c r="G16" s="255"/>
      <c r="H16" s="253"/>
      <c r="I16" s="25"/>
      <c r="K16" s="39" t="s">
        <v>27</v>
      </c>
      <c r="L16" s="40" t="n">
        <f aca="false">C110</f>
        <v>0</v>
      </c>
      <c r="N16" s="0"/>
      <c r="O16" s="0"/>
      <c r="P16" s="0"/>
    </row>
    <row r="17" customFormat="false" ht="12.75" hidden="false" customHeight="false" outlineLevel="0" collapsed="false">
      <c r="A17" s="27" t="s">
        <v>372</v>
      </c>
      <c r="B17" s="43"/>
      <c r="C17" s="6"/>
      <c r="D17" s="44" t="n">
        <v>10</v>
      </c>
      <c r="E17" s="310" t="n">
        <v>10</v>
      </c>
      <c r="F17" s="254" t="n">
        <v>8</v>
      </c>
      <c r="G17" s="255"/>
      <c r="H17" s="253"/>
      <c r="I17" s="25"/>
      <c r="K17" s="39" t="s">
        <v>29</v>
      </c>
      <c r="L17" s="40" t="n">
        <f aca="false">C172+C202</f>
        <v>40</v>
      </c>
      <c r="N17" s="0"/>
      <c r="O17" s="0"/>
      <c r="P17" s="0"/>
    </row>
    <row r="18" customFormat="false" ht="12.75" hidden="false" customHeight="false" outlineLevel="0" collapsed="false">
      <c r="A18" s="27" t="s">
        <v>373</v>
      </c>
      <c r="B18" s="43"/>
      <c r="C18" s="6"/>
      <c r="D18" s="44" t="n">
        <v>58</v>
      </c>
      <c r="E18" s="310" t="n">
        <v>59</v>
      </c>
      <c r="F18" s="254" t="n">
        <v>58</v>
      </c>
      <c r="G18" s="255"/>
      <c r="H18" s="253"/>
      <c r="I18" s="25"/>
      <c r="K18" s="39" t="s">
        <v>31</v>
      </c>
      <c r="L18" s="40" t="n">
        <f aca="false">C173</f>
        <v>19</v>
      </c>
      <c r="N18" s="0"/>
      <c r="O18" s="0"/>
      <c r="P18" s="0"/>
    </row>
    <row r="19" customFormat="false" ht="13.5" hidden="false" customHeight="false" outlineLevel="0" collapsed="false">
      <c r="A19" s="27" t="s">
        <v>26</v>
      </c>
      <c r="B19" s="35"/>
      <c r="C19" s="35"/>
      <c r="D19" s="37" t="n">
        <f aca="false">F68-B67</f>
        <v>115</v>
      </c>
      <c r="E19" s="310" t="n">
        <f aca="false">Jan!D16</f>
        <v>257.21</v>
      </c>
      <c r="F19" s="254" t="n">
        <v>0</v>
      </c>
      <c r="G19" s="255" t="n">
        <v>0</v>
      </c>
      <c r="H19" s="253" t="n">
        <v>0</v>
      </c>
      <c r="I19" s="45"/>
      <c r="K19" s="55" t="s">
        <v>33</v>
      </c>
      <c r="L19" s="56" t="n">
        <f aca="false">C177+C205</f>
        <v>65</v>
      </c>
      <c r="N19" s="0"/>
      <c r="O19" s="0"/>
    </row>
    <row r="20" customFormat="false" ht="12.75" hidden="false" customHeight="false" outlineLevel="0" collapsed="false">
      <c r="A20" s="27" t="s">
        <v>28</v>
      </c>
      <c r="B20" s="6"/>
      <c r="C20" s="6"/>
      <c r="D20" s="46" t="n">
        <f aca="false">SUM(D7:D19)-D15</f>
        <v>1292.12</v>
      </c>
      <c r="E20" s="257" t="n">
        <f aca="false">SUM(E7:E19)-E15</f>
        <v>1495.923</v>
      </c>
      <c r="F20" s="257" t="n">
        <f aca="false">SUM(F7:F19)-F15</f>
        <v>1143.257</v>
      </c>
      <c r="G20" s="257" t="n">
        <f aca="false">SUM(G7:G19)</f>
        <v>2358.5093</v>
      </c>
      <c r="H20" s="258" t="n">
        <f aca="false">SUM(H7:H19)</f>
        <v>753.3947</v>
      </c>
      <c r="I20" s="32"/>
      <c r="L20" s="0"/>
      <c r="N20" s="0"/>
      <c r="O20" s="48"/>
    </row>
    <row r="21" customFormat="false" ht="12.75" hidden="false" customHeight="false" outlineLevel="0" collapsed="false">
      <c r="A21" s="27" t="s">
        <v>30</v>
      </c>
      <c r="B21" s="6"/>
      <c r="C21" s="6"/>
      <c r="D21" s="49" t="n">
        <f aca="false">D32</f>
        <v>0</v>
      </c>
      <c r="E21" s="311" t="n">
        <v>-64.5161290322581</v>
      </c>
      <c r="F21" s="259" t="n">
        <v>0</v>
      </c>
      <c r="G21" s="260" t="n">
        <v>0</v>
      </c>
      <c r="H21" s="261" t="n">
        <v>0</v>
      </c>
      <c r="I21" s="25"/>
      <c r="L21" s="0"/>
      <c r="N21" s="48"/>
      <c r="O21" s="0"/>
    </row>
    <row r="22" customFormat="false" ht="12.75" hidden="false" customHeight="false" outlineLevel="0" collapsed="false">
      <c r="A22" s="27" t="s">
        <v>32</v>
      </c>
      <c r="B22" s="6"/>
      <c r="C22" s="6"/>
      <c r="D22" s="37" t="n">
        <v>2.5</v>
      </c>
      <c r="E22" s="254" t="n">
        <v>2.5</v>
      </c>
      <c r="F22" s="254" t="n">
        <v>2.5</v>
      </c>
      <c r="G22" s="262" t="n">
        <v>0</v>
      </c>
      <c r="H22" s="261" t="n">
        <v>0</v>
      </c>
      <c r="I22" s="25"/>
      <c r="L22" s="0"/>
      <c r="N22" s="0"/>
    </row>
    <row r="23" customFormat="false" ht="12.75" hidden="false" customHeight="false" outlineLevel="0" collapsed="false">
      <c r="A23" s="16"/>
      <c r="B23" s="6"/>
      <c r="C23" s="57" t="s">
        <v>34</v>
      </c>
      <c r="D23" s="46" t="n">
        <f aca="false">D22+D21+D20</f>
        <v>1294.62</v>
      </c>
      <c r="E23" s="257" t="n">
        <f aca="false">E22+E21+E20</f>
        <v>1433.90687096774</v>
      </c>
      <c r="F23" s="257" t="n">
        <f aca="false">F22+F21+F20</f>
        <v>1145.757</v>
      </c>
      <c r="G23" s="257" t="n">
        <f aca="false">G22+G21+G20</f>
        <v>2358.5093</v>
      </c>
      <c r="H23" s="263" t="n">
        <f aca="false">H22+H21+H20</f>
        <v>753.3947</v>
      </c>
      <c r="I23" s="25"/>
      <c r="L23" s="0"/>
    </row>
    <row r="24" customFormat="false" ht="12.75" hidden="false" customHeight="false" outlineLevel="0" collapsed="false">
      <c r="A24" s="27" t="s">
        <v>35</v>
      </c>
      <c r="B24" s="6"/>
      <c r="C24" s="6"/>
      <c r="D24" s="49" t="n">
        <f aca="false">D44</f>
        <v>1035.776</v>
      </c>
      <c r="E24" s="312" t="n">
        <f aca="false">Jan!D21</f>
        <v>1168.826</v>
      </c>
      <c r="F24" s="312" t="n">
        <v>1660</v>
      </c>
      <c r="G24" s="313" t="n">
        <f aca="false">D24</f>
        <v>1035.776</v>
      </c>
      <c r="H24" s="314" t="n">
        <f aca="false">D24</f>
        <v>1035.776</v>
      </c>
      <c r="I24" s="25"/>
      <c r="L24" s="0"/>
    </row>
    <row r="25" customFormat="false" ht="12.75" hidden="false" customHeight="false" outlineLevel="0" collapsed="false">
      <c r="A25" s="282" t="s">
        <v>37</v>
      </c>
      <c r="B25" s="6"/>
      <c r="C25" s="6"/>
      <c r="D25" s="49" t="n">
        <v>44.4</v>
      </c>
      <c r="E25" s="254" t="n">
        <v>54</v>
      </c>
      <c r="F25" s="254"/>
      <c r="G25" s="259"/>
      <c r="H25" s="261"/>
      <c r="I25" s="25"/>
      <c r="L25" s="0"/>
    </row>
    <row r="26" customFormat="false" ht="13.5" hidden="false" customHeight="false" outlineLevel="0" collapsed="false">
      <c r="A26" s="62"/>
      <c r="B26" s="63"/>
      <c r="C26" s="64" t="s">
        <v>36</v>
      </c>
      <c r="D26" s="65" t="n">
        <f aca="false">D24+D25-D23</f>
        <v>-214.444</v>
      </c>
      <c r="E26" s="267" t="n">
        <f aca="false">E24-E23+E25</f>
        <v>-211.080870967742</v>
      </c>
      <c r="F26" s="267" t="n">
        <f aca="false">F24-F23</f>
        <v>514.243</v>
      </c>
      <c r="G26" s="267" t="n">
        <f aca="false">+G23-G24</f>
        <v>1322.7333</v>
      </c>
      <c r="H26" s="267" t="n">
        <f aca="false">+(H23-H24)</f>
        <v>-282.3813</v>
      </c>
      <c r="I26" s="32"/>
      <c r="L26" s="0"/>
    </row>
    <row r="27" customFormat="false" ht="4.5" hidden="false" customHeight="true" outlineLevel="0" collapsed="false">
      <c r="A27" s="66"/>
      <c r="B27" s="6"/>
      <c r="C27" s="67"/>
      <c r="D27" s="68"/>
      <c r="E27" s="69"/>
      <c r="F27" s="69"/>
      <c r="G27" s="70"/>
      <c r="H27" s="70"/>
      <c r="I27" s="32"/>
      <c r="K27" s="78"/>
      <c r="L27" s="79"/>
    </row>
    <row r="28" customFormat="false" ht="12.75" hidden="false" customHeight="false" outlineLevel="0" collapsed="false">
      <c r="A28" s="16"/>
      <c r="C28" s="73" t="s">
        <v>38</v>
      </c>
      <c r="D28" s="72" t="n">
        <v>0</v>
      </c>
      <c r="E28" s="69"/>
      <c r="F28" s="69"/>
      <c r="G28" s="69"/>
      <c r="H28" s="69"/>
      <c r="I28" s="32"/>
      <c r="L28" s="0"/>
    </row>
    <row r="29" customFormat="false" ht="13.5" hidden="false" customHeight="true" outlineLevel="0" collapsed="false">
      <c r="A29" s="74"/>
      <c r="B29" s="75"/>
      <c r="C29" s="76" t="s">
        <v>39</v>
      </c>
      <c r="D29" s="77" t="n">
        <f aca="false">D26+D28</f>
        <v>-214.444</v>
      </c>
      <c r="E29" s="69"/>
      <c r="F29" s="69"/>
      <c r="G29" s="69"/>
      <c r="H29" s="69"/>
      <c r="I29" s="32"/>
      <c r="J29" s="78"/>
      <c r="L29" s="0"/>
      <c r="M29" s="78"/>
      <c r="N29" s="78"/>
      <c r="O29" s="78"/>
      <c r="P29" s="78"/>
      <c r="Q29" s="78"/>
      <c r="R29" s="78"/>
      <c r="S29" s="78"/>
      <c r="T29" s="78"/>
      <c r="U29" s="78"/>
      <c r="V29" s="78"/>
      <c r="W29" s="78"/>
      <c r="X29" s="78"/>
      <c r="Y29" s="78"/>
      <c r="Z29" s="78"/>
      <c r="AA29" s="78"/>
      <c r="AB29" s="78"/>
      <c r="AC29" s="78"/>
      <c r="AD29" s="78"/>
      <c r="AE29" s="78"/>
      <c r="AF29" s="78"/>
      <c r="AG29" s="78"/>
      <c r="AH29" s="78"/>
      <c r="AI29" s="78"/>
      <c r="AJ29" s="78"/>
      <c r="AK29" s="80"/>
      <c r="AL29" s="80"/>
      <c r="AM29" s="80"/>
      <c r="AN29" s="80"/>
      <c r="AO29" s="80"/>
      <c r="AP29" s="80"/>
      <c r="AQ29" s="80"/>
      <c r="AR29" s="80"/>
      <c r="AS29" s="80"/>
      <c r="AT29" s="80"/>
      <c r="AU29" s="80"/>
      <c r="AV29" s="80"/>
      <c r="AW29" s="80"/>
      <c r="AX29" s="80"/>
      <c r="AY29" s="80"/>
      <c r="AZ29" s="80"/>
      <c r="BA29" s="80"/>
      <c r="BB29" s="80"/>
      <c r="BC29" s="80"/>
      <c r="BD29" s="80"/>
      <c r="BE29" s="80"/>
      <c r="BF29" s="80"/>
      <c r="BG29" s="80"/>
      <c r="BH29" s="80"/>
      <c r="BI29" s="80"/>
      <c r="BJ29" s="80"/>
      <c r="BK29" s="80"/>
      <c r="BL29" s="80"/>
      <c r="BM29" s="80"/>
      <c r="BN29" s="80"/>
      <c r="BO29" s="80"/>
      <c r="BP29" s="80"/>
      <c r="BQ29" s="80"/>
      <c r="BR29" s="80"/>
      <c r="BS29" s="80"/>
      <c r="BT29" s="80"/>
      <c r="BU29" s="80"/>
      <c r="BV29" s="80"/>
      <c r="BW29" s="80"/>
      <c r="BX29" s="80"/>
      <c r="BY29" s="80"/>
      <c r="BZ29" s="80"/>
      <c r="CA29" s="80"/>
      <c r="CB29" s="80"/>
      <c r="CC29" s="80"/>
      <c r="CD29" s="80"/>
      <c r="CE29" s="80"/>
      <c r="CF29" s="80"/>
      <c r="CG29" s="80"/>
      <c r="CH29" s="80"/>
      <c r="CI29" s="80"/>
      <c r="CJ29" s="80"/>
      <c r="CK29" s="80"/>
      <c r="CL29" s="80"/>
      <c r="CM29" s="80"/>
      <c r="CN29" s="80"/>
      <c r="CO29" s="80"/>
      <c r="CP29" s="80"/>
      <c r="CQ29" s="80"/>
      <c r="CR29" s="80"/>
      <c r="CS29" s="80"/>
      <c r="CT29" s="80"/>
      <c r="CU29" s="80"/>
      <c r="CV29" s="80"/>
      <c r="CW29" s="80"/>
      <c r="CX29" s="80"/>
      <c r="CY29" s="80"/>
      <c r="CZ29" s="80"/>
      <c r="DA29" s="80"/>
      <c r="DB29" s="80"/>
      <c r="DC29" s="80"/>
      <c r="DD29" s="80"/>
      <c r="DE29" s="80"/>
      <c r="DF29" s="80"/>
      <c r="DG29" s="80"/>
      <c r="DH29" s="80"/>
      <c r="DI29" s="80"/>
      <c r="DJ29" s="80"/>
      <c r="DK29" s="80"/>
      <c r="DL29" s="80"/>
      <c r="DM29" s="80"/>
      <c r="DN29" s="80"/>
      <c r="DO29" s="80"/>
      <c r="DP29" s="80"/>
      <c r="DQ29" s="80"/>
      <c r="DR29" s="80"/>
      <c r="DS29" s="80"/>
      <c r="DT29" s="80"/>
      <c r="DU29" s="80"/>
      <c r="DV29" s="80"/>
      <c r="DW29" s="80"/>
      <c r="DX29" s="80"/>
      <c r="DY29" s="80"/>
      <c r="DZ29" s="80"/>
      <c r="EA29" s="80"/>
      <c r="EB29" s="80"/>
      <c r="EC29" s="80"/>
      <c r="ED29" s="80"/>
      <c r="EE29" s="80"/>
      <c r="EF29" s="80"/>
      <c r="EG29" s="80"/>
      <c r="EH29" s="80"/>
      <c r="EI29" s="80"/>
      <c r="EJ29" s="80"/>
      <c r="EK29" s="80"/>
      <c r="EL29" s="80"/>
      <c r="EM29" s="80"/>
      <c r="EN29" s="80"/>
      <c r="EO29" s="80"/>
      <c r="EP29" s="80"/>
      <c r="EQ29" s="80"/>
      <c r="ER29" s="80"/>
      <c r="ES29" s="80"/>
      <c r="ET29" s="80"/>
      <c r="EU29" s="80"/>
      <c r="EV29" s="80"/>
      <c r="EW29" s="80"/>
      <c r="EX29" s="80"/>
      <c r="EY29" s="80"/>
      <c r="EZ29" s="80"/>
      <c r="FA29" s="80"/>
      <c r="FB29" s="80"/>
      <c r="FC29" s="80"/>
      <c r="FD29" s="80"/>
      <c r="FE29" s="80"/>
      <c r="FF29" s="80"/>
      <c r="FG29" s="80"/>
      <c r="FH29" s="80"/>
      <c r="FI29" s="80"/>
      <c r="FJ29" s="80"/>
      <c r="FK29" s="80"/>
      <c r="FL29" s="80"/>
      <c r="FM29" s="80"/>
      <c r="FN29" s="80"/>
      <c r="FO29" s="80"/>
      <c r="FP29" s="80"/>
      <c r="FQ29" s="80"/>
      <c r="FR29" s="80"/>
      <c r="FS29" s="80"/>
      <c r="FT29" s="80"/>
      <c r="FU29" s="80"/>
      <c r="FV29" s="80"/>
      <c r="FW29" s="80"/>
      <c r="FX29" s="80"/>
      <c r="FY29" s="80"/>
      <c r="FZ29" s="80"/>
      <c r="GA29" s="80"/>
      <c r="GB29" s="80"/>
      <c r="GC29" s="80"/>
      <c r="GD29" s="80"/>
      <c r="GE29" s="80"/>
      <c r="GF29" s="80"/>
      <c r="GG29" s="80"/>
      <c r="GH29" s="80"/>
      <c r="GI29" s="80"/>
      <c r="GJ29" s="80"/>
      <c r="GK29" s="80"/>
      <c r="GL29" s="80"/>
      <c r="GM29" s="80"/>
      <c r="GN29" s="80"/>
      <c r="GO29" s="80"/>
      <c r="GP29" s="80"/>
      <c r="GQ29" s="80"/>
      <c r="GR29" s="80"/>
      <c r="GS29" s="80"/>
      <c r="GT29" s="80"/>
      <c r="GU29" s="80"/>
      <c r="GV29" s="80"/>
      <c r="GW29" s="80"/>
      <c r="GX29" s="80"/>
      <c r="GY29" s="80"/>
      <c r="GZ29" s="80"/>
      <c r="HA29" s="80"/>
      <c r="HB29" s="80"/>
      <c r="HC29" s="80"/>
      <c r="HD29" s="80"/>
      <c r="HE29" s="80"/>
      <c r="HF29" s="80"/>
      <c r="HG29" s="80"/>
      <c r="HH29" s="80"/>
      <c r="HI29" s="80"/>
      <c r="HJ29" s="80"/>
      <c r="HK29" s="80"/>
      <c r="HL29" s="80"/>
      <c r="HM29" s="80"/>
      <c r="HN29" s="80"/>
      <c r="HO29" s="80"/>
      <c r="HP29" s="80"/>
      <c r="HQ29" s="80"/>
      <c r="HR29" s="80"/>
      <c r="HS29" s="80"/>
      <c r="HT29" s="80"/>
      <c r="HU29" s="80"/>
      <c r="HV29" s="80"/>
      <c r="HW29" s="80"/>
      <c r="HX29" s="80"/>
      <c r="HY29" s="80"/>
      <c r="HZ29" s="80"/>
      <c r="IA29" s="80"/>
      <c r="IB29" s="80"/>
      <c r="IC29" s="80"/>
      <c r="ID29" s="80"/>
      <c r="IE29" s="80"/>
      <c r="IF29" s="80"/>
      <c r="IG29" s="80"/>
      <c r="IH29" s="80"/>
      <c r="II29" s="80"/>
      <c r="IJ29" s="80"/>
      <c r="IK29" s="80"/>
      <c r="IL29" s="80"/>
      <c r="IM29" s="80"/>
      <c r="IN29" s="80"/>
      <c r="IO29" s="80"/>
      <c r="IP29" s="80"/>
      <c r="IQ29" s="80"/>
      <c r="IR29" s="80"/>
      <c r="IS29" s="80"/>
      <c r="IT29" s="80"/>
      <c r="IU29" s="80"/>
      <c r="IV29" s="80"/>
      <c r="IW29" s="80"/>
    </row>
    <row r="30" customFormat="false" ht="8.25" hidden="false" customHeight="true" outlineLevel="0" collapsed="false">
      <c r="A30" s="81"/>
      <c r="B30" s="82"/>
      <c r="C30" s="83"/>
      <c r="D30" s="84"/>
      <c r="E30" s="6"/>
      <c r="F30" s="6"/>
      <c r="G30" s="85"/>
      <c r="H30" s="86"/>
      <c r="I30" s="87"/>
      <c r="K30" s="0"/>
    </row>
    <row r="31" customFormat="false" ht="13.5" hidden="false" customHeight="false" outlineLevel="0" collapsed="false">
      <c r="A31" s="88" t="s">
        <v>376</v>
      </c>
      <c r="B31" s="88"/>
      <c r="C31" s="88"/>
      <c r="D31" s="88"/>
      <c r="E31" s="89" t="s">
        <v>41</v>
      </c>
      <c r="F31" s="89"/>
      <c r="G31" s="89"/>
      <c r="H31" s="89"/>
      <c r="I31" s="90" t="s">
        <v>42</v>
      </c>
      <c r="J31" s="90"/>
      <c r="K31" s="109"/>
      <c r="L31" s="109"/>
    </row>
    <row r="32" customFormat="false" ht="13.5" hidden="false" customHeight="false" outlineLevel="0" collapsed="false">
      <c r="A32" s="27" t="s">
        <v>43</v>
      </c>
      <c r="B32" s="85"/>
      <c r="C32" s="85"/>
      <c r="D32" s="268" t="n">
        <v>0</v>
      </c>
      <c r="E32" s="92" t="s">
        <v>44</v>
      </c>
      <c r="F32" s="92"/>
      <c r="G32" s="90" t="s">
        <v>45</v>
      </c>
      <c r="H32" s="90"/>
      <c r="I32" s="93" t="s">
        <v>46</v>
      </c>
      <c r="J32" s="94" t="s">
        <v>47</v>
      </c>
      <c r="K32" s="112"/>
      <c r="L32" s="112"/>
    </row>
    <row r="33" customFormat="false" ht="13.5" hidden="false" customHeight="false" outlineLevel="0" collapsed="false">
      <c r="A33" s="16" t="s">
        <v>48</v>
      </c>
      <c r="B33" s="95" t="n">
        <v>0</v>
      </c>
      <c r="C33" s="0" t="s">
        <v>49</v>
      </c>
      <c r="D33" s="96"/>
      <c r="E33" s="269"/>
      <c r="F33" s="270"/>
      <c r="G33" s="99"/>
      <c r="H33" s="100"/>
      <c r="I33" s="101" t="n">
        <f aca="false">57.5+5</f>
        <v>62.5</v>
      </c>
      <c r="J33" s="102" t="n">
        <f aca="false">60+5+10+15+10</f>
        <v>100</v>
      </c>
      <c r="K33" s="87"/>
      <c r="L33" s="87"/>
    </row>
    <row r="34" customFormat="false" ht="13.5" hidden="false" customHeight="false" outlineLevel="0" collapsed="false">
      <c r="A34" s="16" t="s">
        <v>52</v>
      </c>
      <c r="B34" s="103" t="n">
        <v>0</v>
      </c>
      <c r="C34" s="6"/>
      <c r="D34" s="104"/>
      <c r="E34" s="99"/>
      <c r="F34" s="100"/>
      <c r="G34" s="99"/>
      <c r="H34" s="100"/>
      <c r="I34" s="283" t="s">
        <v>55</v>
      </c>
      <c r="J34" s="108" t="n">
        <f aca="false">+I33-J33</f>
        <v>-37.5</v>
      </c>
      <c r="K34" s="0"/>
      <c r="L34" s="0"/>
    </row>
    <row r="35" customFormat="false" ht="13.5" hidden="false" customHeight="false" outlineLevel="0" collapsed="false">
      <c r="A35" s="110"/>
      <c r="B35" s="63"/>
      <c r="C35" s="63"/>
      <c r="D35" s="111"/>
      <c r="E35" s="269"/>
      <c r="F35" s="270"/>
      <c r="G35" s="99"/>
      <c r="H35" s="100"/>
      <c r="I35" s="0"/>
      <c r="J35" s="0"/>
      <c r="K35" s="0"/>
      <c r="L35" s="0"/>
    </row>
    <row r="36" customFormat="false" ht="13.5" hidden="false" customHeight="false" outlineLevel="0" collapsed="false">
      <c r="A36" s="113"/>
      <c r="B36" s="114"/>
      <c r="C36" s="114"/>
      <c r="D36" s="115"/>
      <c r="E36" s="269"/>
      <c r="F36" s="270"/>
      <c r="G36" s="99"/>
      <c r="H36" s="100"/>
      <c r="I36" s="90" t="s">
        <v>60</v>
      </c>
      <c r="J36" s="90"/>
      <c r="K36" s="126"/>
      <c r="L36" s="0"/>
    </row>
    <row r="37" customFormat="false" ht="13.5" hidden="false" customHeight="false" outlineLevel="0" collapsed="false">
      <c r="A37" s="116" t="s">
        <v>61</v>
      </c>
      <c r="B37" s="116"/>
      <c r="C37" s="116"/>
      <c r="D37" s="116"/>
      <c r="E37" s="117"/>
      <c r="F37" s="118"/>
      <c r="G37" s="119"/>
      <c r="H37" s="120"/>
      <c r="I37" s="93" t="s">
        <v>64</v>
      </c>
      <c r="J37" s="94" t="s">
        <v>65</v>
      </c>
      <c r="K37" s="126"/>
      <c r="L37" s="0"/>
    </row>
    <row r="38" customFormat="false" ht="13.5" hidden="false" customHeight="false" outlineLevel="0" collapsed="false">
      <c r="A38" s="27"/>
      <c r="B38" s="6"/>
      <c r="C38" s="6"/>
      <c r="D38" s="121"/>
      <c r="E38" s="117"/>
      <c r="F38" s="118"/>
      <c r="G38" s="119"/>
      <c r="H38" s="120"/>
      <c r="I38" s="284" t="n">
        <v>0</v>
      </c>
      <c r="J38" s="123" t="n">
        <f aca="false">10-30+10</f>
        <v>-10</v>
      </c>
      <c r="K38" s="126"/>
      <c r="L38" s="0"/>
    </row>
    <row r="39" customFormat="false" ht="13.5" hidden="false" customHeight="false" outlineLevel="0" collapsed="false">
      <c r="A39" s="27" t="s">
        <v>67</v>
      </c>
      <c r="B39" s="6"/>
      <c r="C39" s="6"/>
      <c r="D39" s="124" t="n">
        <f aca="false">K191/1000</f>
        <v>89.093</v>
      </c>
      <c r="E39" s="117"/>
      <c r="F39" s="118"/>
      <c r="G39" s="119"/>
      <c r="H39" s="120"/>
      <c r="I39" s="125" t="s">
        <v>68</v>
      </c>
      <c r="J39" s="94" t="s">
        <v>69</v>
      </c>
      <c r="K39" s="0"/>
      <c r="L39" s="0"/>
    </row>
    <row r="40" customFormat="false" ht="13.5" hidden="false" customHeight="false" outlineLevel="0" collapsed="false">
      <c r="A40" s="27" t="s">
        <v>70</v>
      </c>
      <c r="B40" s="6"/>
      <c r="C40" s="6"/>
      <c r="D40" s="121" t="n">
        <f aca="false">L68</f>
        <v>226.879</v>
      </c>
      <c r="E40" s="117"/>
      <c r="F40" s="118"/>
      <c r="G40" s="127"/>
      <c r="H40" s="128"/>
      <c r="I40" s="129" t="n">
        <v>40</v>
      </c>
      <c r="J40" s="285" t="n">
        <v>0</v>
      </c>
      <c r="K40" s="0"/>
      <c r="L40" s="0"/>
    </row>
    <row r="41" customFormat="false" ht="13.5" hidden="false" customHeight="false" outlineLevel="0" collapsed="false">
      <c r="A41" s="27" t="s">
        <v>71</v>
      </c>
      <c r="B41" s="6"/>
      <c r="C41" s="6"/>
      <c r="D41" s="277" t="n">
        <v>40</v>
      </c>
      <c r="E41" s="117"/>
      <c r="F41" s="118"/>
      <c r="G41" s="127"/>
      <c r="H41" s="128"/>
      <c r="I41" s="287" t="s">
        <v>72</v>
      </c>
      <c r="J41" s="108" t="n">
        <f aca="false">J34+I38+J38+I40+J40</f>
        <v>-7.5</v>
      </c>
      <c r="K41" s="0"/>
      <c r="L41" s="0"/>
    </row>
    <row r="42" customFormat="false" ht="13.5" hidden="false" customHeight="false" outlineLevel="0" collapsed="false">
      <c r="A42" s="27" t="s">
        <v>73</v>
      </c>
      <c r="B42" s="6"/>
      <c r="C42" s="6"/>
      <c r="D42" s="133" t="n">
        <f aca="false">642.804+10+20+7</f>
        <v>679.804</v>
      </c>
      <c r="E42" s="117"/>
      <c r="F42" s="118"/>
      <c r="G42" s="6"/>
      <c r="H42" s="7"/>
      <c r="K42" s="0"/>
      <c r="L42" s="0"/>
    </row>
    <row r="43" customFormat="false" ht="13.5" hidden="false" customHeight="false" outlineLevel="0" collapsed="false">
      <c r="A43" s="27"/>
      <c r="B43" s="6"/>
      <c r="C43" s="6"/>
      <c r="D43" s="121"/>
      <c r="E43" s="117"/>
      <c r="F43" s="118"/>
      <c r="G43" s="6"/>
      <c r="H43" s="7"/>
      <c r="I43" s="90" t="s">
        <v>74</v>
      </c>
      <c r="J43" s="90"/>
      <c r="K43" s="0"/>
      <c r="L43" s="0"/>
    </row>
    <row r="44" customFormat="false" ht="13.5" hidden="false" customHeight="false" outlineLevel="0" collapsed="false">
      <c r="A44" s="62"/>
      <c r="B44" s="134" t="s">
        <v>75</v>
      </c>
      <c r="C44" s="135" t="str">
        <f aca="false">+F5</f>
        <v>Mar</v>
      </c>
      <c r="D44" s="136" t="n">
        <f aca="false">SUM(D39:D42)</f>
        <v>1035.776</v>
      </c>
      <c r="E44" s="137" t="s">
        <v>76</v>
      </c>
      <c r="F44" s="136" t="n">
        <f aca="false">SUM(F33:F42)</f>
        <v>0</v>
      </c>
      <c r="G44" s="137" t="s">
        <v>76</v>
      </c>
      <c r="H44" s="136" t="n">
        <f aca="false">SUM(H33:H43)</f>
        <v>0</v>
      </c>
      <c r="I44" s="0"/>
      <c r="J44" s="108" t="n">
        <v>15</v>
      </c>
      <c r="K44" s="0"/>
      <c r="L44" s="0"/>
    </row>
    <row r="45" customFormat="false" ht="12.75" hidden="false" customHeight="false" outlineLevel="0" collapsed="false"/>
    <row r="46" customFormat="false" ht="12.75" hidden="false" customHeight="false" outlineLevel="0" collapsed="false">
      <c r="A46" s="138" t="s">
        <v>77</v>
      </c>
      <c r="B46" s="138"/>
      <c r="C46" s="138"/>
      <c r="D46" s="138"/>
      <c r="E46" s="139"/>
      <c r="F46" s="140"/>
      <c r="G46" s="93" t="s">
        <v>78</v>
      </c>
      <c r="H46" s="93"/>
      <c r="I46" s="93"/>
      <c r="J46" s="93"/>
      <c r="K46" s="93"/>
      <c r="L46" s="93"/>
      <c r="P46" s="1" t="s">
        <v>79</v>
      </c>
    </row>
    <row r="47" customFormat="false" ht="12" hidden="false" customHeight="false" outlineLevel="0" collapsed="false">
      <c r="A47" s="141" t="s">
        <v>80</v>
      </c>
      <c r="B47" s="141"/>
      <c r="C47" s="142" t="s">
        <v>81</v>
      </c>
      <c r="D47" s="142"/>
      <c r="E47" s="143" t="s">
        <v>82</v>
      </c>
      <c r="F47" s="143"/>
      <c r="G47" s="144"/>
      <c r="H47" s="142"/>
      <c r="I47" s="142" t="s">
        <v>81</v>
      </c>
      <c r="J47" s="142"/>
      <c r="K47" s="143" t="s">
        <v>82</v>
      </c>
      <c r="L47" s="143"/>
      <c r="P47" s="1" t="s">
        <v>83</v>
      </c>
      <c r="Q47" s="1" t="n">
        <v>6789</v>
      </c>
      <c r="R47" s="1" t="n">
        <v>8000</v>
      </c>
    </row>
    <row r="48" customFormat="false" ht="12" hidden="false" customHeight="false" outlineLevel="0" collapsed="false">
      <c r="A48" s="145" t="s">
        <v>84</v>
      </c>
      <c r="B48" s="146" t="n">
        <v>0.2</v>
      </c>
      <c r="C48" s="147" t="s">
        <v>85</v>
      </c>
      <c r="D48" s="146" t="n">
        <v>10</v>
      </c>
      <c r="E48" s="148"/>
      <c r="F48" s="146"/>
      <c r="G48" s="149"/>
      <c r="H48" s="150"/>
      <c r="I48" s="147" t="s">
        <v>87</v>
      </c>
      <c r="J48" s="151" t="n">
        <v>40</v>
      </c>
      <c r="K48" s="147"/>
      <c r="L48" s="152"/>
    </row>
    <row r="49" customFormat="false" ht="12" hidden="false" customHeight="false" outlineLevel="0" collapsed="false">
      <c r="A49" s="145" t="s">
        <v>89</v>
      </c>
      <c r="B49" s="146" t="n">
        <v>0.212</v>
      </c>
      <c r="C49" s="147" t="s">
        <v>15</v>
      </c>
      <c r="D49" s="146" t="n">
        <v>5</v>
      </c>
      <c r="E49" s="147"/>
      <c r="F49" s="152"/>
      <c r="G49" s="149"/>
      <c r="H49" s="150"/>
      <c r="I49" s="153" t="s">
        <v>91</v>
      </c>
      <c r="J49" s="154" t="n">
        <v>20</v>
      </c>
      <c r="K49" s="147"/>
      <c r="L49" s="152"/>
    </row>
    <row r="50" customFormat="false" ht="12" hidden="false" customHeight="false" outlineLevel="0" collapsed="false">
      <c r="A50" s="145" t="s">
        <v>92</v>
      </c>
      <c r="B50" s="146" t="n">
        <v>0.048</v>
      </c>
      <c r="C50" s="147" t="s">
        <v>110</v>
      </c>
      <c r="D50" s="146" t="n">
        <v>40</v>
      </c>
      <c r="E50" s="147"/>
      <c r="F50" s="152"/>
      <c r="G50" s="149"/>
      <c r="H50" s="150"/>
      <c r="I50" s="153" t="s">
        <v>94</v>
      </c>
      <c r="J50" s="146" t="n">
        <v>20</v>
      </c>
      <c r="K50" s="147"/>
      <c r="L50" s="152"/>
    </row>
    <row r="51" customFormat="false" ht="12" hidden="false" customHeight="false" outlineLevel="0" collapsed="false">
      <c r="A51" s="145" t="s">
        <v>96</v>
      </c>
      <c r="B51" s="146" t="n">
        <v>0.45</v>
      </c>
      <c r="C51" s="147" t="s">
        <v>133</v>
      </c>
      <c r="D51" s="146" t="n">
        <v>0</v>
      </c>
      <c r="E51" s="147"/>
      <c r="F51" s="152"/>
      <c r="G51" s="149"/>
      <c r="H51" s="150"/>
      <c r="I51" s="153" t="s">
        <v>99</v>
      </c>
      <c r="J51" s="146" t="n">
        <v>20</v>
      </c>
      <c r="K51" s="147"/>
      <c r="L51" s="152"/>
    </row>
    <row r="52" customFormat="false" ht="12" hidden="false" customHeight="false" outlineLevel="0" collapsed="false">
      <c r="A52" s="145" t="s">
        <v>101</v>
      </c>
      <c r="B52" s="146" t="n">
        <v>0.048</v>
      </c>
      <c r="C52" s="147" t="s">
        <v>123</v>
      </c>
      <c r="D52" s="146" t="n">
        <v>20</v>
      </c>
      <c r="E52" s="147"/>
      <c r="F52" s="152"/>
      <c r="G52" s="149"/>
      <c r="H52" s="150"/>
      <c r="I52" s="153" t="s">
        <v>102</v>
      </c>
      <c r="J52" s="146" t="n">
        <v>3.879</v>
      </c>
      <c r="K52" s="147"/>
      <c r="L52" s="152"/>
    </row>
    <row r="53" customFormat="false" ht="12" hidden="false" customHeight="false" outlineLevel="0" collapsed="false">
      <c r="A53" s="145" t="s">
        <v>105</v>
      </c>
      <c r="B53" s="146" t="n">
        <v>0.5</v>
      </c>
      <c r="C53" s="147" t="s">
        <v>109</v>
      </c>
      <c r="D53" s="146" t="n">
        <v>6</v>
      </c>
      <c r="E53" s="147"/>
      <c r="F53" s="152"/>
      <c r="G53" s="149"/>
      <c r="H53" s="150"/>
      <c r="I53" s="153" t="s">
        <v>104</v>
      </c>
      <c r="J53" s="146" t="n">
        <v>33</v>
      </c>
      <c r="K53" s="147"/>
      <c r="L53" s="152"/>
    </row>
    <row r="54" customFormat="false" ht="12" hidden="false" customHeight="false" outlineLevel="0" collapsed="false">
      <c r="A54" s="145" t="s">
        <v>109</v>
      </c>
      <c r="B54" s="315" t="n">
        <v>9.6</v>
      </c>
      <c r="C54" s="147" t="s">
        <v>128</v>
      </c>
      <c r="D54" s="146" t="n">
        <v>2</v>
      </c>
      <c r="E54" s="147"/>
      <c r="F54" s="152"/>
      <c r="G54" s="149"/>
      <c r="H54" s="150"/>
      <c r="I54" s="153" t="s">
        <v>107</v>
      </c>
      <c r="J54" s="146" t="n">
        <v>15</v>
      </c>
      <c r="K54" s="147"/>
      <c r="L54" s="152"/>
    </row>
    <row r="55" customFormat="false" ht="12" hidden="false" customHeight="false" outlineLevel="0" collapsed="false">
      <c r="A55" s="145"/>
      <c r="B55" s="146"/>
      <c r="C55" s="147"/>
      <c r="D55" s="146"/>
      <c r="E55" s="147"/>
      <c r="F55" s="152"/>
      <c r="G55" s="149"/>
      <c r="H55" s="150"/>
      <c r="I55" s="153" t="s">
        <v>112</v>
      </c>
      <c r="J55" s="146" t="n">
        <v>2</v>
      </c>
      <c r="K55" s="147"/>
      <c r="L55" s="152"/>
    </row>
    <row r="56" customFormat="false" ht="12" hidden="false" customHeight="false" outlineLevel="0" collapsed="false">
      <c r="A56" s="145"/>
      <c r="B56" s="146"/>
      <c r="C56" s="147"/>
      <c r="D56" s="146"/>
      <c r="E56" s="147"/>
      <c r="F56" s="152"/>
      <c r="G56" s="149"/>
      <c r="H56" s="150"/>
      <c r="I56" s="153" t="s">
        <v>115</v>
      </c>
      <c r="J56" s="146" t="n">
        <v>30</v>
      </c>
      <c r="K56" s="147"/>
      <c r="L56" s="152"/>
    </row>
    <row r="57" customFormat="false" ht="12" hidden="false" customHeight="false" outlineLevel="0" collapsed="false">
      <c r="A57" s="149"/>
      <c r="B57" s="150"/>
      <c r="C57" s="147"/>
      <c r="D57" s="146"/>
      <c r="E57" s="147"/>
      <c r="F57" s="152"/>
      <c r="G57" s="149"/>
      <c r="H57" s="150"/>
      <c r="I57" s="153" t="s">
        <v>117</v>
      </c>
      <c r="J57" s="146" t="n">
        <v>5</v>
      </c>
      <c r="K57" s="147"/>
      <c r="L57" s="152"/>
    </row>
    <row r="58" customFormat="false" ht="12" hidden="false" customHeight="false" outlineLevel="0" collapsed="false">
      <c r="A58" s="149"/>
      <c r="B58" s="150"/>
      <c r="C58" s="147"/>
      <c r="D58" s="146"/>
      <c r="E58" s="147"/>
      <c r="F58" s="152"/>
      <c r="G58" s="149"/>
      <c r="H58" s="150"/>
      <c r="I58" s="153" t="s">
        <v>121</v>
      </c>
      <c r="J58" s="146" t="n">
        <v>20</v>
      </c>
      <c r="K58" s="147"/>
      <c r="L58" s="152"/>
    </row>
    <row r="59" customFormat="false" ht="12" hidden="false" customHeight="false" outlineLevel="0" collapsed="false">
      <c r="A59" s="149"/>
      <c r="B59" s="150"/>
      <c r="C59" s="147"/>
      <c r="D59" s="146"/>
      <c r="E59" s="147"/>
      <c r="F59" s="146"/>
      <c r="G59" s="149"/>
      <c r="H59" s="150"/>
      <c r="I59" s="153"/>
      <c r="J59" s="146"/>
      <c r="K59" s="147"/>
      <c r="L59" s="152"/>
    </row>
    <row r="60" customFormat="false" ht="12" hidden="false" customHeight="false" outlineLevel="0" collapsed="false">
      <c r="A60" s="149"/>
      <c r="B60" s="150"/>
      <c r="C60" s="147"/>
      <c r="D60" s="146"/>
      <c r="E60" s="147"/>
      <c r="F60" s="160"/>
      <c r="G60" s="149"/>
      <c r="H60" s="150"/>
      <c r="I60" s="153"/>
      <c r="J60" s="146"/>
      <c r="K60" s="147"/>
      <c r="L60" s="152"/>
    </row>
    <row r="61" customFormat="false" ht="12" hidden="false" customHeight="false" outlineLevel="0" collapsed="false">
      <c r="A61" s="162"/>
      <c r="B61" s="163"/>
      <c r="C61" s="147"/>
      <c r="D61" s="146"/>
      <c r="E61" s="147"/>
      <c r="F61" s="160"/>
      <c r="G61" s="149"/>
      <c r="H61" s="150"/>
      <c r="I61" s="147"/>
      <c r="J61" s="146"/>
      <c r="K61" s="147"/>
      <c r="L61" s="152"/>
    </row>
    <row r="62" customFormat="false" ht="12" hidden="false" customHeight="false" outlineLevel="0" collapsed="false">
      <c r="A62" s="162"/>
      <c r="B62" s="163"/>
      <c r="C62" s="164" t="s">
        <v>129</v>
      </c>
      <c r="D62" s="165"/>
      <c r="E62" s="166"/>
      <c r="F62" s="167"/>
      <c r="G62" s="149"/>
      <c r="H62" s="150"/>
      <c r="I62" s="164" t="s">
        <v>129</v>
      </c>
      <c r="J62" s="168"/>
      <c r="K62" s="169"/>
      <c r="L62" s="170"/>
    </row>
    <row r="63" customFormat="false" ht="12" hidden="false" customHeight="false" outlineLevel="0" collapsed="false">
      <c r="A63" s="162"/>
      <c r="B63" s="163"/>
      <c r="C63" s="147" t="s">
        <v>130</v>
      </c>
      <c r="D63" s="146" t="n">
        <v>18</v>
      </c>
      <c r="E63" s="147"/>
      <c r="F63" s="152"/>
      <c r="G63" s="171"/>
      <c r="H63" s="150"/>
      <c r="I63" s="147" t="s">
        <v>113</v>
      </c>
      <c r="J63" s="146" t="n">
        <v>5</v>
      </c>
      <c r="K63" s="147"/>
      <c r="L63" s="152"/>
    </row>
    <row r="64" customFormat="false" ht="12" hidden="false" customHeight="false" outlineLevel="0" collapsed="false">
      <c r="A64" s="162"/>
      <c r="B64" s="163"/>
      <c r="C64" s="147" t="s">
        <v>131</v>
      </c>
      <c r="D64" s="146" t="n">
        <v>10</v>
      </c>
      <c r="E64" s="147"/>
      <c r="F64" s="152"/>
      <c r="G64" s="149"/>
      <c r="H64" s="150"/>
      <c r="I64" s="147" t="s">
        <v>132</v>
      </c>
      <c r="J64" s="146" t="n">
        <v>8</v>
      </c>
      <c r="K64" s="147"/>
      <c r="L64" s="152"/>
    </row>
    <row r="65" customFormat="false" ht="12" hidden="false" customHeight="false" outlineLevel="0" collapsed="false">
      <c r="A65" s="162"/>
      <c r="B65" s="163"/>
      <c r="C65" s="147" t="s">
        <v>404</v>
      </c>
      <c r="D65" s="146" t="n">
        <v>4</v>
      </c>
      <c r="E65" s="147"/>
      <c r="F65" s="152"/>
      <c r="G65" s="149"/>
      <c r="H65" s="150"/>
      <c r="I65" s="147" t="s">
        <v>111</v>
      </c>
      <c r="J65" s="146" t="n">
        <v>5</v>
      </c>
      <c r="K65" s="147"/>
      <c r="L65" s="152"/>
    </row>
    <row r="66" customFormat="false" ht="12" hidden="false" customHeight="false" outlineLevel="0" collapsed="false">
      <c r="A66" s="173"/>
      <c r="B66" s="174"/>
      <c r="C66" s="175"/>
      <c r="D66" s="174"/>
      <c r="E66" s="176"/>
      <c r="F66" s="177"/>
      <c r="G66" s="173"/>
      <c r="H66" s="174"/>
      <c r="I66" s="175"/>
      <c r="J66" s="316"/>
      <c r="K66" s="178"/>
      <c r="L66" s="179"/>
    </row>
    <row r="67" customFormat="false" ht="12" hidden="false" customHeight="false" outlineLevel="0" collapsed="false">
      <c r="A67" s="180" t="s">
        <v>137</v>
      </c>
      <c r="B67" s="181" t="n">
        <f aca="false">SUM(B47:B66)</f>
        <v>11.058</v>
      </c>
      <c r="C67" s="182" t="s">
        <v>137</v>
      </c>
      <c r="D67" s="181" t="n">
        <f aca="false">SUM(D47:D66)</f>
        <v>115</v>
      </c>
      <c r="E67" s="182" t="s">
        <v>137</v>
      </c>
      <c r="F67" s="183" t="n">
        <f aca="false">SUM(F47:F66)</f>
        <v>0</v>
      </c>
      <c r="G67" s="180"/>
      <c r="H67" s="181"/>
      <c r="I67" s="182" t="s">
        <v>137</v>
      </c>
      <c r="J67" s="184" t="n">
        <f aca="false">SUM(J47:J66)</f>
        <v>226.879</v>
      </c>
      <c r="K67" s="182" t="s">
        <v>137</v>
      </c>
      <c r="L67" s="185" t="n">
        <f aca="false">SUM(L47:L66)</f>
        <v>0</v>
      </c>
    </row>
    <row r="68" customFormat="false" ht="12.75" hidden="false" customHeight="false" outlineLevel="0" collapsed="false">
      <c r="A68" s="186"/>
      <c r="B68" s="187"/>
      <c r="C68" s="188"/>
      <c r="D68" s="187"/>
      <c r="E68" s="189" t="s">
        <v>138</v>
      </c>
      <c r="F68" s="190" t="n">
        <f aca="false">+B67+F67+D67</f>
        <v>126.058</v>
      </c>
      <c r="G68" s="186"/>
      <c r="H68" s="187"/>
      <c r="I68" s="188"/>
      <c r="J68" s="187"/>
      <c r="K68" s="189" t="s">
        <v>138</v>
      </c>
      <c r="L68" s="190" t="n">
        <f aca="false">J67+L67</f>
        <v>226.879</v>
      </c>
    </row>
    <row r="69" customFormat="false" ht="12.75" hidden="false" customHeight="false" outlineLevel="0" collapsed="false">
      <c r="G69" s="191"/>
      <c r="H69" s="0"/>
    </row>
    <row r="70" customFormat="false" ht="12.75" hidden="false" customHeight="false" outlineLevel="0" collapsed="false">
      <c r="A70" s="1" t="s">
        <v>406</v>
      </c>
      <c r="G70" s="1" t="s">
        <v>407</v>
      </c>
      <c r="H70" s="0"/>
    </row>
    <row r="71" customFormat="false" ht="12.75" hidden="false" customHeight="false" outlineLevel="0" collapsed="false">
      <c r="A71" s="1" t="s">
        <v>408</v>
      </c>
      <c r="G71" s="295" t="s">
        <v>409</v>
      </c>
      <c r="H71" s="0"/>
    </row>
    <row r="72" customFormat="false" ht="12.75" hidden="true" customHeight="false" outlineLevel="0" collapsed="false">
      <c r="E72" s="0"/>
      <c r="G72" s="1" t="s">
        <v>139</v>
      </c>
      <c r="H72" s="0"/>
    </row>
    <row r="73" customFormat="false" ht="24" hidden="true" customHeight="false" outlineLevel="0" collapsed="false">
      <c r="A73" s="192" t="s">
        <v>140</v>
      </c>
      <c r="B73" s="192" t="s">
        <v>141</v>
      </c>
      <c r="C73" s="192" t="s">
        <v>142</v>
      </c>
      <c r="D73" s="192" t="s">
        <v>143</v>
      </c>
      <c r="E73" s="192" t="s">
        <v>144</v>
      </c>
      <c r="F73" s="192" t="s">
        <v>145</v>
      </c>
      <c r="G73" s="1" t="n">
        <v>1.65</v>
      </c>
      <c r="H73" s="0"/>
    </row>
    <row r="74" customFormat="false" ht="12.75" hidden="true" customHeight="false" outlineLevel="0" collapsed="false">
      <c r="A74" s="0" t="s">
        <v>146</v>
      </c>
      <c r="B74" s="0" t="s">
        <v>147</v>
      </c>
      <c r="C74" s="0" t="n">
        <v>10</v>
      </c>
      <c r="D74" s="0" t="n">
        <v>95</v>
      </c>
      <c r="E74" s="0" t="n">
        <v>0.09</v>
      </c>
      <c r="F74" s="0" t="n">
        <f aca="false">+$G$73*(E74/100)</f>
        <v>0.001485</v>
      </c>
      <c r="G74" s="0"/>
      <c r="H74" s="0"/>
      <c r="I74" s="0"/>
      <c r="J74" s="0"/>
      <c r="K74" s="0"/>
      <c r="L74" s="0"/>
      <c r="M74" s="0"/>
      <c r="N74" s="0"/>
      <c r="O74" s="0"/>
    </row>
    <row r="75" customFormat="false" ht="12.75" hidden="true" customHeight="false" outlineLevel="0" collapsed="false">
      <c r="A75" s="0"/>
      <c r="B75" s="0" t="s">
        <v>148</v>
      </c>
      <c r="C75" s="0" t="n">
        <v>42</v>
      </c>
      <c r="D75" s="0" t="n">
        <v>65</v>
      </c>
      <c r="E75" s="0" t="n">
        <v>0.27</v>
      </c>
      <c r="F75" s="0" t="n">
        <f aca="false">+$G$73*(E75/100)</f>
        <v>0.004455</v>
      </c>
      <c r="G75" s="0"/>
      <c r="H75" s="0"/>
      <c r="I75" s="0"/>
      <c r="J75" s="0"/>
      <c r="K75" s="0"/>
      <c r="L75" s="0"/>
      <c r="M75" s="0"/>
      <c r="N75" s="0"/>
      <c r="O75" s="0"/>
    </row>
    <row r="76" customFormat="false" ht="12.75" hidden="true" customHeight="false" outlineLevel="0" collapsed="false">
      <c r="A76" s="0"/>
      <c r="B76" s="0" t="s">
        <v>149</v>
      </c>
      <c r="C76" s="0" t="n">
        <v>89</v>
      </c>
      <c r="D76" s="0" t="n">
        <v>43.87</v>
      </c>
      <c r="E76" s="0" t="n">
        <v>0.39</v>
      </c>
      <c r="F76" s="0" t="n">
        <f aca="false">+$G$73*(E76/100)</f>
        <v>0.006435</v>
      </c>
      <c r="G76" s="0"/>
      <c r="H76" s="0"/>
      <c r="I76" s="0"/>
      <c r="J76" s="0"/>
      <c r="K76" s="0"/>
      <c r="L76" s="0"/>
      <c r="M76" s="0"/>
      <c r="N76" s="0"/>
      <c r="O76" s="0"/>
    </row>
    <row r="77" customFormat="false" ht="12.75" hidden="true" customHeight="false" outlineLevel="0" collapsed="false">
      <c r="A77" s="0"/>
      <c r="B77" s="0" t="s">
        <v>150</v>
      </c>
      <c r="C77" s="0" t="n">
        <v>2.44</v>
      </c>
      <c r="D77" s="0" t="n">
        <v>1.05</v>
      </c>
      <c r="E77" s="0" t="n">
        <v>0.03</v>
      </c>
      <c r="F77" s="0" t="n">
        <f aca="false">+$G$73*(E77/100)</f>
        <v>0.000495</v>
      </c>
      <c r="G77" s="0"/>
      <c r="H77" s="0"/>
      <c r="I77" s="0"/>
      <c r="J77" s="0"/>
      <c r="K77" s="0"/>
      <c r="L77" s="0"/>
      <c r="M77" s="0"/>
      <c r="N77" s="0"/>
      <c r="O77" s="0"/>
    </row>
    <row r="78" customFormat="false" ht="12.75" hidden="true" customHeight="false" outlineLevel="0" collapsed="false">
      <c r="A78" s="0"/>
      <c r="B78" s="0"/>
      <c r="C78" s="0"/>
      <c r="D78" s="0"/>
      <c r="E78" s="193" t="s">
        <v>138</v>
      </c>
      <c r="F78" s="0" t="n">
        <f aca="false">SUM(F74:F77)</f>
        <v>0.01287</v>
      </c>
      <c r="G78" s="0"/>
      <c r="H78" s="0"/>
      <c r="I78" s="0"/>
      <c r="J78" s="0"/>
      <c r="K78" s="0"/>
      <c r="L78" s="0"/>
      <c r="M78" s="0"/>
      <c r="N78" s="0"/>
      <c r="O78" s="0"/>
    </row>
    <row r="79" customFormat="false" ht="12.75" hidden="true" customHeight="false" outlineLevel="0" collapsed="false">
      <c r="A79" s="0"/>
      <c r="B79" s="0"/>
      <c r="C79" s="0"/>
      <c r="D79" s="0"/>
      <c r="E79" s="193"/>
      <c r="F79" s="0"/>
      <c r="G79" s="0"/>
      <c r="H79" s="0"/>
      <c r="I79" s="0"/>
      <c r="J79" s="0"/>
      <c r="K79" s="0"/>
      <c r="L79" s="0"/>
      <c r="M79" s="0"/>
      <c r="N79" s="0"/>
      <c r="O79" s="0"/>
    </row>
    <row r="80" customFormat="false" ht="12.75" hidden="true" customHeight="false" outlineLevel="0" collapsed="false">
      <c r="A80" s="0" t="s">
        <v>151</v>
      </c>
      <c r="B80" s="0" t="s">
        <v>152</v>
      </c>
      <c r="C80" s="194" t="n">
        <v>0.27</v>
      </c>
      <c r="D80" s="194" t="n">
        <v>96.33</v>
      </c>
      <c r="E80" s="194" t="n">
        <v>0.26</v>
      </c>
      <c r="F80" s="194" t="n">
        <f aca="false">+$G$73*(E80/100)</f>
        <v>0.00429</v>
      </c>
      <c r="G80" s="0"/>
      <c r="H80" s="0"/>
      <c r="I80" s="0"/>
      <c r="J80" s="0"/>
      <c r="K80" s="0"/>
      <c r="L80" s="0"/>
      <c r="M80" s="0"/>
      <c r="N80" s="0"/>
      <c r="O80" s="0"/>
    </row>
    <row r="81" customFormat="false" ht="12.75" hidden="true" customHeight="false" outlineLevel="0" collapsed="false">
      <c r="A81" s="0"/>
      <c r="B81" s="0" t="s">
        <v>153</v>
      </c>
      <c r="C81" s="194" t="n">
        <v>0.36</v>
      </c>
      <c r="D81" s="194" t="n">
        <v>85.77</v>
      </c>
      <c r="E81" s="194" t="n">
        <v>0.31</v>
      </c>
      <c r="F81" s="194" t="n">
        <f aca="false">+$G$73*(E81/100)</f>
        <v>0.005115</v>
      </c>
      <c r="G81" s="0"/>
      <c r="H81" s="0"/>
      <c r="I81" s="0"/>
      <c r="J81" s="0"/>
      <c r="K81" s="0"/>
      <c r="L81" s="0"/>
      <c r="M81" s="0"/>
      <c r="N81" s="0"/>
      <c r="O81" s="0"/>
    </row>
    <row r="82" customFormat="false" ht="12.75" hidden="true" customHeight="false" outlineLevel="0" collapsed="false">
      <c r="A82" s="0"/>
      <c r="B82" s="0" t="s">
        <v>154</v>
      </c>
      <c r="C82" s="194" t="n">
        <v>0.8</v>
      </c>
      <c r="D82" s="194" t="n">
        <v>9.94</v>
      </c>
      <c r="E82" s="194" t="n">
        <v>0.08</v>
      </c>
      <c r="F82" s="194" t="n">
        <f aca="false">+$G$73*(E82/100)</f>
        <v>0.00132</v>
      </c>
      <c r="G82" s="0"/>
      <c r="H82" s="0"/>
      <c r="I82" s="0"/>
      <c r="J82" s="0"/>
      <c r="K82" s="0"/>
      <c r="L82" s="0"/>
      <c r="M82" s="0"/>
      <c r="N82" s="0"/>
      <c r="O82" s="0"/>
    </row>
    <row r="83" customFormat="false" ht="12.75" hidden="true" customHeight="false" outlineLevel="0" collapsed="false">
      <c r="A83" s="0"/>
      <c r="B83" s="0" t="s">
        <v>155</v>
      </c>
      <c r="C83" s="194" t="n">
        <v>1.14</v>
      </c>
      <c r="D83" s="194" t="n">
        <v>6.21</v>
      </c>
      <c r="E83" s="194" t="n">
        <v>0.07</v>
      </c>
      <c r="F83" s="194" t="n">
        <f aca="false">+$G$73*(E83/100)</f>
        <v>0.001155</v>
      </c>
      <c r="G83" s="0"/>
      <c r="H83" s="0"/>
      <c r="I83" s="0"/>
      <c r="J83" s="0"/>
      <c r="K83" s="0"/>
      <c r="L83" s="0"/>
      <c r="M83" s="0"/>
      <c r="N83" s="0"/>
      <c r="O83" s="0"/>
    </row>
    <row r="84" customFormat="false" ht="12.75" hidden="true" customHeight="false" outlineLevel="0" collapsed="false">
      <c r="A84" s="0"/>
      <c r="B84" s="0"/>
      <c r="C84" s="194"/>
      <c r="D84" s="194"/>
      <c r="E84" s="195" t="s">
        <v>156</v>
      </c>
      <c r="F84" s="194" t="n">
        <f aca="false">SUM(F81:F83)</f>
        <v>0.00759</v>
      </c>
      <c r="G84" s="0"/>
      <c r="H84" s="0"/>
      <c r="I84" s="0"/>
      <c r="J84" s="0"/>
      <c r="K84" s="0"/>
      <c r="L84" s="0"/>
      <c r="M84" s="0"/>
      <c r="N84" s="0"/>
      <c r="O84" s="0"/>
    </row>
    <row r="85" customFormat="false" ht="12.75" hidden="true" customHeight="false" outlineLevel="0" collapsed="false">
      <c r="A85" s="0"/>
      <c r="B85" s="0"/>
      <c r="C85" s="194"/>
      <c r="D85" s="194"/>
      <c r="E85" s="195" t="s">
        <v>157</v>
      </c>
      <c r="F85" s="194" t="n">
        <f aca="false">SUM(F80:F83)</f>
        <v>0.01188</v>
      </c>
      <c r="G85" s="0"/>
      <c r="H85" s="0"/>
      <c r="I85" s="0"/>
      <c r="J85" s="0"/>
      <c r="K85" s="0"/>
      <c r="L85" s="0"/>
      <c r="M85" s="0"/>
      <c r="N85" s="0"/>
      <c r="O85" s="0"/>
    </row>
    <row r="86" customFormat="false" ht="12.75" hidden="true" customHeight="false" outlineLevel="0" collapsed="false">
      <c r="A86" s="0"/>
      <c r="B86" s="0"/>
      <c r="C86" s="194"/>
      <c r="D86" s="194"/>
      <c r="E86" s="194"/>
      <c r="F86" s="194"/>
      <c r="G86" s="0"/>
      <c r="H86" s="0"/>
      <c r="I86" s="0"/>
      <c r="J86" s="0"/>
      <c r="K86" s="0"/>
      <c r="L86" s="0"/>
      <c r="M86" s="0"/>
      <c r="N86" s="0"/>
      <c r="O86" s="0"/>
    </row>
    <row r="87" customFormat="false" ht="12.75" hidden="true" customHeight="false" outlineLevel="0" collapsed="false">
      <c r="A87" s="0" t="s">
        <v>158</v>
      </c>
      <c r="B87" s="0" t="s">
        <v>158</v>
      </c>
      <c r="C87" s="194" t="n">
        <v>0.62</v>
      </c>
      <c r="D87" s="194" t="n">
        <v>94.29</v>
      </c>
      <c r="E87" s="194" t="n">
        <v>0.58</v>
      </c>
      <c r="F87" s="194" t="n">
        <f aca="false">+$G$73*(E87/100)</f>
        <v>0.00957</v>
      </c>
      <c r="G87" s="0"/>
      <c r="H87" s="0"/>
      <c r="I87" s="0"/>
      <c r="J87" s="0"/>
      <c r="K87" s="0"/>
      <c r="L87" s="0"/>
      <c r="M87" s="0"/>
      <c r="N87" s="0"/>
      <c r="O87" s="0"/>
    </row>
    <row r="88" customFormat="false" ht="12.75" hidden="true" customHeight="false" outlineLevel="0" collapsed="false">
      <c r="A88" s="0"/>
      <c r="B88" s="0"/>
      <c r="C88" s="194"/>
      <c r="D88" s="194"/>
      <c r="E88" s="194"/>
      <c r="F88" s="194"/>
      <c r="G88" s="0"/>
      <c r="H88" s="0"/>
      <c r="I88" s="0"/>
      <c r="J88" s="0"/>
      <c r="K88" s="0"/>
      <c r="L88" s="0"/>
      <c r="M88" s="0"/>
      <c r="N88" s="0"/>
      <c r="O88" s="0"/>
    </row>
    <row r="89" customFormat="false" ht="12.75" hidden="true" customHeight="false" outlineLevel="0" collapsed="false">
      <c r="A89" s="0" t="s">
        <v>159</v>
      </c>
      <c r="B89" s="0" t="s">
        <v>160</v>
      </c>
      <c r="C89" s="194" t="n">
        <v>0.85</v>
      </c>
      <c r="D89" s="194" t="n">
        <v>100</v>
      </c>
      <c r="E89" s="194" t="n">
        <v>0.85</v>
      </c>
      <c r="F89" s="194" t="n">
        <f aca="false">+$G$73*(E89/100)</f>
        <v>0.014025</v>
      </c>
      <c r="G89" s="0"/>
      <c r="H89" s="0"/>
      <c r="I89" s="0"/>
      <c r="J89" s="0"/>
      <c r="K89" s="0"/>
      <c r="L89" s="0"/>
      <c r="M89" s="0"/>
      <c r="N89" s="0"/>
      <c r="O89" s="0"/>
    </row>
    <row r="90" customFormat="false" ht="12.75" hidden="true" customHeight="false" outlineLevel="0" collapsed="false">
      <c r="A90" s="0"/>
      <c r="B90" s="0"/>
      <c r="C90" s="194"/>
      <c r="D90" s="194"/>
      <c r="E90" s="194"/>
      <c r="F90" s="194"/>
      <c r="G90" s="0"/>
      <c r="H90" s="0"/>
      <c r="I90" s="0"/>
      <c r="J90" s="0"/>
      <c r="K90" s="0"/>
      <c r="L90" s="0"/>
      <c r="M90" s="0"/>
      <c r="N90" s="0"/>
      <c r="O90" s="0"/>
    </row>
    <row r="91" customFormat="false" ht="12.75" hidden="true" customHeight="false" outlineLevel="0" collapsed="false">
      <c r="A91" s="0" t="s">
        <v>161</v>
      </c>
      <c r="B91" s="0" t="s">
        <v>162</v>
      </c>
      <c r="C91" s="194" t="s">
        <v>163</v>
      </c>
      <c r="D91" s="194"/>
      <c r="E91" s="194" t="n">
        <v>0.3546</v>
      </c>
      <c r="F91" s="194" t="n">
        <f aca="false">+$G$73*(E91/100)</f>
        <v>0.0058509</v>
      </c>
      <c r="G91" s="0"/>
      <c r="H91" s="0"/>
      <c r="I91" s="0"/>
      <c r="J91" s="0"/>
      <c r="K91" s="0"/>
      <c r="L91" s="0"/>
      <c r="M91" s="0"/>
      <c r="N91" s="0"/>
      <c r="O91" s="0"/>
    </row>
    <row r="92" customFormat="false" ht="12.75" hidden="true" customHeight="false" outlineLevel="0" collapsed="false">
      <c r="A92" s="0"/>
      <c r="B92" s="0" t="s">
        <v>164</v>
      </c>
      <c r="C92" s="194" t="s">
        <v>165</v>
      </c>
      <c r="D92" s="194"/>
      <c r="E92" s="194" t="n">
        <v>0.557</v>
      </c>
      <c r="F92" s="194" t="n">
        <f aca="false">+$G$73*(E92/100)</f>
        <v>0.0091905</v>
      </c>
      <c r="G92" s="0"/>
      <c r="H92" s="0"/>
      <c r="I92" s="0"/>
    </row>
    <row r="93" customFormat="false" ht="12.75" hidden="true" customHeight="false" outlineLevel="0" collapsed="false">
      <c r="A93" s="0"/>
      <c r="B93" s="0" t="s">
        <v>166</v>
      </c>
      <c r="C93" s="194" t="s">
        <v>167</v>
      </c>
      <c r="D93" s="194"/>
      <c r="E93" s="194" t="n">
        <v>0.628</v>
      </c>
      <c r="F93" s="194" t="n">
        <f aca="false">+$G$73*(E93/100)</f>
        <v>0.010362</v>
      </c>
      <c r="G93" s="0"/>
      <c r="H93" s="0"/>
      <c r="I93" s="0"/>
    </row>
    <row r="94" customFormat="false" ht="12.75" hidden="true" customHeight="false" outlineLevel="0" collapsed="false">
      <c r="A94" s="0"/>
      <c r="B94" s="0"/>
      <c r="C94" s="194"/>
      <c r="D94" s="194"/>
      <c r="E94" s="194"/>
      <c r="F94" s="194"/>
      <c r="G94" s="0"/>
      <c r="H94" s="0"/>
      <c r="I94" s="0"/>
    </row>
    <row r="95" customFormat="false" ht="12.75" hidden="true" customHeight="false" outlineLevel="0" collapsed="false">
      <c r="A95" s="0" t="s">
        <v>168</v>
      </c>
      <c r="B95" s="0" t="s">
        <v>169</v>
      </c>
      <c r="C95" s="194" t="s">
        <v>170</v>
      </c>
      <c r="D95" s="194"/>
      <c r="E95" s="194" t="n">
        <v>0.309</v>
      </c>
      <c r="F95" s="194" t="n">
        <f aca="false">+$G$73*(E95/100)</f>
        <v>0.0050985</v>
      </c>
      <c r="G95" s="0"/>
      <c r="H95" s="0"/>
      <c r="I95" s="0"/>
    </row>
    <row r="96" customFormat="false" ht="12.75" hidden="true" customHeight="false" outlineLevel="0" collapsed="false">
      <c r="A96" s="0"/>
      <c r="B96" s="0"/>
      <c r="C96" s="194"/>
      <c r="D96" s="194"/>
      <c r="E96" s="194"/>
      <c r="F96" s="194"/>
      <c r="G96" s="0"/>
      <c r="H96" s="0"/>
      <c r="I96" s="0"/>
    </row>
    <row r="97" customFormat="false" ht="12.75" hidden="true" customHeight="false" outlineLevel="0" collapsed="false">
      <c r="A97" s="0" t="s">
        <v>171</v>
      </c>
      <c r="B97" s="0" t="s">
        <v>172</v>
      </c>
      <c r="C97" s="194" t="s">
        <v>173</v>
      </c>
      <c r="D97" s="194"/>
      <c r="E97" s="194" t="n">
        <v>0.3748</v>
      </c>
      <c r="F97" s="194" t="n">
        <f aca="false">+$G$73*(E97/100)</f>
        <v>0.0061842</v>
      </c>
      <c r="G97" s="0"/>
      <c r="H97" s="0"/>
      <c r="I97" s="0"/>
    </row>
    <row r="98" customFormat="false" ht="12.75" hidden="true" customHeight="false" outlineLevel="0" collapsed="false">
      <c r="A98" s="0"/>
      <c r="B98" s="0"/>
      <c r="C98" s="0"/>
      <c r="D98" s="0"/>
      <c r="E98" s="0"/>
      <c r="F98" s="0"/>
      <c r="G98" s="0"/>
      <c r="H98" s="0"/>
      <c r="I98" s="0"/>
    </row>
    <row r="99" customFormat="false" ht="12.75" hidden="false" customHeight="false" outlineLevel="0" collapsed="false">
      <c r="B99" s="0"/>
      <c r="C99" s="0"/>
      <c r="D99" s="0"/>
      <c r="E99" s="0"/>
      <c r="F99" s="0"/>
      <c r="G99" s="0"/>
      <c r="H99" s="0"/>
      <c r="I99" s="0"/>
    </row>
    <row r="100" customFormat="false" ht="12.75" hidden="false" customHeight="false" outlineLevel="0" collapsed="false">
      <c r="A100" s="0"/>
      <c r="B100" s="0"/>
      <c r="C100" s="0"/>
      <c r="D100" s="0"/>
      <c r="E100" s="0"/>
      <c r="F100" s="0"/>
      <c r="G100" s="0"/>
      <c r="H100" s="0"/>
      <c r="I100" s="0"/>
    </row>
    <row r="101" customFormat="false" ht="12.75" hidden="false" customHeight="false" outlineLevel="0" collapsed="false">
      <c r="A101" s="0"/>
      <c r="B101" s="0"/>
      <c r="C101" s="0"/>
      <c r="D101" s="0"/>
      <c r="E101" s="0"/>
      <c r="F101" s="0"/>
      <c r="G101" s="0"/>
      <c r="H101" s="0"/>
      <c r="I101" s="0"/>
    </row>
    <row r="102" customFormat="false" ht="12.75" hidden="false" customHeight="false" outlineLevel="0" collapsed="false">
      <c r="A102" s="0"/>
      <c r="B102" s="0"/>
      <c r="C102" s="0"/>
      <c r="D102" s="0"/>
      <c r="E102" s="0"/>
      <c r="F102" s="0"/>
      <c r="G102" s="0"/>
      <c r="H102" s="0"/>
      <c r="I102" s="0"/>
    </row>
    <row r="103" customFormat="false" ht="12.75" hidden="false" customHeight="false" outlineLevel="0" collapsed="false">
      <c r="A103" s="196" t="s">
        <v>174</v>
      </c>
      <c r="B103" s="196"/>
      <c r="C103" s="196"/>
      <c r="D103" s="0"/>
      <c r="E103" s="197" t="s">
        <v>175</v>
      </c>
      <c r="F103" s="0"/>
      <c r="G103" s="198"/>
      <c r="H103" s="0"/>
      <c r="I103" s="296" t="s">
        <v>61</v>
      </c>
      <c r="J103" s="297"/>
      <c r="K103" s="298"/>
      <c r="N103" s="1" t="s">
        <v>176</v>
      </c>
    </row>
    <row r="104" customFormat="false" ht="12.75" hidden="false" customHeight="false" outlineLevel="0" collapsed="false">
      <c r="A104" s="199" t="s">
        <v>177</v>
      </c>
      <c r="B104" s="200" t="s">
        <v>178</v>
      </c>
      <c r="C104" s="299" t="n">
        <v>0.63</v>
      </c>
      <c r="D104" s="78"/>
      <c r="E104" s="200" t="n">
        <v>0.833</v>
      </c>
      <c r="F104" s="79" t="n">
        <f aca="false">C104-E104</f>
        <v>-0.203</v>
      </c>
      <c r="G104" s="199" t="n">
        <v>0.833</v>
      </c>
      <c r="H104" s="79"/>
      <c r="I104" s="199" t="s">
        <v>179</v>
      </c>
      <c r="J104" s="78"/>
      <c r="K104" s="202" t="n">
        <v>0</v>
      </c>
      <c r="L104" s="78" t="n">
        <v>882</v>
      </c>
      <c r="N104" s="1" t="s">
        <v>180</v>
      </c>
      <c r="O104" s="1" t="n">
        <v>1024</v>
      </c>
    </row>
    <row r="105" customFormat="false" ht="12.75" hidden="false" customHeight="false" outlineLevel="0" collapsed="false">
      <c r="A105" s="78"/>
      <c r="B105" s="200" t="s">
        <v>181</v>
      </c>
      <c r="C105" s="299" t="n">
        <v>0.001</v>
      </c>
      <c r="D105" s="78"/>
      <c r="E105" s="79" t="n">
        <v>0.001</v>
      </c>
      <c r="F105" s="79" t="n">
        <f aca="false">C105-E105</f>
        <v>0</v>
      </c>
      <c r="G105" s="199" t="n">
        <v>0.001</v>
      </c>
      <c r="H105" s="79"/>
      <c r="I105" s="199" t="s">
        <v>182</v>
      </c>
      <c r="J105" s="78" t="n">
        <v>6688</v>
      </c>
      <c r="K105" s="300" t="n">
        <v>17</v>
      </c>
      <c r="L105" s="78"/>
      <c r="N105" s="1" t="s">
        <v>135</v>
      </c>
      <c r="O105" s="1" t="n">
        <v>1500</v>
      </c>
    </row>
    <row r="106" customFormat="false" ht="12.75" hidden="false" customHeight="false" outlineLevel="0" collapsed="false">
      <c r="A106" s="78"/>
      <c r="B106" s="200" t="s">
        <v>183</v>
      </c>
      <c r="C106" s="299" t="n">
        <v>0.5</v>
      </c>
      <c r="D106" s="78"/>
      <c r="E106" s="79" t="n">
        <v>0.5</v>
      </c>
      <c r="F106" s="79" t="n">
        <f aca="false">C106-E106</f>
        <v>0</v>
      </c>
      <c r="G106" s="199" t="n">
        <v>0.5</v>
      </c>
      <c r="H106" s="79"/>
      <c r="I106" s="199" t="s">
        <v>87</v>
      </c>
      <c r="J106" s="78" t="n">
        <v>6888</v>
      </c>
      <c r="K106" s="301" t="n">
        <v>5687</v>
      </c>
      <c r="L106" s="78"/>
      <c r="N106" s="1" t="s">
        <v>184</v>
      </c>
      <c r="O106" s="1" t="n">
        <v>219</v>
      </c>
    </row>
    <row r="107" customFormat="false" ht="12.75" hidden="false" customHeight="false" outlineLevel="0" collapsed="false">
      <c r="A107" s="78"/>
      <c r="B107" s="200" t="s">
        <v>185</v>
      </c>
      <c r="C107" s="299" t="n">
        <v>10</v>
      </c>
      <c r="D107" s="78" t="n">
        <v>2</v>
      </c>
      <c r="E107" s="79" t="n">
        <v>10</v>
      </c>
      <c r="F107" s="79" t="n">
        <f aca="false">C107-E107</f>
        <v>0</v>
      </c>
      <c r="G107" s="199" t="n">
        <v>12</v>
      </c>
      <c r="H107" s="79"/>
      <c r="I107" s="199"/>
      <c r="J107" s="78"/>
      <c r="K107" s="202"/>
      <c r="L107" s="78"/>
      <c r="N107" s="1" t="s">
        <v>186</v>
      </c>
      <c r="O107" s="1" t="n">
        <v>1000</v>
      </c>
    </row>
    <row r="108" customFormat="false" ht="12.75" hidden="false" customHeight="false" outlineLevel="0" collapsed="false">
      <c r="A108" s="199" t="s">
        <v>187</v>
      </c>
      <c r="B108" s="200" t="s">
        <v>188</v>
      </c>
      <c r="C108" s="299" t="n">
        <v>3.6</v>
      </c>
      <c r="D108" s="78"/>
      <c r="E108" s="79" t="n">
        <v>3.6</v>
      </c>
      <c r="F108" s="79" t="n">
        <f aca="false">C108-E108</f>
        <v>0</v>
      </c>
      <c r="G108" s="199" t="n">
        <v>3.6</v>
      </c>
      <c r="H108" s="79"/>
      <c r="I108" s="199" t="s">
        <v>189</v>
      </c>
      <c r="J108" s="78" t="n">
        <v>900338</v>
      </c>
      <c r="K108" s="301" t="n">
        <v>749</v>
      </c>
      <c r="L108" s="78"/>
      <c r="N108" s="1" t="s">
        <v>190</v>
      </c>
      <c r="O108" s="1" t="n">
        <v>90</v>
      </c>
    </row>
    <row r="109" customFormat="false" ht="12.75" hidden="false" customHeight="false" outlineLevel="0" collapsed="false">
      <c r="A109" s="199"/>
      <c r="B109" s="200"/>
      <c r="C109" s="200"/>
      <c r="D109" s="78"/>
      <c r="E109" s="79"/>
      <c r="F109" s="79"/>
      <c r="G109" s="199"/>
      <c r="H109" s="79"/>
      <c r="I109" s="199"/>
      <c r="J109" s="78"/>
      <c r="K109" s="204"/>
      <c r="L109" s="78"/>
    </row>
    <row r="110" customFormat="false" ht="12.75" hidden="false" customHeight="false" outlineLevel="0" collapsed="false">
      <c r="A110" s="78"/>
      <c r="B110" s="200" t="s">
        <v>27</v>
      </c>
      <c r="C110" s="199" t="n">
        <v>0</v>
      </c>
      <c r="D110" s="78" t="s">
        <v>192</v>
      </c>
      <c r="E110" s="79" t="n">
        <v>0</v>
      </c>
      <c r="F110" s="79" t="n">
        <f aca="false">C110-E110</f>
        <v>0</v>
      </c>
      <c r="G110" s="199" t="n">
        <v>0</v>
      </c>
      <c r="H110" s="79"/>
      <c r="I110" s="199" t="s">
        <v>410</v>
      </c>
      <c r="J110" s="78" t="n">
        <v>3405</v>
      </c>
      <c r="K110" s="301" t="n">
        <v>2429</v>
      </c>
      <c r="L110" s="78"/>
      <c r="N110" s="1" t="s">
        <v>123</v>
      </c>
    </row>
    <row r="111" customFormat="false" ht="12.75" hidden="false" customHeight="false" outlineLevel="0" collapsed="false">
      <c r="A111" s="78"/>
      <c r="B111" s="200" t="s">
        <v>194</v>
      </c>
      <c r="C111" s="299" t="n">
        <v>2.4</v>
      </c>
      <c r="D111" s="78"/>
      <c r="E111" s="79" t="n">
        <v>2.4</v>
      </c>
      <c r="F111" s="79" t="n">
        <f aca="false">C111-E111</f>
        <v>0</v>
      </c>
      <c r="G111" s="199" t="n">
        <v>2.4</v>
      </c>
      <c r="H111" s="79"/>
      <c r="I111" s="199" t="s">
        <v>195</v>
      </c>
      <c r="J111" s="78"/>
      <c r="K111" s="204" t="n">
        <v>0</v>
      </c>
      <c r="L111" s="78" t="n">
        <v>660</v>
      </c>
    </row>
    <row r="112" customFormat="false" ht="12.75" hidden="false" customHeight="false" outlineLevel="0" collapsed="false">
      <c r="A112" s="199" t="s">
        <v>196</v>
      </c>
      <c r="B112" s="200" t="s">
        <v>197</v>
      </c>
      <c r="C112" s="299" t="n">
        <v>0.8</v>
      </c>
      <c r="D112" s="79"/>
      <c r="E112" s="79" t="n">
        <v>0.8</v>
      </c>
      <c r="F112" s="79" t="n">
        <f aca="false">C112-E112</f>
        <v>0</v>
      </c>
      <c r="G112" s="199" t="n">
        <v>0.8</v>
      </c>
      <c r="H112" s="79"/>
      <c r="I112" s="199" t="s">
        <v>198</v>
      </c>
      <c r="J112" s="78" t="n">
        <v>5333</v>
      </c>
      <c r="K112" s="301" t="n">
        <v>250</v>
      </c>
      <c r="L112" s="78" t="s">
        <v>199</v>
      </c>
    </row>
    <row r="113" customFormat="false" ht="12.75" hidden="false" customHeight="false" outlineLevel="0" collapsed="false">
      <c r="A113" s="79"/>
      <c r="B113" s="200" t="s">
        <v>9</v>
      </c>
      <c r="C113" s="299" t="n">
        <v>16.5</v>
      </c>
      <c r="D113" s="79"/>
      <c r="E113" s="79" t="n">
        <v>16.941</v>
      </c>
      <c r="F113" s="79" t="n">
        <f aca="false">C113-E113</f>
        <v>-0.440999999999999</v>
      </c>
      <c r="G113" s="199" t="n">
        <v>16.5</v>
      </c>
      <c r="H113" s="199"/>
      <c r="I113" s="202" t="s">
        <v>200</v>
      </c>
      <c r="J113" s="78" t="n">
        <v>6835</v>
      </c>
      <c r="K113" s="301" t="n">
        <v>24</v>
      </c>
      <c r="L113" s="78"/>
    </row>
    <row r="114" customFormat="false" ht="12.75" hidden="false" customHeight="false" outlineLevel="0" collapsed="false">
      <c r="A114" s="79"/>
      <c r="B114" s="200" t="s">
        <v>11</v>
      </c>
      <c r="C114" s="199" t="n">
        <v>0</v>
      </c>
      <c r="D114" s="79" t="s">
        <v>82</v>
      </c>
      <c r="E114" s="79" t="n">
        <v>0</v>
      </c>
      <c r="F114" s="79" t="n">
        <f aca="false">C114-E114</f>
        <v>0</v>
      </c>
      <c r="G114" s="199" t="n">
        <v>20</v>
      </c>
      <c r="H114" s="79"/>
      <c r="I114" s="202" t="s">
        <v>201</v>
      </c>
      <c r="J114" s="78" t="n">
        <v>4286</v>
      </c>
      <c r="K114" s="301" t="n">
        <v>39</v>
      </c>
      <c r="L114" s="78"/>
    </row>
    <row r="115" customFormat="false" ht="12.75" hidden="false" customHeight="false" outlineLevel="0" collapsed="false">
      <c r="A115" s="79"/>
      <c r="B115" s="200"/>
      <c r="C115" s="199"/>
      <c r="D115" s="79"/>
      <c r="E115" s="79"/>
      <c r="F115" s="79"/>
      <c r="G115" s="199"/>
      <c r="H115" s="79"/>
      <c r="I115" s="202" t="s">
        <v>202</v>
      </c>
      <c r="J115" s="78" t="n">
        <v>9676</v>
      </c>
      <c r="K115" s="302" t="n">
        <v>0</v>
      </c>
      <c r="L115" s="206" t="s">
        <v>203</v>
      </c>
    </row>
    <row r="116" customFormat="false" ht="12.75" hidden="false" customHeight="false" outlineLevel="0" collapsed="false">
      <c r="A116" s="79"/>
      <c r="B116" s="200" t="s">
        <v>204</v>
      </c>
      <c r="C116" s="299" t="n">
        <v>0.025</v>
      </c>
      <c r="D116" s="79"/>
      <c r="E116" s="79" t="n">
        <v>0.025</v>
      </c>
      <c r="F116" s="79" t="n">
        <f aca="false">C116-E116</f>
        <v>0</v>
      </c>
      <c r="G116" s="199" t="n">
        <v>0.025</v>
      </c>
      <c r="H116" s="79"/>
      <c r="I116" s="202" t="s">
        <v>411</v>
      </c>
      <c r="J116" s="78" t="n">
        <v>6480</v>
      </c>
      <c r="K116" s="301" t="n">
        <v>1</v>
      </c>
      <c r="L116" s="206"/>
    </row>
    <row r="117" customFormat="false" ht="12.75" hidden="false" customHeight="false" outlineLevel="0" collapsed="false">
      <c r="A117" s="79"/>
      <c r="B117" s="200" t="s">
        <v>206</v>
      </c>
      <c r="C117" s="199" t="n">
        <v>0</v>
      </c>
      <c r="D117" s="79"/>
      <c r="E117" s="79" t="n">
        <v>1.3</v>
      </c>
      <c r="F117" s="79" t="n">
        <f aca="false">C117-E117</f>
        <v>-1.3</v>
      </c>
      <c r="G117" s="199" t="n">
        <v>1.3</v>
      </c>
      <c r="H117" s="79"/>
      <c r="I117" s="202" t="s">
        <v>205</v>
      </c>
      <c r="J117" s="78" t="n">
        <v>6551</v>
      </c>
      <c r="K117" s="301" t="n">
        <v>100</v>
      </c>
      <c r="L117" s="78"/>
    </row>
    <row r="118" customFormat="false" ht="12.75" hidden="false" customHeight="false" outlineLevel="0" collapsed="false">
      <c r="A118" s="79"/>
      <c r="B118" s="200" t="s">
        <v>208</v>
      </c>
      <c r="C118" s="299" t="n">
        <v>7</v>
      </c>
      <c r="D118" s="79" t="n">
        <v>8</v>
      </c>
      <c r="E118" s="79" t="n">
        <v>7.407</v>
      </c>
      <c r="F118" s="79" t="n">
        <f aca="false">C118-E118</f>
        <v>-0.407</v>
      </c>
      <c r="G118" s="199" t="n">
        <v>8</v>
      </c>
      <c r="H118" s="79"/>
      <c r="I118" s="202" t="s">
        <v>207</v>
      </c>
      <c r="J118" s="78" t="n">
        <v>6373</v>
      </c>
      <c r="K118" s="301" t="n">
        <v>1</v>
      </c>
      <c r="L118" s="78"/>
    </row>
    <row r="119" customFormat="false" ht="12.75" hidden="false" customHeight="false" outlineLevel="0" collapsed="false">
      <c r="A119" s="79"/>
      <c r="B119" s="200"/>
      <c r="C119" s="200"/>
      <c r="D119" s="79"/>
      <c r="E119" s="79"/>
      <c r="F119" s="79"/>
      <c r="G119" s="199"/>
      <c r="H119" s="79"/>
      <c r="I119" s="202" t="s">
        <v>412</v>
      </c>
      <c r="J119" s="78" t="n">
        <v>4056</v>
      </c>
      <c r="K119" s="301" t="n">
        <v>514</v>
      </c>
      <c r="L119" s="78"/>
    </row>
    <row r="120" customFormat="false" ht="12.75" hidden="false" customHeight="false" outlineLevel="0" collapsed="false">
      <c r="A120" s="79"/>
      <c r="B120" s="200" t="s">
        <v>211</v>
      </c>
      <c r="C120" s="303" t="n">
        <v>20</v>
      </c>
      <c r="D120" s="79" t="s">
        <v>413</v>
      </c>
      <c r="E120" s="79" t="n">
        <v>20</v>
      </c>
      <c r="F120" s="79" t="n">
        <f aca="false">C120-E120</f>
        <v>0</v>
      </c>
      <c r="G120" s="199" t="n">
        <v>22.5</v>
      </c>
      <c r="H120" s="78"/>
      <c r="I120" s="202" t="s">
        <v>412</v>
      </c>
      <c r="J120" s="78" t="n">
        <v>6855</v>
      </c>
      <c r="K120" s="301" t="n">
        <v>3</v>
      </c>
      <c r="L120" s="78"/>
    </row>
    <row r="121" customFormat="false" ht="12.75" hidden="false" customHeight="false" outlineLevel="0" collapsed="false">
      <c r="A121" s="79"/>
      <c r="B121" s="200" t="s">
        <v>213</v>
      </c>
      <c r="C121" s="299" t="n">
        <v>3.85</v>
      </c>
      <c r="D121" s="79"/>
      <c r="E121" s="79" t="n">
        <v>3.85</v>
      </c>
      <c r="F121" s="79" t="n">
        <f aca="false">C121-E121</f>
        <v>0</v>
      </c>
      <c r="G121" s="199" t="n">
        <v>3.85</v>
      </c>
      <c r="H121" s="78"/>
      <c r="I121" s="202" t="s">
        <v>209</v>
      </c>
      <c r="J121" s="78" t="n">
        <v>4132</v>
      </c>
      <c r="K121" s="301" t="n">
        <v>154</v>
      </c>
      <c r="L121" s="78" t="n">
        <v>11</v>
      </c>
    </row>
    <row r="122" customFormat="false" ht="12.75" hidden="false" customHeight="false" outlineLevel="0" collapsed="false">
      <c r="A122" s="79"/>
      <c r="B122" s="200" t="s">
        <v>15</v>
      </c>
      <c r="C122" s="200" t="n">
        <v>0</v>
      </c>
      <c r="D122" s="79"/>
      <c r="E122" s="79" t="n">
        <v>0</v>
      </c>
      <c r="F122" s="79" t="n">
        <f aca="false">C122-E122</f>
        <v>0</v>
      </c>
      <c r="G122" s="199" t="n">
        <v>62</v>
      </c>
      <c r="H122" s="78"/>
      <c r="I122" s="202" t="s">
        <v>210</v>
      </c>
      <c r="J122" s="78" t="n">
        <v>4120</v>
      </c>
      <c r="K122" s="301" t="n">
        <v>821</v>
      </c>
      <c r="L122" s="78"/>
    </row>
    <row r="123" customFormat="false" ht="12.75" hidden="false" customHeight="false" outlineLevel="0" collapsed="false">
      <c r="A123" s="79"/>
      <c r="B123" s="200" t="s">
        <v>216</v>
      </c>
      <c r="C123" s="299" t="n">
        <v>0.025</v>
      </c>
      <c r="D123" s="79"/>
      <c r="E123" s="79" t="n">
        <v>0.025</v>
      </c>
      <c r="F123" s="79" t="n">
        <f aca="false">C123-E123</f>
        <v>0</v>
      </c>
      <c r="G123" s="199" t="n">
        <v>0.025</v>
      </c>
      <c r="H123" s="78"/>
      <c r="I123" s="202" t="s">
        <v>99</v>
      </c>
      <c r="J123" s="78" t="n">
        <v>639</v>
      </c>
      <c r="K123" s="301" t="n">
        <v>500</v>
      </c>
      <c r="L123" s="78"/>
    </row>
    <row r="124" customFormat="false" ht="12.75" hidden="false" customHeight="false" outlineLevel="0" collapsed="false">
      <c r="A124" s="79"/>
      <c r="B124" s="200" t="s">
        <v>218</v>
      </c>
      <c r="C124" s="299" t="n">
        <v>0.05</v>
      </c>
      <c r="D124" s="79"/>
      <c r="E124" s="79" t="n">
        <v>0.05</v>
      </c>
      <c r="F124" s="79" t="n">
        <f aca="false">C124-E124</f>
        <v>0</v>
      </c>
      <c r="G124" s="199" t="n">
        <v>0.05</v>
      </c>
      <c r="H124" s="78"/>
      <c r="I124" s="202" t="s">
        <v>212</v>
      </c>
      <c r="J124" s="78" t="n">
        <v>6840</v>
      </c>
      <c r="K124" s="301" t="n">
        <v>1317</v>
      </c>
      <c r="L124" s="78"/>
    </row>
    <row r="125" customFormat="false" ht="12.75" hidden="false" customHeight="false" outlineLevel="0" collapsed="false">
      <c r="A125" s="79"/>
      <c r="B125" s="200" t="s">
        <v>220</v>
      </c>
      <c r="C125" s="299" t="n">
        <v>13</v>
      </c>
      <c r="D125" s="79" t="n">
        <v>11</v>
      </c>
      <c r="E125" s="79" t="n">
        <v>4.665</v>
      </c>
      <c r="F125" s="79" t="n">
        <f aca="false">C125-E125</f>
        <v>8.335</v>
      </c>
      <c r="G125" s="199" t="n">
        <v>6</v>
      </c>
      <c r="H125" s="78"/>
      <c r="I125" s="202"/>
      <c r="J125" s="78"/>
      <c r="K125" s="202"/>
      <c r="L125" s="78"/>
    </row>
    <row r="126" customFormat="false" ht="12.75" hidden="false" customHeight="false" outlineLevel="0" collapsed="false">
      <c r="A126" s="79"/>
      <c r="B126" s="200" t="s">
        <v>222</v>
      </c>
      <c r="C126" s="299" t="n">
        <v>0.419</v>
      </c>
      <c r="D126" s="78"/>
      <c r="E126" s="79" t="n">
        <v>0.419</v>
      </c>
      <c r="F126" s="79" t="n">
        <f aca="false">C126-E126</f>
        <v>0</v>
      </c>
      <c r="G126" s="199" t="n">
        <v>0.419</v>
      </c>
      <c r="H126" s="78"/>
      <c r="I126" s="202" t="s">
        <v>215</v>
      </c>
      <c r="J126" s="78" t="n">
        <v>6519</v>
      </c>
      <c r="K126" s="301" t="n">
        <v>2</v>
      </c>
      <c r="L126" s="78"/>
    </row>
    <row r="127" customFormat="false" ht="12.75" hidden="false" customHeight="false" outlineLevel="0" collapsed="false">
      <c r="A127" s="79"/>
      <c r="B127" s="200"/>
      <c r="C127" s="200"/>
      <c r="D127" s="78"/>
      <c r="E127" s="79"/>
      <c r="F127" s="79"/>
      <c r="G127" s="199"/>
      <c r="H127" s="78"/>
      <c r="I127" s="202" t="s">
        <v>217</v>
      </c>
      <c r="J127" s="78" t="n">
        <v>5502</v>
      </c>
      <c r="K127" s="301" t="n">
        <v>37</v>
      </c>
      <c r="L127" s="78"/>
    </row>
    <row r="128" customFormat="false" ht="12.75" hidden="false" customHeight="false" outlineLevel="0" collapsed="false">
      <c r="A128" s="78"/>
      <c r="B128" s="200" t="s">
        <v>225</v>
      </c>
      <c r="C128" s="299" t="n">
        <v>5</v>
      </c>
      <c r="D128" s="78"/>
      <c r="E128" s="79" t="n">
        <v>5</v>
      </c>
      <c r="F128" s="79" t="n">
        <f aca="false">C128-E128</f>
        <v>0</v>
      </c>
      <c r="G128" s="199" t="n">
        <v>5</v>
      </c>
      <c r="H128" s="78"/>
      <c r="I128" s="202" t="s">
        <v>219</v>
      </c>
      <c r="J128" s="78" t="n">
        <v>6789</v>
      </c>
      <c r="K128" s="301" t="n">
        <v>12500</v>
      </c>
      <c r="L128" s="78"/>
    </row>
    <row r="129" customFormat="false" ht="12.75" hidden="false" customHeight="false" outlineLevel="0" collapsed="false">
      <c r="A129" s="78"/>
      <c r="B129" s="200" t="s">
        <v>227</v>
      </c>
      <c r="C129" s="199" t="n">
        <v>0</v>
      </c>
      <c r="D129" s="78"/>
      <c r="E129" s="79" t="n">
        <v>0</v>
      </c>
      <c r="F129" s="79" t="n">
        <f aca="false">C129-E129</f>
        <v>0</v>
      </c>
      <c r="G129" s="199" t="n">
        <v>20</v>
      </c>
      <c r="H129" s="78"/>
      <c r="I129" s="202" t="s">
        <v>221</v>
      </c>
      <c r="J129" s="209" t="n">
        <v>6545</v>
      </c>
      <c r="K129" s="301" t="n">
        <v>68</v>
      </c>
      <c r="L129" s="78"/>
    </row>
    <row r="130" customFormat="false" ht="12.75" hidden="false" customHeight="false" outlineLevel="0" collapsed="false">
      <c r="A130" s="78"/>
      <c r="B130" s="200" t="s">
        <v>228</v>
      </c>
      <c r="C130" s="299" t="n">
        <v>10</v>
      </c>
      <c r="D130" s="78"/>
      <c r="E130" s="79" t="n">
        <v>9.562</v>
      </c>
      <c r="F130" s="79" t="n">
        <f aca="false">C130-E130</f>
        <v>0.438000000000001</v>
      </c>
      <c r="G130" s="199" t="n">
        <v>10</v>
      </c>
      <c r="H130" s="78"/>
      <c r="I130" s="202" t="s">
        <v>221</v>
      </c>
      <c r="J130" s="209" t="n">
        <v>275</v>
      </c>
      <c r="K130" s="301" t="n">
        <v>82</v>
      </c>
      <c r="L130" s="78" t="s">
        <v>224</v>
      </c>
    </row>
    <row r="131" customFormat="false" ht="12.75" hidden="false" customHeight="false" outlineLevel="0" collapsed="false">
      <c r="A131" s="78"/>
      <c r="B131" s="200" t="s">
        <v>229</v>
      </c>
      <c r="C131" s="299" t="n">
        <v>0.1</v>
      </c>
      <c r="D131" s="78"/>
      <c r="E131" s="79" t="n">
        <v>0.1</v>
      </c>
      <c r="F131" s="79" t="n">
        <f aca="false">C131-E131</f>
        <v>0</v>
      </c>
      <c r="G131" s="199" t="n">
        <v>0.1</v>
      </c>
      <c r="H131" s="78"/>
      <c r="I131" s="202" t="s">
        <v>223</v>
      </c>
      <c r="J131" s="209" t="n">
        <v>9812</v>
      </c>
      <c r="K131" s="301" t="n">
        <v>471</v>
      </c>
      <c r="L131" s="78"/>
    </row>
    <row r="132" customFormat="false" ht="12.75" hidden="false" customHeight="false" outlineLevel="0" collapsed="false">
      <c r="A132" s="78"/>
      <c r="B132" s="200" t="s">
        <v>58</v>
      </c>
      <c r="C132" s="299" t="n">
        <v>2</v>
      </c>
      <c r="D132" s="78"/>
      <c r="E132" s="79" t="n">
        <v>2</v>
      </c>
      <c r="F132" s="79" t="n">
        <f aca="false">C132-E132</f>
        <v>0</v>
      </c>
      <c r="G132" s="199" t="n">
        <v>2</v>
      </c>
      <c r="H132" s="78"/>
      <c r="I132" s="202" t="s">
        <v>226</v>
      </c>
      <c r="J132" s="209" t="n">
        <v>6387</v>
      </c>
      <c r="K132" s="301" t="n">
        <v>400</v>
      </c>
      <c r="L132" s="78"/>
    </row>
    <row r="133" customFormat="false" ht="12.75" hidden="false" customHeight="false" outlineLevel="0" collapsed="false">
      <c r="A133" s="78"/>
      <c r="B133" s="200" t="s">
        <v>232</v>
      </c>
      <c r="C133" s="299" t="n">
        <v>0.02</v>
      </c>
      <c r="D133" s="78"/>
      <c r="E133" s="79" t="n">
        <v>0.02</v>
      </c>
      <c r="F133" s="79" t="n">
        <f aca="false">C133-E133</f>
        <v>0</v>
      </c>
      <c r="G133" s="199" t="n">
        <v>0.02</v>
      </c>
      <c r="H133" s="78"/>
      <c r="I133" s="202" t="s">
        <v>226</v>
      </c>
      <c r="J133" s="209" t="n">
        <v>6347</v>
      </c>
      <c r="K133" s="301" t="n">
        <v>186</v>
      </c>
      <c r="L133" s="78"/>
    </row>
    <row r="134" customFormat="false" ht="12.75" hidden="false" customHeight="false" outlineLevel="0" collapsed="false">
      <c r="A134" s="78"/>
      <c r="B134" s="200"/>
      <c r="C134" s="199"/>
      <c r="D134" s="78"/>
      <c r="E134" s="79" t="n">
        <v>0</v>
      </c>
      <c r="F134" s="79" t="n">
        <f aca="false">C134-E134</f>
        <v>0</v>
      </c>
      <c r="G134" s="199" t="n">
        <v>10</v>
      </c>
      <c r="H134" s="78"/>
      <c r="I134" s="202" t="s">
        <v>226</v>
      </c>
      <c r="J134" s="209" t="n">
        <v>5892</v>
      </c>
      <c r="K134" s="301" t="n">
        <v>105</v>
      </c>
      <c r="L134" s="78"/>
    </row>
    <row r="135" customFormat="false" ht="12.75" hidden="false" customHeight="false" outlineLevel="0" collapsed="false">
      <c r="A135" s="78"/>
      <c r="B135" s="200" t="s">
        <v>235</v>
      </c>
      <c r="C135" s="299" t="n">
        <v>0.556</v>
      </c>
      <c r="D135" s="78"/>
      <c r="E135" s="79" t="n">
        <v>0.5</v>
      </c>
      <c r="F135" s="79" t="n">
        <f aca="false">C135-E135</f>
        <v>0.0560000000000001</v>
      </c>
      <c r="G135" s="199" t="n">
        <v>0.705</v>
      </c>
      <c r="H135" s="78"/>
      <c r="I135" s="202" t="s">
        <v>226</v>
      </c>
      <c r="J135" s="209" t="n">
        <v>6757</v>
      </c>
      <c r="K135" s="301" t="n">
        <v>194</v>
      </c>
      <c r="L135" s="78"/>
    </row>
    <row r="136" customFormat="false" ht="12.75" hidden="false" customHeight="false" outlineLevel="0" collapsed="false">
      <c r="A136" s="78"/>
      <c r="B136" s="200" t="s">
        <v>53</v>
      </c>
      <c r="C136" s="299" t="n">
        <v>10</v>
      </c>
      <c r="D136" s="78"/>
      <c r="E136" s="79" t="n">
        <v>10.922</v>
      </c>
      <c r="F136" s="79" t="n">
        <f aca="false">C136-E136</f>
        <v>-0.922000000000001</v>
      </c>
      <c r="G136" s="199" t="n">
        <v>8.5</v>
      </c>
      <c r="H136" s="78"/>
      <c r="I136" s="202" t="s">
        <v>231</v>
      </c>
      <c r="J136" s="78" t="n">
        <v>6598</v>
      </c>
      <c r="K136" s="301" t="n">
        <v>235</v>
      </c>
      <c r="L136" s="78"/>
    </row>
    <row r="137" customFormat="false" ht="12.75" hidden="false" customHeight="false" outlineLevel="0" collapsed="false">
      <c r="A137" s="78"/>
      <c r="B137" s="200" t="s">
        <v>237</v>
      </c>
      <c r="C137" s="299" t="n">
        <v>2</v>
      </c>
      <c r="D137" s="78"/>
      <c r="E137" s="79" t="n">
        <v>2</v>
      </c>
      <c r="F137" s="79" t="n">
        <f aca="false">C137-E137</f>
        <v>0</v>
      </c>
      <c r="G137" s="199" t="n">
        <v>0</v>
      </c>
      <c r="H137" s="78"/>
      <c r="I137" s="202" t="s">
        <v>233</v>
      </c>
      <c r="J137" s="78" t="n">
        <v>6392</v>
      </c>
      <c r="K137" s="301" t="n">
        <v>65</v>
      </c>
      <c r="L137" s="78" t="n">
        <v>1287</v>
      </c>
    </row>
    <row r="138" customFormat="false" ht="12.75" hidden="false" customHeight="false" outlineLevel="0" collapsed="false">
      <c r="A138" s="78"/>
      <c r="B138" s="200" t="s">
        <v>21</v>
      </c>
      <c r="C138" s="299" t="n">
        <v>33</v>
      </c>
      <c r="D138" s="78"/>
      <c r="E138" s="79" t="n">
        <v>42.671</v>
      </c>
      <c r="F138" s="79" t="n">
        <f aca="false">C138-E138</f>
        <v>-9.671</v>
      </c>
      <c r="G138" s="199" t="n">
        <v>30</v>
      </c>
      <c r="H138" s="78"/>
      <c r="I138" s="202" t="s">
        <v>234</v>
      </c>
      <c r="J138" s="78" t="n">
        <v>440</v>
      </c>
      <c r="K138" s="301" t="n">
        <v>444</v>
      </c>
      <c r="L138" s="78" t="n">
        <v>4770</v>
      </c>
    </row>
    <row r="139" customFormat="false" ht="12.75" hidden="false" customHeight="false" outlineLevel="0" collapsed="false">
      <c r="A139" s="78"/>
      <c r="B139" s="304" t="s">
        <v>19</v>
      </c>
      <c r="C139" s="299" t="n">
        <v>65</v>
      </c>
      <c r="D139" s="78" t="n">
        <v>65</v>
      </c>
      <c r="E139" s="79" t="n">
        <v>63.607</v>
      </c>
      <c r="F139" s="79" t="n">
        <f aca="false">C139-E139</f>
        <v>1.393</v>
      </c>
      <c r="G139" s="199" t="n">
        <v>65</v>
      </c>
      <c r="H139" s="78"/>
      <c r="I139" s="202" t="s">
        <v>135</v>
      </c>
      <c r="J139" s="78" t="n">
        <v>6173</v>
      </c>
      <c r="K139" s="302" t="n">
        <v>975</v>
      </c>
      <c r="L139" s="78"/>
    </row>
    <row r="140" customFormat="false" ht="12.75" hidden="false" customHeight="false" outlineLevel="0" collapsed="false">
      <c r="A140" s="78"/>
      <c r="B140" s="200" t="s">
        <v>242</v>
      </c>
      <c r="C140" s="299" t="n">
        <v>0.18</v>
      </c>
      <c r="D140" s="78"/>
      <c r="E140" s="79" t="n">
        <v>0.18</v>
      </c>
      <c r="F140" s="79" t="n">
        <f aca="false">C140-E140</f>
        <v>0</v>
      </c>
      <c r="G140" s="199" t="n">
        <v>0.18</v>
      </c>
      <c r="H140" s="78"/>
      <c r="I140" s="202" t="s">
        <v>236</v>
      </c>
      <c r="J140" s="78"/>
      <c r="K140" s="202" t="n">
        <v>0</v>
      </c>
      <c r="L140" s="78"/>
    </row>
    <row r="141" customFormat="false" ht="12.75" hidden="false" customHeight="false" outlineLevel="0" collapsed="false">
      <c r="A141" s="78"/>
      <c r="B141" s="210" t="s">
        <v>244</v>
      </c>
      <c r="C141" s="305" t="n">
        <v>2.5</v>
      </c>
      <c r="D141" s="78"/>
      <c r="E141" s="79" t="n">
        <v>0</v>
      </c>
      <c r="F141" s="79" t="n">
        <f aca="false">C141-E141</f>
        <v>2.5</v>
      </c>
      <c r="G141" s="199" t="n">
        <v>1.991</v>
      </c>
      <c r="H141" s="78"/>
      <c r="I141" s="202" t="s">
        <v>238</v>
      </c>
      <c r="J141" s="78" t="n">
        <v>4132</v>
      </c>
      <c r="K141" s="301" t="n">
        <v>7500</v>
      </c>
      <c r="L141" s="78"/>
    </row>
    <row r="142" customFormat="false" ht="12.75" hidden="false" customHeight="false" outlineLevel="0" collapsed="false">
      <c r="A142" s="78"/>
      <c r="B142" s="200" t="s">
        <v>23</v>
      </c>
      <c r="C142" s="299" t="n">
        <v>30</v>
      </c>
      <c r="D142" s="78"/>
      <c r="E142" s="79" t="n">
        <v>26.359</v>
      </c>
      <c r="F142" s="79" t="n">
        <f aca="false">C142-E142</f>
        <v>3.641</v>
      </c>
      <c r="G142" s="199" t="n">
        <v>45</v>
      </c>
      <c r="H142" s="78"/>
      <c r="I142" s="202" t="s">
        <v>239</v>
      </c>
      <c r="J142" s="209" t="s">
        <v>240</v>
      </c>
      <c r="K142" s="301" t="n">
        <v>3506</v>
      </c>
      <c r="L142" s="78"/>
    </row>
    <row r="143" customFormat="false" ht="12.75" hidden="false" customHeight="false" outlineLevel="0" collapsed="false">
      <c r="A143" s="78"/>
      <c r="B143" s="200"/>
      <c r="C143" s="200"/>
      <c r="D143" s="78"/>
      <c r="E143" s="79"/>
      <c r="F143" s="79"/>
      <c r="G143" s="199"/>
      <c r="H143" s="78"/>
      <c r="I143" s="202" t="s">
        <v>241</v>
      </c>
      <c r="J143" s="78" t="n">
        <v>3405</v>
      </c>
      <c r="K143" s="202" t="n">
        <v>0</v>
      </c>
      <c r="L143" s="78"/>
    </row>
    <row r="144" customFormat="false" ht="12.75" hidden="false" customHeight="false" outlineLevel="0" collapsed="false">
      <c r="A144" s="78"/>
      <c r="B144" s="200" t="s">
        <v>66</v>
      </c>
      <c r="C144" s="200" t="n">
        <v>0</v>
      </c>
      <c r="D144" s="78"/>
      <c r="E144" s="79" t="n">
        <v>6.142</v>
      </c>
      <c r="F144" s="79" t="n">
        <f aca="false">C144-E144</f>
        <v>-6.142</v>
      </c>
      <c r="G144" s="199" t="n">
        <v>6</v>
      </c>
      <c r="H144" s="78"/>
      <c r="I144" s="202" t="s">
        <v>243</v>
      </c>
      <c r="J144" s="78" t="n">
        <v>6353</v>
      </c>
      <c r="K144" s="301" t="n">
        <v>4000</v>
      </c>
      <c r="L144" s="78" t="s">
        <v>224</v>
      </c>
    </row>
    <row r="145" customFormat="false" ht="12.75" hidden="false" customHeight="false" outlineLevel="0" collapsed="false">
      <c r="A145" s="78"/>
      <c r="B145" s="200" t="s">
        <v>250</v>
      </c>
      <c r="C145" s="306" t="n">
        <v>11</v>
      </c>
      <c r="D145" s="206" t="s">
        <v>414</v>
      </c>
      <c r="E145" s="79" t="n">
        <v>11.156</v>
      </c>
      <c r="F145" s="79" t="n">
        <f aca="false">C145-E145</f>
        <v>-0.156000000000001</v>
      </c>
      <c r="G145" s="199" t="n">
        <v>11.5</v>
      </c>
      <c r="H145" s="78"/>
      <c r="I145" s="202" t="s">
        <v>245</v>
      </c>
      <c r="J145" s="78" t="n">
        <v>6899</v>
      </c>
      <c r="K145" s="301" t="n">
        <v>1</v>
      </c>
      <c r="L145" s="78"/>
    </row>
    <row r="146" customFormat="false" ht="12.75" hidden="false" customHeight="false" outlineLevel="0" collapsed="false">
      <c r="A146" s="78"/>
      <c r="B146" s="200" t="s">
        <v>252</v>
      </c>
      <c r="C146" s="299" t="n">
        <v>0.5</v>
      </c>
      <c r="D146" s="78"/>
      <c r="E146" s="79" t="n">
        <v>0.5</v>
      </c>
      <c r="F146" s="79" t="n">
        <f aca="false">C146-E146</f>
        <v>0</v>
      </c>
      <c r="G146" s="199" t="n">
        <v>0.3</v>
      </c>
      <c r="H146" s="78"/>
      <c r="I146" s="202"/>
      <c r="J146" s="78"/>
      <c r="K146" s="204"/>
      <c r="L146" s="78"/>
    </row>
    <row r="147" customFormat="false" ht="12.75" hidden="false" customHeight="false" outlineLevel="0" collapsed="false">
      <c r="A147" s="78"/>
      <c r="B147" s="200" t="s">
        <v>254</v>
      </c>
      <c r="C147" s="299" t="n">
        <v>0.215</v>
      </c>
      <c r="D147" s="78"/>
      <c r="E147" s="79" t="n">
        <v>0.215</v>
      </c>
      <c r="F147" s="79" t="n">
        <f aca="false">C147-E147</f>
        <v>0</v>
      </c>
      <c r="G147" s="199" t="n">
        <v>0.215</v>
      </c>
      <c r="H147" s="78"/>
      <c r="I147" s="202" t="s">
        <v>247</v>
      </c>
      <c r="J147" s="211" t="s">
        <v>248</v>
      </c>
      <c r="K147" s="301" t="n">
        <v>20</v>
      </c>
      <c r="L147" s="78" t="n">
        <v>2000</v>
      </c>
    </row>
    <row r="148" customFormat="false" ht="12.75" hidden="false" customHeight="false" outlineLevel="0" collapsed="false">
      <c r="A148" s="78"/>
      <c r="B148" s="200" t="s">
        <v>62</v>
      </c>
      <c r="C148" s="299" t="n">
        <v>0.8</v>
      </c>
      <c r="D148" s="78"/>
      <c r="E148" s="79" t="n">
        <v>0.9</v>
      </c>
      <c r="F148" s="79" t="n">
        <f aca="false">C148-E148</f>
        <v>-0.1</v>
      </c>
      <c r="G148" s="199" t="n">
        <v>0.9</v>
      </c>
      <c r="H148" s="78"/>
      <c r="I148" s="202" t="s">
        <v>249</v>
      </c>
      <c r="J148" s="78" t="n">
        <v>7491</v>
      </c>
      <c r="K148" s="301" t="n">
        <v>1000</v>
      </c>
      <c r="L148" s="78"/>
    </row>
    <row r="149" customFormat="false" ht="12.75" hidden="false" customHeight="false" outlineLevel="0" collapsed="false">
      <c r="A149" s="78"/>
      <c r="B149" s="200" t="s">
        <v>259</v>
      </c>
      <c r="C149" s="199" t="n">
        <v>0</v>
      </c>
      <c r="D149" s="78"/>
      <c r="E149" s="79" t="n">
        <v>0</v>
      </c>
      <c r="F149" s="79" t="n">
        <f aca="false">C149-E149</f>
        <v>0</v>
      </c>
      <c r="G149" s="199" t="n">
        <v>0.08</v>
      </c>
      <c r="H149" s="78"/>
      <c r="I149" s="202" t="s">
        <v>251</v>
      </c>
      <c r="J149" s="78" t="n">
        <v>6173</v>
      </c>
      <c r="K149" s="212" t="n">
        <v>0</v>
      </c>
      <c r="L149" s="78"/>
    </row>
    <row r="150" customFormat="false" ht="12.75" hidden="false" customHeight="false" outlineLevel="0" collapsed="false">
      <c r="A150" s="78"/>
      <c r="B150" s="200" t="s">
        <v>261</v>
      </c>
      <c r="C150" s="200" t="n">
        <v>0</v>
      </c>
      <c r="D150" s="78"/>
      <c r="E150" s="79" t="n">
        <v>0</v>
      </c>
      <c r="F150" s="79" t="n">
        <f aca="false">C150-E150</f>
        <v>0</v>
      </c>
      <c r="G150" s="199" t="n">
        <v>0</v>
      </c>
      <c r="H150" s="78"/>
      <c r="I150" s="202" t="s">
        <v>253</v>
      </c>
      <c r="J150" s="78" t="n">
        <v>6210</v>
      </c>
      <c r="K150" s="301" t="n">
        <v>7500</v>
      </c>
      <c r="L150" s="78" t="n">
        <v>7307</v>
      </c>
    </row>
    <row r="151" customFormat="false" ht="12.75" hidden="false" customHeight="false" outlineLevel="0" collapsed="false">
      <c r="A151" s="78"/>
      <c r="B151" s="200" t="s">
        <v>263</v>
      </c>
      <c r="C151" s="299" t="n">
        <v>1</v>
      </c>
      <c r="D151" s="78"/>
      <c r="E151" s="79" t="n">
        <v>1</v>
      </c>
      <c r="F151" s="79" t="n">
        <f aca="false">C151-E151</f>
        <v>0</v>
      </c>
      <c r="G151" s="199" t="n">
        <v>1.5</v>
      </c>
      <c r="H151" s="78"/>
      <c r="I151" s="202" t="s">
        <v>255</v>
      </c>
      <c r="J151" s="78" t="n">
        <v>5097</v>
      </c>
      <c r="K151" s="204" t="n">
        <v>0</v>
      </c>
      <c r="L151" s="78"/>
    </row>
    <row r="152" customFormat="false" ht="12.75" hidden="false" customHeight="false" outlineLevel="0" collapsed="false">
      <c r="A152" s="78"/>
      <c r="B152" s="200" t="s">
        <v>265</v>
      </c>
      <c r="C152" s="299" t="n">
        <v>1.5</v>
      </c>
      <c r="D152" s="78"/>
      <c r="E152" s="79" t="n">
        <v>1.5</v>
      </c>
      <c r="F152" s="79" t="n">
        <f aca="false">C152-E152</f>
        <v>0</v>
      </c>
      <c r="G152" s="199" t="n">
        <v>1</v>
      </c>
      <c r="H152" s="78"/>
      <c r="I152" s="202" t="s">
        <v>256</v>
      </c>
      <c r="J152" s="78" t="s">
        <v>415</v>
      </c>
      <c r="K152" s="301" t="n">
        <v>60</v>
      </c>
      <c r="L152" s="78"/>
    </row>
    <row r="153" customFormat="false" ht="12.75" hidden="false" customHeight="false" outlineLevel="0" collapsed="false">
      <c r="A153" s="78"/>
      <c r="B153" s="200" t="s">
        <v>267</v>
      </c>
      <c r="C153" s="299" t="n">
        <v>1.4</v>
      </c>
      <c r="D153" s="78"/>
      <c r="E153" s="79" t="n">
        <v>1.4</v>
      </c>
      <c r="F153" s="79" t="n">
        <f aca="false">C153-E153</f>
        <v>0</v>
      </c>
      <c r="G153" s="199" t="n">
        <v>1.5</v>
      </c>
      <c r="H153" s="78"/>
      <c r="I153" s="202" t="s">
        <v>260</v>
      </c>
      <c r="J153" s="211" t="s">
        <v>248</v>
      </c>
      <c r="K153" s="301" t="n">
        <v>800</v>
      </c>
      <c r="L153" s="78"/>
    </row>
    <row r="154" customFormat="false" ht="12.75" hidden="false" customHeight="false" outlineLevel="0" collapsed="false">
      <c r="A154" s="78"/>
      <c r="B154" s="200" t="s">
        <v>270</v>
      </c>
      <c r="C154" s="299" t="n">
        <v>20</v>
      </c>
      <c r="D154" s="202"/>
      <c r="E154" s="79" t="n">
        <v>25.217</v>
      </c>
      <c r="F154" s="79" t="n">
        <f aca="false">C154-E154</f>
        <v>-5.217</v>
      </c>
      <c r="G154" s="199" t="n">
        <v>1.4</v>
      </c>
      <c r="H154" s="78"/>
      <c r="I154" s="202"/>
      <c r="J154" s="78"/>
      <c r="K154" s="204"/>
      <c r="L154" s="78"/>
    </row>
    <row r="155" customFormat="false" ht="12.75" hidden="false" customHeight="false" outlineLevel="0" collapsed="false">
      <c r="A155" s="78"/>
      <c r="B155" s="200" t="s">
        <v>272</v>
      </c>
      <c r="C155" s="299" t="n">
        <v>5.46</v>
      </c>
      <c r="D155" s="78"/>
      <c r="E155" s="79" t="n">
        <v>5.975</v>
      </c>
      <c r="F155" s="79" t="n">
        <f aca="false">C155-E155</f>
        <v>-0.515</v>
      </c>
      <c r="G155" s="199" t="n">
        <v>25</v>
      </c>
      <c r="H155" s="78"/>
      <c r="I155" s="202" t="s">
        <v>264</v>
      </c>
      <c r="J155" s="78" t="n">
        <v>5310</v>
      </c>
      <c r="K155" s="301" t="n">
        <v>138</v>
      </c>
      <c r="L155" s="78"/>
    </row>
    <row r="156" customFormat="false" ht="12.75" hidden="false" customHeight="false" outlineLevel="0" collapsed="false">
      <c r="A156" s="78"/>
      <c r="B156" s="200" t="s">
        <v>274</v>
      </c>
      <c r="C156" s="299" t="n">
        <v>15</v>
      </c>
      <c r="D156" s="78"/>
      <c r="E156" s="79" t="n">
        <v>10</v>
      </c>
      <c r="F156" s="79" t="n">
        <f aca="false">C156-E156</f>
        <v>5</v>
      </c>
      <c r="G156" s="199" t="n">
        <v>5.975</v>
      </c>
      <c r="H156" s="78"/>
      <c r="I156" s="202"/>
      <c r="J156" s="78"/>
      <c r="K156" s="302"/>
      <c r="L156" s="78"/>
    </row>
    <row r="157" customFormat="false" ht="12.75" hidden="false" customHeight="false" outlineLevel="0" collapsed="false">
      <c r="A157" s="78"/>
      <c r="B157" s="200" t="s">
        <v>276</v>
      </c>
      <c r="C157" s="299" t="n">
        <v>0.05</v>
      </c>
      <c r="D157" s="78"/>
      <c r="E157" s="79" t="n">
        <v>0.05</v>
      </c>
      <c r="F157" s="79" t="n">
        <f aca="false">C157-E157</f>
        <v>0</v>
      </c>
      <c r="G157" s="199" t="n">
        <v>10</v>
      </c>
      <c r="H157" s="78"/>
      <c r="I157" s="202" t="s">
        <v>268</v>
      </c>
      <c r="J157" s="78" t="s">
        <v>416</v>
      </c>
      <c r="K157" s="301" t="n">
        <v>120</v>
      </c>
      <c r="L157" s="78"/>
    </row>
    <row r="158" customFormat="false" ht="12.75" hidden="false" customHeight="false" outlineLevel="0" collapsed="false">
      <c r="A158" s="78"/>
      <c r="B158" s="200" t="s">
        <v>278</v>
      </c>
      <c r="C158" s="299" t="n">
        <v>0.6</v>
      </c>
      <c r="D158" s="78"/>
      <c r="E158" s="79" t="n">
        <v>0.713</v>
      </c>
      <c r="F158" s="79" t="n">
        <f aca="false">C158-E158</f>
        <v>-0.113</v>
      </c>
      <c r="G158" s="199" t="n">
        <v>0.05</v>
      </c>
      <c r="H158" s="78"/>
      <c r="I158" s="202" t="s">
        <v>268</v>
      </c>
      <c r="J158" s="78" t="n">
        <v>6534</v>
      </c>
      <c r="K158" s="301" t="n">
        <v>2038</v>
      </c>
      <c r="L158" s="78"/>
    </row>
    <row r="159" customFormat="false" ht="12.75" hidden="false" customHeight="false" outlineLevel="0" collapsed="false">
      <c r="A159" s="78"/>
      <c r="B159" s="200" t="s">
        <v>280</v>
      </c>
      <c r="C159" s="299" t="n">
        <v>0.24</v>
      </c>
      <c r="D159" s="78"/>
      <c r="E159" s="79" t="n">
        <v>1.2</v>
      </c>
      <c r="F159" s="79" t="n">
        <f aca="false">C159-E159</f>
        <v>-0.96</v>
      </c>
      <c r="G159" s="199" t="n">
        <v>0.713</v>
      </c>
      <c r="H159" s="78"/>
      <c r="I159" s="202" t="s">
        <v>273</v>
      </c>
      <c r="J159" s="78" t="n">
        <v>6614</v>
      </c>
      <c r="K159" s="204" t="n">
        <v>0</v>
      </c>
      <c r="L159" s="78"/>
    </row>
    <row r="160" customFormat="false" ht="12.75" hidden="false" customHeight="false" outlineLevel="0" collapsed="false">
      <c r="A160" s="78"/>
      <c r="B160" s="200" t="s">
        <v>119</v>
      </c>
      <c r="C160" s="307" t="n">
        <v>5</v>
      </c>
      <c r="D160" s="78"/>
      <c r="E160" s="79" t="n">
        <v>0</v>
      </c>
      <c r="F160" s="79" t="n">
        <f aca="false">C160-E160</f>
        <v>5</v>
      </c>
      <c r="G160" s="199" t="n">
        <v>1.2</v>
      </c>
      <c r="H160" s="78"/>
      <c r="I160" s="202" t="s">
        <v>275</v>
      </c>
      <c r="J160" s="78" t="n">
        <v>6542</v>
      </c>
      <c r="K160" s="302" t="n">
        <v>1</v>
      </c>
      <c r="L160" s="78"/>
    </row>
    <row r="161" customFormat="false" ht="12.75" hidden="false" customHeight="false" outlineLevel="0" collapsed="false">
      <c r="A161" s="78"/>
      <c r="B161" s="200" t="s">
        <v>283</v>
      </c>
      <c r="C161" s="299" t="n">
        <v>10</v>
      </c>
      <c r="D161" s="78"/>
      <c r="E161" s="79" t="n">
        <v>10</v>
      </c>
      <c r="F161" s="79" t="n">
        <f aca="false">C161-E161</f>
        <v>0</v>
      </c>
      <c r="G161" s="199" t="n">
        <v>5</v>
      </c>
      <c r="H161" s="78"/>
      <c r="I161" s="202" t="s">
        <v>277</v>
      </c>
      <c r="J161" s="78" t="n">
        <v>5310</v>
      </c>
      <c r="K161" s="301" t="n">
        <v>184</v>
      </c>
      <c r="L161" s="78"/>
    </row>
    <row r="162" customFormat="false" ht="12.75" hidden="false" customHeight="false" outlineLevel="0" collapsed="false">
      <c r="A162" s="78"/>
      <c r="B162" s="200"/>
      <c r="C162" s="200"/>
      <c r="D162" s="78"/>
      <c r="E162" s="79"/>
      <c r="F162" s="79"/>
      <c r="G162" s="199"/>
      <c r="H162" s="78"/>
      <c r="I162" s="202" t="s">
        <v>279</v>
      </c>
      <c r="J162" s="78" t="n">
        <v>5310</v>
      </c>
      <c r="K162" s="301" t="n">
        <v>1200</v>
      </c>
      <c r="L162" s="78"/>
    </row>
    <row r="163" customFormat="false" ht="12.75" hidden="false" customHeight="false" outlineLevel="0" collapsed="false">
      <c r="A163" s="78"/>
      <c r="B163" s="200" t="s">
        <v>286</v>
      </c>
      <c r="C163" s="299" t="n">
        <v>0.45</v>
      </c>
      <c r="D163" s="78"/>
      <c r="E163" s="79" t="n">
        <v>0.45</v>
      </c>
      <c r="F163" s="79" t="n">
        <f aca="false">C163-E163</f>
        <v>0</v>
      </c>
      <c r="G163" s="199" t="n">
        <v>10</v>
      </c>
      <c r="H163" s="78"/>
      <c r="I163" s="202" t="s">
        <v>281</v>
      </c>
      <c r="J163" s="78"/>
      <c r="K163" s="202" t="n">
        <v>0</v>
      </c>
      <c r="L163" s="78"/>
    </row>
    <row r="164" customFormat="false" ht="12.75" hidden="false" customHeight="false" outlineLevel="0" collapsed="false">
      <c r="A164" s="78"/>
      <c r="B164" s="79" t="s">
        <v>288</v>
      </c>
      <c r="C164" s="79" t="n">
        <v>0</v>
      </c>
      <c r="D164" s="78"/>
      <c r="E164" s="79" t="n">
        <v>0</v>
      </c>
      <c r="F164" s="79" t="n">
        <f aca="false">C164-E164</f>
        <v>0</v>
      </c>
      <c r="G164" s="199" t="n">
        <v>0.45</v>
      </c>
      <c r="H164" s="78"/>
      <c r="I164" s="202" t="s">
        <v>282</v>
      </c>
      <c r="J164" s="78"/>
      <c r="K164" s="202" t="n">
        <v>0</v>
      </c>
      <c r="L164" s="78"/>
    </row>
    <row r="165" customFormat="false" ht="12.75" hidden="false" customHeight="false" outlineLevel="0" collapsed="false">
      <c r="A165" s="78"/>
      <c r="B165" s="200" t="s">
        <v>290</v>
      </c>
      <c r="C165" s="299" t="n">
        <v>20</v>
      </c>
      <c r="D165" s="78"/>
      <c r="E165" s="79" t="n">
        <v>20</v>
      </c>
      <c r="F165" s="79" t="n">
        <f aca="false">C165-E165</f>
        <v>0</v>
      </c>
      <c r="G165" s="199" t="n">
        <v>19</v>
      </c>
      <c r="H165" s="78"/>
      <c r="I165" s="202" t="s">
        <v>284</v>
      </c>
      <c r="J165" s="78"/>
      <c r="K165" s="202" t="n">
        <v>0</v>
      </c>
      <c r="L165" s="78"/>
    </row>
    <row r="166" customFormat="false" ht="12.75" hidden="false" customHeight="false" outlineLevel="0" collapsed="false">
      <c r="A166" s="78"/>
      <c r="B166" s="200" t="s">
        <v>292</v>
      </c>
      <c r="C166" s="299" t="n">
        <v>1.5</v>
      </c>
      <c r="D166" s="78"/>
      <c r="E166" s="79" t="n">
        <v>1.5</v>
      </c>
      <c r="F166" s="79" t="n">
        <f aca="false">C166-E166</f>
        <v>0</v>
      </c>
      <c r="G166" s="199" t="n">
        <v>10</v>
      </c>
      <c r="H166" s="78"/>
      <c r="I166" s="202" t="s">
        <v>285</v>
      </c>
      <c r="J166" s="78"/>
      <c r="K166" s="202" t="n">
        <v>0</v>
      </c>
      <c r="L166" s="78"/>
    </row>
    <row r="167" customFormat="false" ht="12.75" hidden="false" customHeight="false" outlineLevel="0" collapsed="false">
      <c r="A167" s="78"/>
      <c r="B167" s="79" t="s">
        <v>125</v>
      </c>
      <c r="C167" s="308" t="n">
        <v>4.5</v>
      </c>
      <c r="D167" s="309"/>
      <c r="E167" s="79" t="n">
        <v>0</v>
      </c>
      <c r="F167" s="79" t="n">
        <f aca="false">C167-E167</f>
        <v>4.5</v>
      </c>
      <c r="G167" s="199" t="n">
        <v>1.5</v>
      </c>
      <c r="H167" s="78"/>
      <c r="I167" s="202" t="s">
        <v>287</v>
      </c>
      <c r="J167" s="78"/>
      <c r="K167" s="202" t="n">
        <v>0</v>
      </c>
      <c r="L167" s="78"/>
    </row>
    <row r="168" customFormat="false" ht="12.75" hidden="false" customHeight="false" outlineLevel="0" collapsed="false">
      <c r="A168" s="78"/>
      <c r="B168" s="79"/>
      <c r="C168" s="79"/>
      <c r="D168" s="78"/>
      <c r="E168" s="79"/>
      <c r="F168" s="79"/>
      <c r="G168" s="199"/>
      <c r="H168" s="78"/>
      <c r="I168" s="202" t="s">
        <v>289</v>
      </c>
      <c r="J168" s="78" t="n">
        <v>7211</v>
      </c>
      <c r="K168" s="204" t="n">
        <v>0</v>
      </c>
      <c r="L168" s="78" t="n">
        <v>12500</v>
      </c>
    </row>
    <row r="169" customFormat="false" ht="12.75" hidden="false" customHeight="false" outlineLevel="0" collapsed="false">
      <c r="A169" s="78"/>
      <c r="B169" s="79"/>
      <c r="C169" s="79"/>
      <c r="D169" s="78"/>
      <c r="E169" s="79"/>
      <c r="F169" s="79"/>
      <c r="G169" s="199"/>
      <c r="H169" s="78"/>
      <c r="I169" s="202" t="s">
        <v>291</v>
      </c>
      <c r="J169" s="78" t="n">
        <v>6722</v>
      </c>
      <c r="K169" s="301" t="n">
        <v>41</v>
      </c>
      <c r="L169" s="78"/>
    </row>
    <row r="170" customFormat="false" ht="12.75" hidden="false" customHeight="false" outlineLevel="0" collapsed="false">
      <c r="A170" s="78"/>
      <c r="B170" s="200" t="s">
        <v>295</v>
      </c>
      <c r="C170" s="299" t="n">
        <v>4</v>
      </c>
      <c r="D170" s="78"/>
      <c r="E170" s="79" t="n">
        <v>4</v>
      </c>
      <c r="F170" s="79" t="n">
        <f aca="false">C170-E170</f>
        <v>0</v>
      </c>
      <c r="G170" s="199" t="n">
        <v>4.5</v>
      </c>
      <c r="H170" s="78"/>
      <c r="I170" s="202" t="s">
        <v>293</v>
      </c>
      <c r="J170" s="78"/>
      <c r="K170" s="301" t="n">
        <v>630</v>
      </c>
      <c r="L170" s="78"/>
    </row>
    <row r="171" customFormat="false" ht="12.75" hidden="false" customHeight="false" outlineLevel="0" collapsed="false">
      <c r="A171" s="78"/>
      <c r="B171" s="200" t="s">
        <v>297</v>
      </c>
      <c r="C171" s="299" t="n">
        <v>0.08</v>
      </c>
      <c r="D171" s="78"/>
      <c r="E171" s="79" t="n">
        <v>0.061</v>
      </c>
      <c r="F171" s="79" t="n">
        <f aca="false">C171-E171</f>
        <v>0.019</v>
      </c>
      <c r="G171" s="199" t="n">
        <v>4</v>
      </c>
      <c r="H171" s="78"/>
      <c r="I171" s="202" t="s">
        <v>294</v>
      </c>
      <c r="J171" s="78" t="n">
        <v>4063</v>
      </c>
      <c r="K171" s="301" t="n">
        <v>231</v>
      </c>
      <c r="L171" s="78"/>
    </row>
    <row r="172" customFormat="false" ht="12.75" hidden="false" customHeight="false" outlineLevel="0" collapsed="false">
      <c r="A172" s="78"/>
      <c r="B172" s="200" t="s">
        <v>299</v>
      </c>
      <c r="C172" s="299" t="n">
        <v>40</v>
      </c>
      <c r="D172" s="78"/>
      <c r="E172" s="79" t="n">
        <v>41.425</v>
      </c>
      <c r="F172" s="210" t="n">
        <f aca="false">C172-E172</f>
        <v>-1.425</v>
      </c>
      <c r="G172" s="199" t="n">
        <v>0.061</v>
      </c>
      <c r="H172" s="78"/>
      <c r="I172" s="202" t="s">
        <v>117</v>
      </c>
      <c r="J172" s="78" t="n">
        <v>3405</v>
      </c>
      <c r="K172" s="301" t="n">
        <v>2591</v>
      </c>
      <c r="L172" s="78"/>
    </row>
    <row r="173" customFormat="false" ht="12.75" hidden="false" customHeight="false" outlineLevel="0" collapsed="false">
      <c r="A173" s="78"/>
      <c r="B173" s="200" t="s">
        <v>31</v>
      </c>
      <c r="C173" s="299" t="n">
        <v>19</v>
      </c>
      <c r="D173" s="78"/>
      <c r="E173" s="79" t="n">
        <v>18.899</v>
      </c>
      <c r="F173" s="79" t="n">
        <f aca="false">C173-E173</f>
        <v>0.100999999999999</v>
      </c>
      <c r="G173" s="199" t="n">
        <v>40</v>
      </c>
      <c r="H173" s="78"/>
      <c r="I173" s="202" t="s">
        <v>69</v>
      </c>
      <c r="J173" s="78" t="s">
        <v>417</v>
      </c>
      <c r="K173" s="301" t="n">
        <v>7000</v>
      </c>
      <c r="L173" s="78"/>
    </row>
    <row r="174" customFormat="false" ht="12.75" hidden="false" customHeight="false" outlineLevel="0" collapsed="false">
      <c r="A174" s="78"/>
      <c r="B174" s="200" t="s">
        <v>302</v>
      </c>
      <c r="C174" s="299" t="n">
        <v>1</v>
      </c>
      <c r="D174" s="78"/>
      <c r="E174" s="79" t="n">
        <v>1</v>
      </c>
      <c r="F174" s="79" t="n">
        <f aca="false">C174-E174</f>
        <v>0</v>
      </c>
      <c r="G174" s="199" t="n">
        <v>20</v>
      </c>
      <c r="H174" s="78"/>
      <c r="I174" s="202" t="s">
        <v>296</v>
      </c>
      <c r="J174" s="78" t="n">
        <v>9643</v>
      </c>
      <c r="K174" s="301" t="n">
        <v>4300</v>
      </c>
      <c r="L174" s="78"/>
    </row>
    <row r="175" customFormat="false" ht="12.75" hidden="false" customHeight="false" outlineLevel="0" collapsed="false">
      <c r="A175" s="78"/>
      <c r="B175" s="200" t="s">
        <v>185</v>
      </c>
      <c r="C175" s="200" t="n">
        <v>0</v>
      </c>
      <c r="D175" s="78"/>
      <c r="E175" s="79" t="n">
        <v>0</v>
      </c>
      <c r="F175" s="79" t="n">
        <f aca="false">C175-E175</f>
        <v>0</v>
      </c>
      <c r="G175" s="199" t="n">
        <v>1</v>
      </c>
      <c r="H175" s="78"/>
      <c r="I175" s="202" t="s">
        <v>298</v>
      </c>
      <c r="J175" s="78" t="n">
        <v>6788</v>
      </c>
      <c r="K175" s="301" t="n">
        <v>250</v>
      </c>
      <c r="L175" s="78" t="n">
        <v>863</v>
      </c>
    </row>
    <row r="176" customFormat="false" ht="12.75" hidden="false" customHeight="false" outlineLevel="0" collapsed="false">
      <c r="A176" s="78"/>
      <c r="B176" s="200" t="s">
        <v>305</v>
      </c>
      <c r="C176" s="299" t="n">
        <v>1</v>
      </c>
      <c r="D176" s="78"/>
      <c r="E176" s="79" t="n">
        <v>1</v>
      </c>
      <c r="F176" s="79" t="n">
        <f aca="false">C176-E176</f>
        <v>0</v>
      </c>
      <c r="G176" s="199" t="n">
        <v>10</v>
      </c>
      <c r="H176" s="78"/>
      <c r="I176" s="202" t="s">
        <v>300</v>
      </c>
      <c r="J176" s="78" t="n">
        <v>6683</v>
      </c>
      <c r="K176" s="301" t="n">
        <v>2500</v>
      </c>
      <c r="L176" s="78"/>
    </row>
    <row r="177" customFormat="false" ht="12.75" hidden="false" customHeight="false" outlineLevel="0" collapsed="false">
      <c r="A177" s="78"/>
      <c r="B177" s="200" t="s">
        <v>308</v>
      </c>
      <c r="C177" s="299" t="n">
        <v>65</v>
      </c>
      <c r="D177" s="78" t="s">
        <v>413</v>
      </c>
      <c r="E177" s="79" t="n">
        <v>67.478</v>
      </c>
      <c r="F177" s="79" t="n">
        <f aca="false">C177-E177</f>
        <v>-2.47799999999999</v>
      </c>
      <c r="G177" s="199" t="n">
        <v>1</v>
      </c>
      <c r="H177" s="78"/>
      <c r="I177" s="202" t="s">
        <v>301</v>
      </c>
      <c r="J177" s="78" t="n">
        <v>2185</v>
      </c>
      <c r="K177" s="301" t="n">
        <v>35</v>
      </c>
      <c r="L177" s="78"/>
    </row>
    <row r="178" customFormat="false" ht="12.75" hidden="false" customHeight="false" outlineLevel="0" collapsed="false">
      <c r="A178" s="78"/>
      <c r="B178" s="200" t="s">
        <v>310</v>
      </c>
      <c r="C178" s="306" t="n">
        <v>0</v>
      </c>
      <c r="D178" s="78"/>
      <c r="E178" s="79" t="n">
        <v>0.2</v>
      </c>
      <c r="F178" s="79" t="n">
        <f aca="false">C178-E178</f>
        <v>-0.2</v>
      </c>
      <c r="G178" s="199" t="n">
        <v>65</v>
      </c>
      <c r="H178" s="78"/>
      <c r="I178" s="202"/>
      <c r="J178" s="78"/>
      <c r="K178" s="204"/>
      <c r="L178" s="78"/>
    </row>
    <row r="179" customFormat="false" ht="12.75" hidden="false" customHeight="false" outlineLevel="0" collapsed="false">
      <c r="A179" s="78"/>
      <c r="B179" s="200" t="s">
        <v>311</v>
      </c>
      <c r="C179" s="299" t="n">
        <v>0.043</v>
      </c>
      <c r="D179" s="78"/>
      <c r="E179" s="79"/>
      <c r="F179" s="79"/>
      <c r="G179" s="199"/>
      <c r="H179" s="78"/>
      <c r="I179" s="202"/>
      <c r="J179" s="78"/>
      <c r="K179" s="204"/>
      <c r="L179" s="78" t="n">
        <v>10</v>
      </c>
    </row>
    <row r="180" customFormat="false" ht="12.75" hidden="false" customHeight="false" outlineLevel="0" collapsed="false">
      <c r="A180" s="78"/>
      <c r="B180" s="200" t="s">
        <v>313</v>
      </c>
      <c r="C180" s="200" t="n">
        <v>0</v>
      </c>
      <c r="D180" s="78"/>
      <c r="E180" s="79" t="n">
        <v>4.665</v>
      </c>
      <c r="F180" s="79" t="n">
        <f aca="false">C180-E180</f>
        <v>-4.665</v>
      </c>
      <c r="G180" s="199" t="n">
        <v>0.2</v>
      </c>
      <c r="H180" s="78"/>
      <c r="I180" s="202" t="s">
        <v>306</v>
      </c>
      <c r="J180" s="78" t="s">
        <v>418</v>
      </c>
      <c r="K180" s="301" t="n">
        <v>8677</v>
      </c>
      <c r="L180" s="78"/>
    </row>
    <row r="181" customFormat="false" ht="12.75" hidden="false" customHeight="false" outlineLevel="0" collapsed="false">
      <c r="A181" s="78"/>
      <c r="B181" s="200" t="s">
        <v>314</v>
      </c>
      <c r="C181" s="299" t="n">
        <v>0.05</v>
      </c>
      <c r="D181" s="78"/>
      <c r="E181" s="79" t="n">
        <v>0.05</v>
      </c>
      <c r="F181" s="79" t="n">
        <f aca="false">C181-E181</f>
        <v>0</v>
      </c>
      <c r="G181" s="199" t="n">
        <v>4</v>
      </c>
      <c r="H181" s="78"/>
      <c r="I181" s="202" t="s">
        <v>309</v>
      </c>
      <c r="J181" s="78" t="n">
        <v>4132</v>
      </c>
      <c r="K181" s="301" t="n">
        <v>10</v>
      </c>
      <c r="L181" s="78"/>
    </row>
    <row r="182" customFormat="false" ht="12.75" hidden="false" customHeight="false" outlineLevel="0" collapsed="false">
      <c r="A182" s="78"/>
      <c r="B182" s="79" t="s">
        <v>216</v>
      </c>
      <c r="C182" s="79" t="n">
        <v>0</v>
      </c>
      <c r="D182" s="78"/>
      <c r="E182" s="79" t="n">
        <v>0</v>
      </c>
      <c r="F182" s="79" t="n">
        <f aca="false">C182-E182</f>
        <v>0</v>
      </c>
      <c r="G182" s="199" t="n">
        <v>0.05</v>
      </c>
      <c r="H182" s="78"/>
      <c r="I182" s="202" t="s">
        <v>118</v>
      </c>
      <c r="J182" s="78" t="n">
        <v>2540</v>
      </c>
      <c r="K182" s="204" t="n">
        <v>0</v>
      </c>
      <c r="L182" s="78"/>
    </row>
    <row r="183" customFormat="false" ht="12.75" hidden="false" customHeight="false" outlineLevel="0" collapsed="false">
      <c r="A183" s="78"/>
      <c r="B183" s="200" t="s">
        <v>317</v>
      </c>
      <c r="C183" s="200" t="n">
        <v>0</v>
      </c>
      <c r="D183" s="78"/>
      <c r="E183" s="79" t="n">
        <v>0</v>
      </c>
      <c r="F183" s="79" t="n">
        <f aca="false">C183-E183</f>
        <v>0</v>
      </c>
      <c r="G183" s="199" t="n">
        <v>0</v>
      </c>
      <c r="H183" s="78"/>
      <c r="I183" s="202" t="s">
        <v>312</v>
      </c>
      <c r="J183" s="78" t="n">
        <v>3405</v>
      </c>
      <c r="K183" s="301" t="n">
        <v>15</v>
      </c>
      <c r="L183" s="78"/>
    </row>
    <row r="184" customFormat="false" ht="12.75" hidden="false" customHeight="false" outlineLevel="0" collapsed="false">
      <c r="B184" s="0" t="s">
        <v>319</v>
      </c>
      <c r="C184" s="79" t="n">
        <v>0</v>
      </c>
      <c r="D184" s="78" t="s">
        <v>320</v>
      </c>
      <c r="E184" s="79" t="n">
        <v>0</v>
      </c>
      <c r="F184" s="79" t="n">
        <f aca="false">C184-E184</f>
        <v>0</v>
      </c>
      <c r="G184" s="199" t="n">
        <v>12.5</v>
      </c>
      <c r="H184" s="78"/>
      <c r="I184" s="202" t="s">
        <v>312</v>
      </c>
      <c r="J184" s="78" t="n">
        <v>5801</v>
      </c>
      <c r="K184" s="301" t="n">
        <v>1</v>
      </c>
      <c r="L184" s="78"/>
    </row>
    <row r="185" customFormat="false" ht="12.75" hidden="false" customHeight="false" outlineLevel="0" collapsed="false">
      <c r="B185" s="0" t="s">
        <v>322</v>
      </c>
      <c r="C185" s="79" t="n">
        <v>0</v>
      </c>
      <c r="D185" s="78"/>
      <c r="E185" s="79" t="n">
        <v>0</v>
      </c>
      <c r="F185" s="79" t="n">
        <f aca="false">C185-E185</f>
        <v>0</v>
      </c>
      <c r="G185" s="199" t="n">
        <v>0</v>
      </c>
      <c r="H185" s="78"/>
      <c r="I185" s="202" t="s">
        <v>315</v>
      </c>
      <c r="J185" s="78" t="n">
        <v>6589</v>
      </c>
      <c r="K185" s="301" t="n">
        <v>1100</v>
      </c>
      <c r="L185" s="78"/>
    </row>
    <row r="186" customFormat="false" ht="12.75" hidden="false" customHeight="false" outlineLevel="0" collapsed="false">
      <c r="B186" s="0"/>
      <c r="C186" s="213" t="n">
        <f aca="false">SUM(C104:C185)</f>
        <v>468.544</v>
      </c>
      <c r="D186" s="78"/>
      <c r="E186" s="213" t="n">
        <f aca="false">SUM(E104:E185)</f>
        <v>472.433</v>
      </c>
      <c r="F186" s="79" t="n">
        <f aca="false">C185-E185</f>
        <v>0</v>
      </c>
      <c r="G186" s="202"/>
      <c r="H186" s="78"/>
      <c r="I186" s="202"/>
      <c r="J186" s="78"/>
      <c r="K186" s="301"/>
      <c r="L186" s="78"/>
    </row>
    <row r="187" customFormat="false" ht="12.75" hidden="false" customHeight="false" outlineLevel="0" collapsed="false">
      <c r="B187" s="0"/>
      <c r="C187" s="79"/>
      <c r="D187" s="78"/>
      <c r="E187" s="78"/>
      <c r="F187" s="78"/>
      <c r="G187" s="78"/>
      <c r="H187" s="78"/>
      <c r="I187" s="202" t="s">
        <v>316</v>
      </c>
      <c r="J187" s="78" t="n">
        <v>106</v>
      </c>
      <c r="K187" s="301" t="n">
        <v>1068</v>
      </c>
      <c r="L187" s="78"/>
    </row>
    <row r="188" customFormat="false" ht="12.75" hidden="false" customHeight="false" outlineLevel="0" collapsed="false">
      <c r="A188" s="215"/>
      <c r="B188" s="0"/>
      <c r="C188" s="79"/>
      <c r="D188" s="78"/>
      <c r="E188" s="78"/>
      <c r="F188" s="78"/>
      <c r="G188" s="78"/>
      <c r="H188" s="78"/>
      <c r="I188" s="202"/>
      <c r="J188" s="78"/>
      <c r="K188" s="204"/>
      <c r="L188" s="78" t="s">
        <v>224</v>
      </c>
    </row>
    <row r="189" customFormat="false" ht="12.75" hidden="false" customHeight="false" outlineLevel="0" collapsed="false">
      <c r="B189" s="0"/>
      <c r="C189" s="79"/>
      <c r="D189" s="78"/>
      <c r="E189" s="78"/>
      <c r="F189" s="78"/>
      <c r="G189" s="78"/>
      <c r="H189" s="78"/>
      <c r="I189" s="202" t="s">
        <v>321</v>
      </c>
      <c r="J189" s="78" t="n">
        <v>6598</v>
      </c>
      <c r="K189" s="301" t="n">
        <v>4206</v>
      </c>
    </row>
    <row r="190" customFormat="false" ht="12.75" hidden="false" customHeight="false" outlineLevel="0" collapsed="false">
      <c r="B190" s="216" t="s">
        <v>11</v>
      </c>
      <c r="C190" s="200" t="n">
        <v>0</v>
      </c>
      <c r="D190" s="78"/>
      <c r="E190" s="78"/>
      <c r="F190" s="78"/>
      <c r="G190" s="78"/>
      <c r="H190" s="78"/>
      <c r="I190" s="79"/>
      <c r="J190" s="78"/>
      <c r="K190" s="204"/>
    </row>
    <row r="191" customFormat="false" ht="12.75" hidden="false" customHeight="false" outlineLevel="0" collapsed="false">
      <c r="B191" s="216" t="s">
        <v>9</v>
      </c>
      <c r="C191" s="200" t="n">
        <v>0</v>
      </c>
      <c r="D191" s="78" t="n">
        <v>3</v>
      </c>
      <c r="E191" s="78"/>
      <c r="F191" s="78"/>
      <c r="G191" s="78"/>
      <c r="H191" s="78"/>
      <c r="I191" s="78"/>
      <c r="J191" s="78"/>
      <c r="K191" s="214" t="n">
        <f aca="false">SUM(K104:K190)</f>
        <v>89093</v>
      </c>
    </row>
    <row r="192" customFormat="false" ht="12.75" hidden="false" customHeight="false" outlineLevel="0" collapsed="false">
      <c r="B192" s="216" t="s">
        <v>323</v>
      </c>
      <c r="C192" s="200" t="n">
        <v>0</v>
      </c>
      <c r="D192" s="78" t="s">
        <v>324</v>
      </c>
      <c r="E192" s="78"/>
      <c r="F192" s="78"/>
      <c r="G192" s="78"/>
      <c r="H192" s="78"/>
      <c r="I192" s="78"/>
      <c r="J192" s="78"/>
      <c r="K192" s="78"/>
    </row>
    <row r="193" customFormat="false" ht="12.75" hidden="false" customHeight="false" outlineLevel="0" collapsed="false">
      <c r="B193" s="216" t="s">
        <v>15</v>
      </c>
      <c r="C193" s="200" t="n">
        <v>0</v>
      </c>
      <c r="D193" s="78"/>
      <c r="E193" s="78"/>
      <c r="F193" s="78" t="n">
        <v>5</v>
      </c>
      <c r="G193" s="78"/>
      <c r="H193" s="78"/>
      <c r="I193" s="78"/>
      <c r="J193" s="78"/>
      <c r="K193" s="78"/>
    </row>
    <row r="194" customFormat="false" ht="12.75" hidden="false" customHeight="false" outlineLevel="0" collapsed="false">
      <c r="B194" s="216" t="s">
        <v>227</v>
      </c>
      <c r="C194" s="200" t="n">
        <v>0</v>
      </c>
      <c r="D194" s="78" t="s">
        <v>325</v>
      </c>
      <c r="E194" s="78"/>
      <c r="F194" s="78" t="n">
        <v>10</v>
      </c>
      <c r="G194" s="78"/>
      <c r="H194" s="78"/>
      <c r="I194" s="78"/>
      <c r="J194" s="78"/>
      <c r="K194" s="78"/>
    </row>
    <row r="195" customFormat="false" ht="12.75" hidden="false" customHeight="false" outlineLevel="0" collapsed="false">
      <c r="B195" s="216" t="s">
        <v>53</v>
      </c>
      <c r="C195" s="200" t="n">
        <v>0</v>
      </c>
      <c r="D195" s="78"/>
      <c r="E195" s="78"/>
      <c r="F195" s="78"/>
      <c r="G195" s="78"/>
      <c r="H195" s="78"/>
      <c r="I195" s="78"/>
      <c r="J195" s="78"/>
      <c r="K195" s="78"/>
    </row>
    <row r="196" customFormat="false" ht="12.75" hidden="false" customHeight="false" outlineLevel="0" collapsed="false">
      <c r="B196" s="216" t="s">
        <v>21</v>
      </c>
      <c r="C196" s="200" t="n">
        <v>0</v>
      </c>
      <c r="D196" s="78"/>
      <c r="E196" s="78"/>
      <c r="F196" s="78"/>
      <c r="G196" s="78"/>
      <c r="H196" s="78"/>
      <c r="I196" s="78"/>
      <c r="J196" s="78"/>
      <c r="K196" s="78"/>
    </row>
    <row r="197" customFormat="false" ht="12.75" hidden="false" customHeight="false" outlineLevel="0" collapsed="false">
      <c r="B197" s="216" t="s">
        <v>19</v>
      </c>
      <c r="C197" s="200" t="n">
        <v>0</v>
      </c>
      <c r="D197" s="78" t="s">
        <v>324</v>
      </c>
      <c r="E197" s="78"/>
      <c r="F197" s="78" t="n">
        <v>5</v>
      </c>
      <c r="G197" s="78"/>
      <c r="H197" s="78"/>
      <c r="I197" s="79"/>
      <c r="J197" s="78"/>
      <c r="K197" s="78"/>
    </row>
    <row r="198" customFormat="false" ht="12.75" hidden="false" customHeight="false" outlineLevel="0" collapsed="false">
      <c r="A198" s="1" t="s">
        <v>326</v>
      </c>
      <c r="B198" s="216" t="s">
        <v>23</v>
      </c>
      <c r="C198" s="200" t="n">
        <v>0</v>
      </c>
      <c r="D198" s="78" t="s">
        <v>324</v>
      </c>
      <c r="E198" s="78"/>
      <c r="F198" s="78" t="n">
        <v>15</v>
      </c>
      <c r="G198" s="78"/>
      <c r="H198" s="78"/>
      <c r="I198" s="78"/>
      <c r="J198" s="78"/>
    </row>
    <row r="199" customFormat="false" ht="12.75" hidden="false" customHeight="false" outlineLevel="0" collapsed="false">
      <c r="B199" s="0" t="s">
        <v>250</v>
      </c>
      <c r="C199" s="79" t="n">
        <v>0</v>
      </c>
      <c r="D199" s="78" t="s">
        <v>324</v>
      </c>
      <c r="E199" s="78"/>
      <c r="F199" s="78" t="n">
        <v>15</v>
      </c>
      <c r="G199" s="78"/>
      <c r="H199" s="78"/>
      <c r="I199" s="78"/>
      <c r="J199" s="78"/>
    </row>
    <row r="200" customFormat="false" ht="12.75" hidden="false" customHeight="false" outlineLevel="0" collapsed="false">
      <c r="B200" s="216" t="s">
        <v>270</v>
      </c>
      <c r="C200" s="200" t="n">
        <v>0</v>
      </c>
      <c r="D200" s="78"/>
      <c r="E200" s="78"/>
      <c r="F200" s="78" t="n">
        <v>5</v>
      </c>
      <c r="G200" s="78"/>
      <c r="H200" s="78"/>
      <c r="I200" s="78"/>
      <c r="J200" s="78"/>
    </row>
    <row r="201" customFormat="false" ht="12.75" hidden="false" customHeight="false" outlineLevel="0" collapsed="false">
      <c r="B201" s="216" t="s">
        <v>327</v>
      </c>
      <c r="C201" s="200" t="n">
        <v>0</v>
      </c>
      <c r="D201" s="78" t="s">
        <v>328</v>
      </c>
      <c r="E201" s="78"/>
      <c r="F201" s="78"/>
      <c r="G201" s="78"/>
      <c r="H201" s="78"/>
      <c r="I201" s="78"/>
      <c r="J201" s="78"/>
    </row>
    <row r="202" customFormat="false" ht="12.75" hidden="false" customHeight="false" outlineLevel="0" collapsed="false">
      <c r="B202" s="0" t="s">
        <v>299</v>
      </c>
      <c r="C202" s="199" t="n">
        <v>0</v>
      </c>
      <c r="D202" s="78"/>
      <c r="E202" s="78"/>
      <c r="F202" s="78" t="n">
        <f aca="false">SUM(F193:F201)</f>
        <v>55</v>
      </c>
      <c r="G202" s="78"/>
      <c r="H202" s="78"/>
      <c r="I202" s="78"/>
      <c r="J202" s="78"/>
    </row>
    <row r="203" customFormat="false" ht="12.75" hidden="false" customHeight="false" outlineLevel="0" collapsed="false">
      <c r="B203" s="0" t="s">
        <v>31</v>
      </c>
      <c r="C203" s="199" t="n">
        <v>0</v>
      </c>
      <c r="D203" s="78"/>
      <c r="E203" s="78"/>
      <c r="F203" s="78"/>
      <c r="G203" s="78"/>
      <c r="H203" s="78"/>
      <c r="I203" s="78"/>
      <c r="J203" s="78"/>
    </row>
    <row r="204" customFormat="false" ht="12.75" hidden="false" customHeight="false" outlineLevel="0" collapsed="false">
      <c r="B204" s="0" t="s">
        <v>317</v>
      </c>
      <c r="C204" s="199" t="n">
        <v>0</v>
      </c>
      <c r="D204" s="78"/>
      <c r="E204" s="78"/>
      <c r="F204" s="78"/>
      <c r="G204" s="78"/>
      <c r="H204" s="78"/>
      <c r="I204" s="78"/>
      <c r="J204" s="78"/>
    </row>
    <row r="205" customFormat="false" ht="12.75" hidden="false" customHeight="false" outlineLevel="0" collapsed="false">
      <c r="B205" s="0" t="s">
        <v>329</v>
      </c>
      <c r="C205" s="199" t="n">
        <v>0</v>
      </c>
      <c r="D205" s="78"/>
      <c r="E205" s="78"/>
      <c r="F205" s="78"/>
      <c r="G205" s="78"/>
      <c r="H205" s="78"/>
      <c r="I205" s="78"/>
      <c r="J205" s="78"/>
    </row>
    <row r="206" customFormat="false" ht="12.75" hidden="false" customHeight="false" outlineLevel="0" collapsed="false">
      <c r="B206" s="0" t="s">
        <v>330</v>
      </c>
      <c r="C206" s="217" t="n">
        <f aca="false">SUM(C190:C205)</f>
        <v>0</v>
      </c>
      <c r="D206" s="78"/>
      <c r="F206" s="78"/>
      <c r="G206" s="78"/>
      <c r="H206" s="78"/>
      <c r="I206" s="78"/>
      <c r="J206" s="78"/>
    </row>
    <row r="207" customFormat="false" ht="12.75" hidden="false" customHeight="false" outlineLevel="0" collapsed="false">
      <c r="B207" s="48"/>
      <c r="C207" s="48"/>
      <c r="I207" s="78"/>
      <c r="J207" s="78"/>
    </row>
    <row r="208" customFormat="false" ht="12.75" hidden="false" customHeight="false" outlineLevel="0" collapsed="false">
      <c r="B208" s="0"/>
      <c r="C208" s="0" t="n">
        <f aca="false">C186+C206</f>
        <v>468.544</v>
      </c>
      <c r="I208" s="79"/>
      <c r="J208" s="78"/>
    </row>
    <row r="209" customFormat="false" ht="12.75" hidden="false" customHeight="false" outlineLevel="0" collapsed="false">
      <c r="B209" s="0"/>
      <c r="C209" s="0"/>
      <c r="I209" s="79"/>
      <c r="J209" s="78"/>
    </row>
    <row r="210" customFormat="false" ht="12.75" hidden="false" customHeight="false" outlineLevel="0" collapsed="false">
      <c r="B210" s="0"/>
      <c r="C210" s="0" t="n">
        <f aca="false">E186-C208</f>
        <v>3.88899999999995</v>
      </c>
      <c r="G210" s="218" t="s">
        <v>331</v>
      </c>
      <c r="H210" s="219"/>
      <c r="I210" s="78"/>
      <c r="J210" s="78"/>
      <c r="Q210" s="219"/>
      <c r="R210" s="219"/>
      <c r="S210" s="220"/>
    </row>
    <row r="211" customFormat="false" ht="12.75" hidden="false" customHeight="false" outlineLevel="0" collapsed="false">
      <c r="B211" s="0"/>
      <c r="C211" s="0"/>
      <c r="G211" s="221"/>
      <c r="H211" s="222" t="s">
        <v>332</v>
      </c>
      <c r="I211" s="78"/>
      <c r="J211" s="78"/>
      <c r="N211" s="219"/>
      <c r="O211" s="219"/>
      <c r="P211" s="219"/>
      <c r="Q211" s="223"/>
      <c r="R211" s="223"/>
      <c r="S211" s="181"/>
    </row>
    <row r="212" customFormat="false" ht="12" hidden="false" customHeight="false" outlineLevel="0" collapsed="false">
      <c r="G212" s="224"/>
      <c r="H212" s="87"/>
      <c r="I212" s="78"/>
      <c r="J212" s="78"/>
      <c r="N212" s="223"/>
      <c r="O212" s="223"/>
      <c r="P212" s="223"/>
      <c r="Q212" s="87"/>
      <c r="R212" s="87"/>
      <c r="S212" s="184"/>
    </row>
    <row r="213" customFormat="false" ht="12" hidden="false" customHeight="false" outlineLevel="0" collapsed="false">
      <c r="G213" s="224"/>
      <c r="H213" s="87"/>
      <c r="I213" s="78"/>
      <c r="J213" s="78"/>
      <c r="N213" s="87"/>
      <c r="O213" s="87"/>
      <c r="P213" s="87"/>
      <c r="Q213" s="87"/>
      <c r="R213" s="87"/>
      <c r="S213" s="184"/>
    </row>
    <row r="214" customFormat="false" ht="12.75" hidden="false" customHeight="false" outlineLevel="0" collapsed="false">
      <c r="B214" s="0"/>
      <c r="C214" s="225"/>
      <c r="G214" s="224"/>
      <c r="H214" s="87"/>
      <c r="I214" s="78"/>
      <c r="J214" s="78"/>
      <c r="N214" s="87"/>
      <c r="O214" s="87"/>
      <c r="P214" s="87"/>
      <c r="Q214" s="87"/>
      <c r="R214" s="87"/>
      <c r="S214" s="184"/>
    </row>
    <row r="215" customFormat="false" ht="12.75" hidden="false" customHeight="false" outlineLevel="0" collapsed="false">
      <c r="B215" s="0"/>
      <c r="C215" s="225"/>
      <c r="G215" s="224"/>
      <c r="H215" s="87"/>
      <c r="I215" s="78"/>
      <c r="J215" s="78"/>
      <c r="N215" s="87"/>
      <c r="O215" s="87"/>
      <c r="P215" s="87"/>
      <c r="Q215" s="87"/>
      <c r="R215" s="87"/>
      <c r="S215" s="184"/>
    </row>
    <row r="216" customFormat="false" ht="12.75" hidden="false" customHeight="false" outlineLevel="0" collapsed="false">
      <c r="B216" s="0"/>
      <c r="C216" s="225"/>
      <c r="G216" s="224"/>
      <c r="H216" s="87"/>
      <c r="I216" s="78"/>
      <c r="J216" s="78"/>
      <c r="M216" s="219"/>
      <c r="N216" s="87"/>
      <c r="O216" s="87"/>
      <c r="P216" s="87"/>
      <c r="Q216" s="87"/>
      <c r="R216" s="87"/>
      <c r="S216" s="184"/>
    </row>
    <row r="217" customFormat="false" ht="12.75" hidden="false" customHeight="false" outlineLevel="0" collapsed="false">
      <c r="B217" s="0"/>
      <c r="C217" s="225"/>
      <c r="G217" s="224"/>
      <c r="H217" s="87"/>
      <c r="I217" s="78"/>
      <c r="J217" s="78"/>
      <c r="M217" s="223"/>
      <c r="N217" s="87"/>
      <c r="O217" s="87"/>
      <c r="P217" s="87"/>
      <c r="Q217" s="87"/>
      <c r="R217" s="87"/>
      <c r="S217" s="184"/>
    </row>
    <row r="218" customFormat="false" ht="12.75" hidden="false" customHeight="false" outlineLevel="0" collapsed="false">
      <c r="B218" s="0"/>
      <c r="C218" s="225"/>
      <c r="G218" s="224"/>
      <c r="H218" s="87"/>
      <c r="I218" s="78"/>
      <c r="J218" s="78"/>
      <c r="M218" s="87"/>
      <c r="N218" s="87"/>
      <c r="O218" s="87"/>
      <c r="P218" s="87"/>
      <c r="Q218" s="87"/>
      <c r="R218" s="87"/>
      <c r="S218" s="184"/>
    </row>
    <row r="219" customFormat="false" ht="12.75" hidden="false" customHeight="false" outlineLevel="0" collapsed="false">
      <c r="B219" s="0"/>
      <c r="C219" s="225"/>
      <c r="G219" s="224"/>
      <c r="H219" s="87"/>
      <c r="I219" s="78"/>
      <c r="J219" s="78"/>
      <c r="M219" s="87"/>
      <c r="N219" s="87"/>
      <c r="O219" s="87"/>
      <c r="P219" s="87"/>
      <c r="Q219" s="87"/>
      <c r="R219" s="87"/>
      <c r="S219" s="184"/>
    </row>
    <row r="220" customFormat="false" ht="12.75" hidden="false" customHeight="false" outlineLevel="0" collapsed="false">
      <c r="B220" s="0"/>
      <c r="C220" s="225"/>
      <c r="G220" s="224"/>
      <c r="H220" s="87" t="s">
        <v>333</v>
      </c>
      <c r="I220" s="78"/>
      <c r="J220" s="78"/>
      <c r="M220" s="87"/>
      <c r="N220" s="87"/>
      <c r="O220" s="87"/>
      <c r="P220" s="87"/>
      <c r="Q220" s="87"/>
      <c r="R220" s="87"/>
      <c r="S220" s="184"/>
    </row>
    <row r="221" customFormat="false" ht="12.75" hidden="false" customHeight="false" outlineLevel="0" collapsed="false">
      <c r="B221" s="0"/>
      <c r="C221" s="225"/>
      <c r="G221" s="224"/>
      <c r="H221" s="87"/>
      <c r="I221" s="78"/>
      <c r="J221" s="78"/>
      <c r="M221" s="87"/>
      <c r="N221" s="87"/>
      <c r="O221" s="87"/>
      <c r="P221" s="87"/>
      <c r="Q221" s="87"/>
      <c r="R221" s="87"/>
      <c r="S221" s="184"/>
    </row>
    <row r="222" customFormat="false" ht="12.75" hidden="false" customHeight="false" outlineLevel="0" collapsed="false">
      <c r="B222" s="0"/>
      <c r="C222" s="225"/>
      <c r="G222" s="224"/>
      <c r="H222" s="87"/>
      <c r="I222" s="78"/>
      <c r="J222" s="78"/>
      <c r="M222" s="87"/>
      <c r="N222" s="87"/>
      <c r="O222" s="87"/>
      <c r="P222" s="87"/>
      <c r="Q222" s="87"/>
      <c r="R222" s="87"/>
      <c r="S222" s="184"/>
    </row>
    <row r="223" customFormat="false" ht="12.75" hidden="false" customHeight="false" outlineLevel="0" collapsed="false">
      <c r="B223" s="0"/>
      <c r="C223" s="225"/>
      <c r="G223" s="224"/>
      <c r="H223" s="87"/>
      <c r="L223" s="219"/>
      <c r="M223" s="87"/>
      <c r="N223" s="87"/>
      <c r="O223" s="87"/>
      <c r="P223" s="87"/>
      <c r="Q223" s="87"/>
      <c r="R223" s="87"/>
      <c r="S223" s="184"/>
    </row>
    <row r="224" customFormat="false" ht="12.75" hidden="false" customHeight="false" outlineLevel="0" collapsed="false">
      <c r="B224" s="0"/>
      <c r="C224" s="225"/>
      <c r="G224" s="224"/>
      <c r="H224" s="87"/>
      <c r="L224" s="223"/>
      <c r="M224" s="87"/>
      <c r="N224" s="87"/>
      <c r="O224" s="87"/>
      <c r="P224" s="87"/>
      <c r="Q224" s="87"/>
      <c r="R224" s="87"/>
      <c r="S224" s="184"/>
    </row>
    <row r="225" customFormat="false" ht="12.75" hidden="false" customHeight="false" outlineLevel="0" collapsed="false">
      <c r="B225" s="0"/>
      <c r="C225" s="225"/>
      <c r="G225" s="224"/>
      <c r="H225" s="87"/>
      <c r="L225" s="87"/>
      <c r="M225" s="87"/>
      <c r="N225" s="87"/>
      <c r="O225" s="87"/>
      <c r="P225" s="87"/>
      <c r="Q225" s="87"/>
      <c r="R225" s="87"/>
      <c r="S225" s="184"/>
    </row>
    <row r="226" customFormat="false" ht="12.75" hidden="false" customHeight="false" outlineLevel="0" collapsed="false">
      <c r="B226" s="0"/>
      <c r="C226" s="225"/>
      <c r="G226" s="224"/>
      <c r="H226" s="87"/>
      <c r="L226" s="87"/>
      <c r="M226" s="87"/>
      <c r="N226" s="87"/>
      <c r="O226" s="87"/>
      <c r="P226" s="87"/>
      <c r="Q226" s="87"/>
      <c r="R226" s="87"/>
      <c r="S226" s="184"/>
    </row>
    <row r="227" customFormat="false" ht="12.75" hidden="false" customHeight="false" outlineLevel="0" collapsed="false">
      <c r="B227" s="0"/>
      <c r="C227" s="225"/>
      <c r="G227" s="224"/>
      <c r="H227" s="87"/>
      <c r="I227" s="219"/>
      <c r="J227" s="219"/>
      <c r="K227" s="219"/>
      <c r="L227" s="87"/>
      <c r="M227" s="87"/>
      <c r="N227" s="87"/>
      <c r="O227" s="87"/>
      <c r="P227" s="87"/>
      <c r="Q227" s="87"/>
      <c r="R227" s="87"/>
      <c r="S227" s="184"/>
    </row>
    <row r="228" customFormat="false" ht="12.75" hidden="false" customHeight="false" outlineLevel="0" collapsed="false">
      <c r="B228" s="0"/>
      <c r="C228" s="225"/>
      <c r="G228" s="224"/>
      <c r="H228" s="87"/>
      <c r="I228" s="226"/>
      <c r="J228" s="227"/>
      <c r="K228" s="223"/>
      <c r="L228" s="87"/>
      <c r="M228" s="87"/>
      <c r="N228" s="87"/>
      <c r="O228" s="87"/>
      <c r="P228" s="87"/>
      <c r="Q228" s="87"/>
      <c r="R228" s="87"/>
      <c r="S228" s="184"/>
    </row>
    <row r="229" customFormat="false" ht="12.75" hidden="false" customHeight="false" outlineLevel="0" collapsed="false">
      <c r="B229" s="48"/>
      <c r="C229" s="229"/>
      <c r="G229" s="224"/>
      <c r="H229" s="87"/>
      <c r="I229" s="81" t="s">
        <v>334</v>
      </c>
      <c r="J229" s="228" t="n">
        <v>0</v>
      </c>
      <c r="K229" s="87"/>
      <c r="L229" s="87"/>
      <c r="M229" s="87"/>
      <c r="N229" s="87"/>
      <c r="O229" s="87"/>
      <c r="P229" s="87"/>
      <c r="Q229" s="87"/>
      <c r="R229" s="87"/>
      <c r="S229" s="184"/>
    </row>
    <row r="230" customFormat="false" ht="12.75" hidden="false" customHeight="false" outlineLevel="0" collapsed="false">
      <c r="B230" s="0"/>
      <c r="C230" s="225"/>
      <c r="G230" s="224"/>
      <c r="H230" s="87"/>
      <c r="I230" s="87" t="s">
        <v>335</v>
      </c>
      <c r="J230" s="214" t="n">
        <v>0</v>
      </c>
      <c r="K230" s="87"/>
      <c r="L230" s="87"/>
      <c r="M230" s="87"/>
      <c r="N230" s="87"/>
      <c r="O230" s="87"/>
      <c r="P230" s="87"/>
      <c r="Q230" s="87"/>
      <c r="R230" s="87"/>
      <c r="S230" s="184"/>
    </row>
    <row r="231" customFormat="false" ht="12.75" hidden="false" customHeight="false" outlineLevel="0" collapsed="false">
      <c r="B231" s="0"/>
      <c r="C231" s="225"/>
      <c r="G231" s="224"/>
      <c r="H231" s="87"/>
      <c r="I231" s="87" t="s">
        <v>336</v>
      </c>
      <c r="J231" s="214" t="n">
        <v>0</v>
      </c>
      <c r="K231" s="87"/>
      <c r="L231" s="87"/>
      <c r="M231" s="87"/>
      <c r="N231" s="87"/>
      <c r="O231" s="87"/>
      <c r="P231" s="87"/>
      <c r="Q231" s="87"/>
      <c r="R231" s="87"/>
      <c r="S231" s="184"/>
    </row>
    <row r="232" customFormat="false" ht="12.75" hidden="false" customHeight="false" outlineLevel="0" collapsed="false">
      <c r="B232" s="0"/>
      <c r="C232" s="225"/>
      <c r="G232" s="224"/>
      <c r="H232" s="87" t="s">
        <v>341</v>
      </c>
      <c r="I232" s="87" t="s">
        <v>337</v>
      </c>
      <c r="J232" s="214" t="n">
        <v>0</v>
      </c>
      <c r="K232" s="87"/>
      <c r="L232" s="87"/>
      <c r="M232" s="87"/>
      <c r="N232" s="87"/>
      <c r="O232" s="87"/>
      <c r="P232" s="87"/>
      <c r="Q232" s="87"/>
      <c r="R232" s="87"/>
      <c r="S232" s="184"/>
    </row>
    <row r="233" customFormat="false" ht="12.75" hidden="false" customHeight="false" outlineLevel="0" collapsed="false">
      <c r="B233" s="0"/>
      <c r="C233" s="225"/>
      <c r="G233" s="224"/>
      <c r="H233" s="87"/>
      <c r="I233" s="87" t="s">
        <v>338</v>
      </c>
      <c r="J233" s="214" t="n">
        <v>0</v>
      </c>
      <c r="K233" s="87"/>
      <c r="L233" s="87"/>
      <c r="M233" s="87"/>
      <c r="N233" s="87"/>
      <c r="O233" s="87"/>
      <c r="P233" s="87"/>
      <c r="Q233" s="87" t="s">
        <v>343</v>
      </c>
      <c r="R233" s="87"/>
      <c r="S233" s="184"/>
    </row>
    <row r="234" customFormat="false" ht="12.75" hidden="false" customHeight="false" outlineLevel="0" collapsed="false">
      <c r="B234" s="0"/>
      <c r="C234" s="225"/>
      <c r="G234" s="224"/>
      <c r="H234" s="87"/>
      <c r="I234" s="87" t="s">
        <v>339</v>
      </c>
      <c r="J234" s="214" t="n">
        <v>0</v>
      </c>
      <c r="K234" s="87"/>
      <c r="L234" s="87"/>
      <c r="M234" s="87"/>
      <c r="N234" s="87"/>
      <c r="O234" s="87"/>
      <c r="P234" s="214" t="n">
        <v>-31732</v>
      </c>
      <c r="Q234" s="87"/>
      <c r="R234" s="87"/>
      <c r="S234" s="184"/>
    </row>
    <row r="235" customFormat="false" ht="12.75" hidden="false" customHeight="false" outlineLevel="0" collapsed="false">
      <c r="B235" s="0"/>
      <c r="C235" s="225"/>
      <c r="G235" s="224"/>
      <c r="H235" s="87"/>
      <c r="I235" s="87" t="s">
        <v>340</v>
      </c>
      <c r="J235" s="230" t="n">
        <v>0</v>
      </c>
      <c r="K235" s="87"/>
      <c r="L235" s="87"/>
      <c r="M235" s="87"/>
      <c r="N235" s="87"/>
      <c r="O235" s="87"/>
      <c r="P235" s="214"/>
      <c r="Q235" s="87"/>
      <c r="R235" s="87"/>
      <c r="S235" s="184"/>
    </row>
    <row r="236" customFormat="false" ht="12.75" hidden="false" customHeight="false" outlineLevel="0" collapsed="false">
      <c r="B236" s="0"/>
      <c r="C236" s="225"/>
      <c r="G236" s="224"/>
      <c r="H236" s="87"/>
      <c r="I236" s="87"/>
      <c r="J236" s="214" t="n">
        <f aca="false">SUM(J229:J235)</f>
        <v>0</v>
      </c>
      <c r="K236" s="87"/>
      <c r="L236" s="87"/>
      <c r="M236" s="87"/>
      <c r="N236" s="87"/>
      <c r="O236" s="87"/>
      <c r="P236" s="214"/>
      <c r="Q236" s="87" t="s">
        <v>44</v>
      </c>
      <c r="R236" s="87"/>
      <c r="S236" s="184"/>
    </row>
    <row r="237" customFormat="false" ht="12.75" hidden="false" customHeight="false" outlineLevel="0" collapsed="false">
      <c r="B237" s="0"/>
      <c r="C237" s="225"/>
      <c r="G237" s="224"/>
      <c r="H237" s="87"/>
      <c r="I237" s="87"/>
      <c r="J237" s="214"/>
      <c r="K237" s="87"/>
      <c r="L237" s="87"/>
      <c r="M237" s="87"/>
      <c r="N237" s="87" t="s">
        <v>348</v>
      </c>
      <c r="O237" s="87"/>
      <c r="P237" s="214" t="n">
        <f aca="false">K259</f>
        <v>-4368</v>
      </c>
      <c r="Q237" s="87" t="s">
        <v>349</v>
      </c>
      <c r="R237" s="87"/>
      <c r="S237" s="184"/>
    </row>
    <row r="238" customFormat="false" ht="12.75" hidden="false" customHeight="false" outlineLevel="0" collapsed="false">
      <c r="B238" s="0"/>
      <c r="C238" s="225"/>
      <c r="G238" s="224"/>
      <c r="H238" s="87"/>
      <c r="I238" s="87" t="s">
        <v>342</v>
      </c>
      <c r="J238" s="214" t="n">
        <v>0</v>
      </c>
      <c r="K238" s="87"/>
      <c r="L238" s="87"/>
      <c r="M238" s="87"/>
      <c r="N238" s="87"/>
      <c r="O238" s="87"/>
      <c r="P238" s="230" t="n">
        <v>-2500</v>
      </c>
      <c r="Q238" s="87"/>
      <c r="R238" s="87"/>
      <c r="S238" s="184"/>
    </row>
    <row r="239" customFormat="false" ht="12.75" hidden="false" customHeight="false" outlineLevel="0" collapsed="false">
      <c r="B239" s="0"/>
      <c r="C239" s="225"/>
      <c r="G239" s="224"/>
      <c r="H239" s="87"/>
      <c r="I239" s="87" t="s">
        <v>344</v>
      </c>
      <c r="J239" s="214" t="n">
        <v>0</v>
      </c>
      <c r="K239" s="87"/>
      <c r="L239" s="87"/>
      <c r="M239" s="214" t="n">
        <v>525707</v>
      </c>
      <c r="N239" s="87" t="s">
        <v>352</v>
      </c>
      <c r="O239" s="87"/>
      <c r="P239" s="87"/>
      <c r="Q239" s="87" t="s">
        <v>353</v>
      </c>
      <c r="R239" s="87"/>
      <c r="S239" s="184"/>
    </row>
    <row r="240" customFormat="false" ht="12.75" hidden="false" customHeight="false" outlineLevel="0" collapsed="false">
      <c r="B240" s="0"/>
      <c r="C240" s="0"/>
      <c r="G240" s="224"/>
      <c r="H240" s="87"/>
      <c r="I240" s="87" t="s">
        <v>345</v>
      </c>
      <c r="J240" s="214" t="n">
        <v>0</v>
      </c>
      <c r="K240" s="87"/>
      <c r="L240" s="87"/>
      <c r="M240" s="214"/>
      <c r="N240" s="87"/>
      <c r="O240" s="214"/>
      <c r="P240" s="214" t="n">
        <f aca="false">SUM(P234:P238)</f>
        <v>-38600</v>
      </c>
      <c r="Q240" s="87"/>
      <c r="R240" s="87"/>
      <c r="S240" s="184"/>
    </row>
    <row r="241" customFormat="false" ht="12.75" hidden="false" customHeight="false" outlineLevel="0" collapsed="false">
      <c r="B241" s="0"/>
      <c r="C241" s="0"/>
      <c r="G241" s="224"/>
      <c r="H241" s="87"/>
      <c r="I241" s="87" t="s">
        <v>346</v>
      </c>
      <c r="J241" s="214" t="n">
        <v>0</v>
      </c>
      <c r="K241" s="87"/>
      <c r="L241" s="87"/>
      <c r="M241" s="214"/>
      <c r="N241" s="87"/>
      <c r="O241" s="87"/>
      <c r="P241" s="87"/>
      <c r="Q241" s="87"/>
      <c r="R241" s="87"/>
      <c r="S241" s="231" t="n">
        <f aca="false">22000+P242</f>
        <v>15133</v>
      </c>
    </row>
    <row r="242" customFormat="false" ht="12.75" hidden="false" customHeight="false" outlineLevel="0" collapsed="false">
      <c r="B242" s="0"/>
      <c r="C242" s="0"/>
      <c r="G242" s="224"/>
      <c r="H242" s="87"/>
      <c r="I242" s="87" t="s">
        <v>347</v>
      </c>
      <c r="J242" s="214" t="n">
        <v>0</v>
      </c>
      <c r="K242" s="87"/>
      <c r="L242" s="87"/>
      <c r="M242" s="214" t="n">
        <v>493974</v>
      </c>
      <c r="N242" s="87"/>
      <c r="O242" s="87"/>
      <c r="P242" s="232" t="n">
        <f aca="false">P240+M244</f>
        <v>-6867</v>
      </c>
      <c r="Q242" s="87"/>
      <c r="R242" s="87"/>
      <c r="S242" s="184"/>
    </row>
    <row r="243" customFormat="false" ht="12.75" hidden="false" customHeight="false" outlineLevel="0" collapsed="false">
      <c r="B243" s="0"/>
      <c r="C243" s="0"/>
      <c r="G243" s="224"/>
      <c r="H243" s="87"/>
      <c r="I243" s="87" t="s">
        <v>350</v>
      </c>
      <c r="J243" s="214" t="n">
        <v>0</v>
      </c>
      <c r="K243" s="87"/>
      <c r="L243" s="87"/>
      <c r="M243" s="214"/>
      <c r="N243" s="87"/>
      <c r="O243" s="87"/>
      <c r="P243" s="87"/>
      <c r="Q243" s="87"/>
      <c r="R243" s="87"/>
      <c r="S243" s="184"/>
    </row>
    <row r="244" customFormat="false" ht="12.75" hidden="false" customHeight="false" outlineLevel="0" collapsed="false">
      <c r="B244" s="0"/>
      <c r="C244" s="0"/>
      <c r="G244" s="224"/>
      <c r="H244" s="87"/>
      <c r="I244" s="87" t="s">
        <v>351</v>
      </c>
      <c r="J244" s="214" t="n">
        <v>0</v>
      </c>
      <c r="K244" s="87"/>
      <c r="L244" s="87"/>
      <c r="M244" s="214" t="n">
        <f aca="false">M239-M242</f>
        <v>31733</v>
      </c>
      <c r="N244" s="87"/>
      <c r="O244" s="87"/>
      <c r="P244" s="87"/>
      <c r="Q244" s="87"/>
      <c r="R244" s="87"/>
      <c r="S244" s="184"/>
    </row>
    <row r="245" customFormat="false" ht="12.75" hidden="false" customHeight="false" outlineLevel="0" collapsed="false">
      <c r="B245" s="48"/>
      <c r="C245" s="48"/>
      <c r="G245" s="224"/>
      <c r="H245" s="87" t="s">
        <v>355</v>
      </c>
      <c r="I245" s="87" t="s">
        <v>354</v>
      </c>
      <c r="J245" s="214" t="n">
        <v>0</v>
      </c>
      <c r="K245" s="87"/>
      <c r="L245" s="87"/>
      <c r="M245" s="87"/>
      <c r="N245" s="87"/>
      <c r="O245" s="87"/>
      <c r="P245" s="87"/>
      <c r="Q245" s="87"/>
      <c r="R245" s="87"/>
      <c r="S245" s="184"/>
    </row>
    <row r="246" customFormat="false" ht="12.75" hidden="false" customHeight="false" outlineLevel="0" collapsed="false">
      <c r="B246" s="0"/>
      <c r="C246" s="0"/>
      <c r="G246" s="224"/>
      <c r="H246" s="87"/>
      <c r="I246" s="87" t="s">
        <v>234</v>
      </c>
      <c r="J246" s="230" t="n">
        <v>0</v>
      </c>
      <c r="K246" s="87"/>
      <c r="L246" s="87"/>
      <c r="M246" s="87"/>
      <c r="N246" s="87"/>
      <c r="O246" s="87"/>
      <c r="P246" s="87"/>
      <c r="Q246" s="87"/>
      <c r="R246" s="87"/>
      <c r="S246" s="184"/>
    </row>
    <row r="247" customFormat="false" ht="12.75" hidden="false" customHeight="false" outlineLevel="0" collapsed="false">
      <c r="B247" s="0"/>
      <c r="C247" s="0"/>
      <c r="G247" s="224"/>
      <c r="H247" s="87"/>
      <c r="I247" s="87"/>
      <c r="J247" s="214" t="n">
        <f aca="false">SUM(J236:J246)</f>
        <v>0</v>
      </c>
      <c r="K247" s="87"/>
      <c r="L247" s="87"/>
      <c r="M247" s="232" t="n">
        <f aca="false">M244+K259</f>
        <v>27365</v>
      </c>
      <c r="N247" s="87"/>
      <c r="O247" s="87"/>
      <c r="P247" s="87"/>
      <c r="Q247" s="87"/>
      <c r="R247" s="87"/>
      <c r="S247" s="184"/>
    </row>
    <row r="248" customFormat="false" ht="12.75" hidden="false" customHeight="false" outlineLevel="0" collapsed="false">
      <c r="B248" s="0"/>
      <c r="C248" s="0"/>
      <c r="G248" s="224"/>
      <c r="H248" s="236" t="s">
        <v>358</v>
      </c>
      <c r="I248" s="87"/>
      <c r="J248" s="214"/>
      <c r="K248" s="87"/>
      <c r="L248" s="87"/>
      <c r="M248" s="232"/>
      <c r="N248" s="87"/>
      <c r="O248" s="87"/>
      <c r="P248" s="87"/>
      <c r="Q248" s="87"/>
      <c r="R248" s="87"/>
      <c r="S248" s="184"/>
    </row>
    <row r="249" customFormat="false" ht="12.75" hidden="false" customHeight="false" outlineLevel="0" collapsed="false">
      <c r="B249" s="0"/>
      <c r="C249" s="0"/>
      <c r="G249" s="238"/>
      <c r="H249" s="239"/>
      <c r="I249" s="87"/>
      <c r="J249" s="214"/>
      <c r="K249" s="87"/>
      <c r="L249" s="87"/>
      <c r="M249" s="232"/>
      <c r="N249" s="87"/>
      <c r="O249" s="87"/>
      <c r="P249" s="87"/>
      <c r="Q249" s="239"/>
      <c r="R249" s="239"/>
      <c r="S249" s="174"/>
    </row>
    <row r="250" customFormat="false" ht="12.75" hidden="false" customHeight="false" outlineLevel="0" collapsed="false">
      <c r="B250" s="0"/>
      <c r="C250" s="0"/>
      <c r="I250" s="87" t="s">
        <v>356</v>
      </c>
      <c r="J250" s="233" t="n">
        <v>-862</v>
      </c>
      <c r="K250" s="87"/>
      <c r="L250" s="87"/>
      <c r="M250" s="87"/>
      <c r="N250" s="239"/>
      <c r="O250" s="239"/>
      <c r="P250" s="239"/>
    </row>
    <row r="251" customFormat="false" ht="12.75" hidden="false" customHeight="false" outlineLevel="0" collapsed="false">
      <c r="B251" s="48"/>
      <c r="C251" s="48"/>
      <c r="I251" s="234" t="s">
        <v>356</v>
      </c>
      <c r="J251" s="235" t="n">
        <v>-1</v>
      </c>
      <c r="K251" s="87"/>
      <c r="L251" s="87"/>
      <c r="M251" s="87"/>
    </row>
    <row r="252" customFormat="false" ht="12.75" hidden="false" customHeight="false" outlineLevel="0" collapsed="false">
      <c r="B252" s="0"/>
      <c r="C252" s="0"/>
      <c r="I252" s="234" t="s">
        <v>357</v>
      </c>
      <c r="J252" s="235" t="n">
        <v>-1</v>
      </c>
      <c r="K252" s="87"/>
      <c r="L252" s="87"/>
      <c r="M252" s="87"/>
    </row>
    <row r="253" customFormat="false" ht="12.75" hidden="false" customHeight="false" outlineLevel="0" collapsed="false">
      <c r="B253" s="79"/>
      <c r="C253" s="79"/>
      <c r="I253" s="160" t="s">
        <v>359</v>
      </c>
      <c r="J253" s="237" t="n">
        <v>-1500</v>
      </c>
      <c r="K253" s="87"/>
      <c r="L253" s="87"/>
      <c r="M253" s="87"/>
    </row>
    <row r="254" customFormat="false" ht="12.75" hidden="false" customHeight="false" outlineLevel="0" collapsed="false">
      <c r="B254" s="0"/>
      <c r="C254" s="0"/>
      <c r="I254" s="234" t="s">
        <v>360</v>
      </c>
      <c r="J254" s="235" t="n">
        <v>-1</v>
      </c>
      <c r="K254" s="87"/>
      <c r="L254" s="87"/>
      <c r="M254" s="87"/>
    </row>
    <row r="255" customFormat="false" ht="12.75" hidden="false" customHeight="false" outlineLevel="0" collapsed="false">
      <c r="B255" s="0"/>
      <c r="C255" s="0"/>
      <c r="I255" s="234" t="s">
        <v>361</v>
      </c>
      <c r="J255" s="235" t="n">
        <v>-1</v>
      </c>
      <c r="K255" s="87"/>
      <c r="L255" s="87"/>
      <c r="M255" s="239"/>
    </row>
    <row r="256" customFormat="false" ht="12.75" hidden="false" customHeight="false" outlineLevel="0" collapsed="false">
      <c r="B256" s="0"/>
      <c r="C256" s="0"/>
      <c r="I256" s="160" t="s">
        <v>362</v>
      </c>
      <c r="J256" s="237" t="n">
        <v>-1000</v>
      </c>
      <c r="K256" s="87"/>
      <c r="L256" s="87"/>
    </row>
    <row r="257" customFormat="false" ht="12.75" hidden="false" customHeight="false" outlineLevel="0" collapsed="false">
      <c r="B257" s="0"/>
      <c r="C257" s="0"/>
      <c r="I257" s="234" t="s">
        <v>363</v>
      </c>
      <c r="J257" s="235" t="n">
        <v>-1</v>
      </c>
      <c r="K257" s="87"/>
      <c r="L257" s="87"/>
    </row>
    <row r="258" customFormat="false" ht="12.75" hidden="false" customHeight="false" outlineLevel="0" collapsed="false">
      <c r="B258" s="0"/>
      <c r="C258" s="0"/>
      <c r="I258" s="160" t="s">
        <v>364</v>
      </c>
      <c r="J258" s="237" t="n">
        <v>-1000</v>
      </c>
      <c r="K258" s="87"/>
      <c r="L258" s="87"/>
    </row>
    <row r="259" customFormat="false" ht="12.75" hidden="false" customHeight="false" outlineLevel="0" collapsed="false">
      <c r="B259" s="0"/>
      <c r="C259" s="0"/>
      <c r="I259" s="234" t="s">
        <v>365</v>
      </c>
      <c r="J259" s="235" t="n">
        <v>-1</v>
      </c>
      <c r="K259" s="232" t="n">
        <f aca="false">SUM(J250:J259)</f>
        <v>-4368</v>
      </c>
      <c r="L259" s="87"/>
    </row>
    <row r="260" customFormat="false" ht="12.75" hidden="false" customHeight="false" outlineLevel="0" collapsed="false">
      <c r="B260" s="0"/>
      <c r="C260" s="0"/>
      <c r="I260" s="87" t="s">
        <v>366</v>
      </c>
      <c r="J260" s="230" t="n">
        <f aca="false">-M244-K259</f>
        <v>-27365</v>
      </c>
      <c r="K260" s="232"/>
      <c r="L260" s="87"/>
    </row>
    <row r="261" customFormat="false" ht="12.75" hidden="false" customHeight="false" outlineLevel="0" collapsed="false">
      <c r="B261" s="0"/>
      <c r="C261" s="0"/>
      <c r="I261" s="87"/>
      <c r="J261" s="214" t="n">
        <f aca="false">SUM(J247:J260)</f>
        <v>-31733</v>
      </c>
      <c r="K261" s="87"/>
      <c r="L261" s="87"/>
    </row>
    <row r="262" customFormat="false" ht="12.75" hidden="false" customHeight="false" outlineLevel="0" collapsed="false">
      <c r="B262" s="0"/>
      <c r="C262" s="0"/>
      <c r="I262" s="87"/>
      <c r="J262" s="214"/>
      <c r="K262" s="87"/>
      <c r="L262" s="239"/>
    </row>
    <row r="263" customFormat="false" ht="12.75" hidden="false" customHeight="false" outlineLevel="0" collapsed="false">
      <c r="B263" s="0"/>
      <c r="C263" s="0"/>
      <c r="I263" s="87" t="s">
        <v>367</v>
      </c>
      <c r="J263" s="214" t="n">
        <v>3915</v>
      </c>
      <c r="K263" s="87"/>
    </row>
    <row r="264" customFormat="false" ht="12.75" hidden="false" customHeight="false" outlineLevel="0" collapsed="false">
      <c r="B264" s="0"/>
      <c r="C264" s="0"/>
      <c r="I264" s="87"/>
      <c r="J264" s="214"/>
      <c r="K264" s="87"/>
    </row>
    <row r="265" customFormat="false" ht="13.5" hidden="false" customHeight="false" outlineLevel="0" collapsed="false">
      <c r="B265" s="0"/>
      <c r="C265" s="0"/>
      <c r="I265" s="87"/>
      <c r="J265" s="240" t="n">
        <f aca="false">SUM(J261:J264)</f>
        <v>-27818</v>
      </c>
      <c r="K265" s="87"/>
    </row>
    <row r="266" customFormat="false" ht="13.5" hidden="false" customHeight="false" outlineLevel="0" collapsed="false">
      <c r="B266" s="0"/>
      <c r="C266" s="0"/>
      <c r="I266" s="239"/>
      <c r="J266" s="230"/>
      <c r="K266" s="239"/>
    </row>
    <row r="267" customFormat="false" ht="12.75" hidden="false" customHeight="false" outlineLevel="0" collapsed="false">
      <c r="B267" s="0"/>
      <c r="C267" s="0"/>
      <c r="J267" s="214"/>
    </row>
    <row r="268" customFormat="false" ht="12.75" hidden="false" customHeight="false" outlineLevel="0" collapsed="false">
      <c r="B268" s="0"/>
      <c r="C268" s="0"/>
      <c r="J268" s="214"/>
    </row>
    <row r="269" customFormat="false" ht="12.75" hidden="false" customHeight="false" outlineLevel="0" collapsed="false">
      <c r="B269" s="0"/>
      <c r="C269" s="0"/>
      <c r="J269" s="214" t="n">
        <f aca="false">551878-11621</f>
        <v>540257</v>
      </c>
    </row>
    <row r="270" customFormat="false" ht="12.75" hidden="false" customHeight="false" outlineLevel="0" collapsed="false">
      <c r="B270" s="0"/>
      <c r="C270" s="0"/>
      <c r="J270" s="214"/>
    </row>
    <row r="271" customFormat="false" ht="12.75" hidden="false" customHeight="false" outlineLevel="0" collapsed="false">
      <c r="B271" s="241"/>
      <c r="C271" s="241"/>
      <c r="J271" s="214"/>
    </row>
    <row r="272" customFormat="false" ht="12.75" hidden="false" customHeight="false" outlineLevel="0" collapsed="false">
      <c r="B272" s="241"/>
      <c r="C272" s="241"/>
      <c r="J272" s="214"/>
    </row>
    <row r="273" customFormat="false" ht="12.75" hidden="false" customHeight="false" outlineLevel="0" collapsed="false">
      <c r="B273" s="0"/>
      <c r="C273" s="0"/>
      <c r="J273" s="214"/>
    </row>
    <row r="274" customFormat="false" ht="12.75" hidden="false" customHeight="false" outlineLevel="0" collapsed="false">
      <c r="B274" s="0"/>
      <c r="C274" s="0"/>
      <c r="J274" s="214"/>
    </row>
    <row r="275" customFormat="false" ht="12" hidden="false" customHeight="false" outlineLevel="0" collapsed="false">
      <c r="J275" s="214"/>
    </row>
    <row r="276" customFormat="false" ht="12" hidden="false" customHeight="false" outlineLevel="0" collapsed="false">
      <c r="J276" s="214"/>
    </row>
    <row r="277" customFormat="false" ht="12" hidden="false" customHeight="false" outlineLevel="0" collapsed="false">
      <c r="J277" s="214"/>
    </row>
    <row r="278" customFormat="false" ht="12" hidden="false" customHeight="false" outlineLevel="0" collapsed="false">
      <c r="J278" s="214"/>
    </row>
    <row r="279" customFormat="false" ht="12" hidden="false" customHeight="false" outlineLevel="0" collapsed="false">
      <c r="J279" s="214"/>
    </row>
    <row r="280" customFormat="false" ht="12" hidden="false" customHeight="false" outlineLevel="0" collapsed="false">
      <c r="J280" s="214"/>
    </row>
    <row r="281" customFormat="false" ht="12" hidden="false" customHeight="false" outlineLevel="0" collapsed="false">
      <c r="J281" s="214"/>
    </row>
    <row r="282" customFormat="false" ht="12" hidden="false" customHeight="false" outlineLevel="0" collapsed="false">
      <c r="J282" s="214"/>
    </row>
    <row r="283" customFormat="false" ht="12" hidden="false" customHeight="false" outlineLevel="0" collapsed="false">
      <c r="J283" s="214"/>
    </row>
    <row r="284" customFormat="false" ht="12" hidden="false" customHeight="false" outlineLevel="0" collapsed="false">
      <c r="J284" s="214"/>
    </row>
    <row r="285" customFormat="false" ht="12" hidden="false" customHeight="false" outlineLevel="0" collapsed="false">
      <c r="J285" s="214"/>
    </row>
    <row r="286" customFormat="false" ht="12" hidden="false" customHeight="false" outlineLevel="0" collapsed="false">
      <c r="J286" s="214"/>
    </row>
    <row r="287" customFormat="false" ht="12" hidden="false" customHeight="false" outlineLevel="0" collapsed="false">
      <c r="J287" s="214"/>
    </row>
    <row r="288" customFormat="false" ht="12" hidden="false" customHeight="false" outlineLevel="0" collapsed="false">
      <c r="J288" s="214"/>
    </row>
    <row r="289" customFormat="false" ht="12" hidden="false" customHeight="false" outlineLevel="0" collapsed="false">
      <c r="J289" s="214"/>
    </row>
    <row r="290" customFormat="false" ht="12" hidden="false" customHeight="false" outlineLevel="0" collapsed="false">
      <c r="J290" s="214"/>
    </row>
    <row r="291" customFormat="false" ht="12" hidden="false" customHeight="false" outlineLevel="0" collapsed="false">
      <c r="J291" s="214"/>
    </row>
    <row r="292" customFormat="false" ht="12" hidden="false" customHeight="false" outlineLevel="0" collapsed="false">
      <c r="J292" s="214"/>
    </row>
    <row r="293" customFormat="false" ht="12" hidden="false" customHeight="false" outlineLevel="0" collapsed="false">
      <c r="J293" s="214"/>
    </row>
    <row r="294" customFormat="false" ht="12" hidden="false" customHeight="false" outlineLevel="0" collapsed="false">
      <c r="J294" s="214"/>
    </row>
    <row r="295" customFormat="false" ht="12" hidden="false" customHeight="false" outlineLevel="0" collapsed="false">
      <c r="J295" s="214"/>
    </row>
    <row r="296" customFormat="false" ht="12" hidden="false" customHeight="false" outlineLevel="0" collapsed="false">
      <c r="J296" s="214"/>
    </row>
    <row r="297" customFormat="false" ht="12" hidden="false" customHeight="false" outlineLevel="0" collapsed="false">
      <c r="J297" s="214"/>
    </row>
    <row r="298" customFormat="false" ht="12" hidden="false" customHeight="false" outlineLevel="0" collapsed="false">
      <c r="J298" s="214"/>
    </row>
    <row r="299" customFormat="false" ht="12" hidden="false" customHeight="false" outlineLevel="0" collapsed="false">
      <c r="J299" s="214"/>
    </row>
    <row r="300" customFormat="false" ht="12" hidden="false" customHeight="false" outlineLevel="0" collapsed="false">
      <c r="J300" s="214"/>
    </row>
    <row r="301" customFormat="false" ht="12" hidden="false" customHeight="false" outlineLevel="0" collapsed="false">
      <c r="J301" s="214"/>
    </row>
    <row r="302" customFormat="false" ht="12" hidden="false" customHeight="false" outlineLevel="0" collapsed="false">
      <c r="J302" s="214"/>
    </row>
    <row r="303" customFormat="false" ht="12" hidden="false" customHeight="false" outlineLevel="0" collapsed="false">
      <c r="J303" s="214"/>
    </row>
    <row r="304" customFormat="false" ht="12" hidden="false" customHeight="false" outlineLevel="0" collapsed="false">
      <c r="J304" s="214"/>
    </row>
    <row r="305" customFormat="false" ht="12" hidden="false" customHeight="false" outlineLevel="0" collapsed="false">
      <c r="J305" s="214"/>
    </row>
    <row r="306" customFormat="false" ht="12" hidden="false" customHeight="false" outlineLevel="0" collapsed="false">
      <c r="J306" s="214"/>
    </row>
    <row r="307" customFormat="false" ht="12" hidden="false" customHeight="false" outlineLevel="0" collapsed="false">
      <c r="J307" s="214"/>
    </row>
    <row r="308" customFormat="false" ht="12" hidden="false" customHeight="false" outlineLevel="0" collapsed="false">
      <c r="J308" s="214"/>
    </row>
    <row r="309" customFormat="false" ht="12" hidden="false" customHeight="false" outlineLevel="0" collapsed="false">
      <c r="J309" s="214"/>
    </row>
    <row r="310" customFormat="false" ht="12" hidden="false" customHeight="false" outlineLevel="0" collapsed="false">
      <c r="J310" s="214"/>
    </row>
    <row r="311" customFormat="false" ht="12" hidden="false" customHeight="false" outlineLevel="0" collapsed="false">
      <c r="J311" s="214"/>
    </row>
    <row r="312" customFormat="false" ht="12" hidden="false" customHeight="false" outlineLevel="0" collapsed="false">
      <c r="J312" s="214"/>
    </row>
    <row r="313" customFormat="false" ht="12" hidden="false" customHeight="false" outlineLevel="0" collapsed="false">
      <c r="J313" s="214"/>
    </row>
    <row r="314" customFormat="false" ht="12" hidden="false" customHeight="false" outlineLevel="0" collapsed="false">
      <c r="J314" s="214"/>
    </row>
    <row r="315" customFormat="false" ht="12" hidden="false" customHeight="false" outlineLevel="0" collapsed="false">
      <c r="J315" s="214"/>
    </row>
    <row r="316" customFormat="false" ht="12" hidden="false" customHeight="false" outlineLevel="0" collapsed="false">
      <c r="J316" s="214"/>
    </row>
    <row r="317" customFormat="false" ht="12" hidden="false" customHeight="false" outlineLevel="0" collapsed="false">
      <c r="J317" s="214"/>
    </row>
    <row r="318" customFormat="false" ht="12" hidden="false" customHeight="false" outlineLevel="0" collapsed="false">
      <c r="J318" s="214"/>
    </row>
    <row r="319" customFormat="false" ht="12" hidden="false" customHeight="false" outlineLevel="0" collapsed="false">
      <c r="J319" s="214"/>
    </row>
    <row r="320" customFormat="false" ht="12" hidden="false" customHeight="false" outlineLevel="0" collapsed="false">
      <c r="J320" s="214"/>
    </row>
    <row r="321" customFormat="false" ht="12" hidden="false" customHeight="false" outlineLevel="0" collapsed="false">
      <c r="J321" s="214"/>
    </row>
    <row r="322" customFormat="false" ht="12" hidden="false" customHeight="false" outlineLevel="0" collapsed="false">
      <c r="J322" s="214"/>
    </row>
    <row r="323" customFormat="false" ht="12" hidden="false" customHeight="false" outlineLevel="0" collapsed="false">
      <c r="J323" s="214"/>
    </row>
    <row r="324" customFormat="false" ht="12" hidden="false" customHeight="false" outlineLevel="0" collapsed="false">
      <c r="J324" s="214"/>
    </row>
    <row r="325" customFormat="false" ht="12" hidden="false" customHeight="false" outlineLevel="0" collapsed="false">
      <c r="J325" s="214"/>
    </row>
    <row r="326" customFormat="false" ht="12" hidden="false" customHeight="false" outlineLevel="0" collapsed="false">
      <c r="J326" s="214"/>
    </row>
    <row r="327" customFormat="false" ht="12" hidden="false" customHeight="false" outlineLevel="0" collapsed="false">
      <c r="J327" s="214"/>
    </row>
    <row r="328" customFormat="false" ht="12" hidden="false" customHeight="false" outlineLevel="0" collapsed="false">
      <c r="J328" s="214"/>
    </row>
    <row r="329" customFormat="false" ht="12" hidden="false" customHeight="false" outlineLevel="0" collapsed="false">
      <c r="J329" s="214"/>
    </row>
    <row r="330" customFormat="false" ht="12" hidden="false" customHeight="false" outlineLevel="0" collapsed="false">
      <c r="J330" s="214"/>
    </row>
    <row r="331" customFormat="false" ht="12" hidden="false" customHeight="false" outlineLevel="0" collapsed="false">
      <c r="J331" s="214"/>
    </row>
    <row r="332" customFormat="false" ht="12" hidden="false" customHeight="false" outlineLevel="0" collapsed="false">
      <c r="J332" s="214"/>
    </row>
    <row r="333" customFormat="false" ht="12" hidden="false" customHeight="false" outlineLevel="0" collapsed="false">
      <c r="J333" s="214"/>
    </row>
    <row r="334" customFormat="false" ht="12" hidden="false" customHeight="false" outlineLevel="0" collapsed="false">
      <c r="J334" s="214"/>
    </row>
    <row r="335" customFormat="false" ht="12" hidden="false" customHeight="false" outlineLevel="0" collapsed="false">
      <c r="J335" s="214"/>
    </row>
    <row r="336" customFormat="false" ht="12" hidden="false" customHeight="false" outlineLevel="0" collapsed="false">
      <c r="J336" s="214"/>
    </row>
    <row r="337" customFormat="false" ht="12" hidden="false" customHeight="false" outlineLevel="0" collapsed="false">
      <c r="J337" s="214"/>
    </row>
    <row r="338" customFormat="false" ht="12" hidden="false" customHeight="false" outlineLevel="0" collapsed="false">
      <c r="J338" s="214"/>
    </row>
    <row r="339" customFormat="false" ht="12" hidden="false" customHeight="false" outlineLevel="0" collapsed="false">
      <c r="J339" s="214"/>
    </row>
    <row r="340" customFormat="false" ht="12" hidden="false" customHeight="false" outlineLevel="0" collapsed="false">
      <c r="J340" s="214"/>
    </row>
    <row r="341" customFormat="false" ht="12" hidden="false" customHeight="false" outlineLevel="0" collapsed="false">
      <c r="J341" s="214"/>
    </row>
    <row r="342" customFormat="false" ht="12" hidden="false" customHeight="false" outlineLevel="0" collapsed="false">
      <c r="J342" s="214"/>
    </row>
    <row r="343" customFormat="false" ht="12" hidden="false" customHeight="false" outlineLevel="0" collapsed="false">
      <c r="J343" s="214"/>
    </row>
    <row r="344" customFormat="false" ht="12" hidden="false" customHeight="false" outlineLevel="0" collapsed="false">
      <c r="J344" s="214"/>
    </row>
    <row r="345" customFormat="false" ht="12" hidden="false" customHeight="false" outlineLevel="0" collapsed="false">
      <c r="J345" s="214"/>
    </row>
    <row r="346" customFormat="false" ht="12" hidden="false" customHeight="false" outlineLevel="0" collapsed="false">
      <c r="J346" s="214"/>
    </row>
    <row r="347" customFormat="false" ht="12" hidden="false" customHeight="false" outlineLevel="0" collapsed="false">
      <c r="J347" s="214"/>
    </row>
    <row r="348" customFormat="false" ht="12" hidden="false" customHeight="false" outlineLevel="0" collapsed="false">
      <c r="J348" s="214"/>
    </row>
    <row r="349" customFormat="false" ht="12" hidden="false" customHeight="false" outlineLevel="0" collapsed="false">
      <c r="J349" s="214"/>
    </row>
    <row r="350" customFormat="false" ht="12" hidden="false" customHeight="false" outlineLevel="0" collapsed="false">
      <c r="J350" s="214"/>
    </row>
    <row r="351" customFormat="false" ht="12" hidden="false" customHeight="false" outlineLevel="0" collapsed="false">
      <c r="J351" s="214"/>
    </row>
    <row r="352" customFormat="false" ht="12" hidden="false" customHeight="false" outlineLevel="0" collapsed="false">
      <c r="J352" s="214"/>
    </row>
    <row r="353" customFormat="false" ht="12" hidden="false" customHeight="false" outlineLevel="0" collapsed="false">
      <c r="J353" s="214"/>
    </row>
    <row r="354" customFormat="false" ht="12" hidden="false" customHeight="false" outlineLevel="0" collapsed="false">
      <c r="J354" s="214"/>
    </row>
    <row r="355" customFormat="false" ht="12" hidden="false" customHeight="false" outlineLevel="0" collapsed="false">
      <c r="J355" s="214"/>
    </row>
    <row r="356" customFormat="false" ht="12" hidden="false" customHeight="false" outlineLevel="0" collapsed="false">
      <c r="J356" s="214"/>
    </row>
    <row r="357" customFormat="false" ht="12" hidden="false" customHeight="false" outlineLevel="0" collapsed="false">
      <c r="J357" s="214"/>
    </row>
    <row r="358" customFormat="false" ht="12" hidden="false" customHeight="false" outlineLevel="0" collapsed="false">
      <c r="J358" s="214"/>
    </row>
    <row r="359" customFormat="false" ht="12" hidden="false" customHeight="false" outlineLevel="0" collapsed="false">
      <c r="J359" s="214"/>
    </row>
    <row r="360" customFormat="false" ht="12" hidden="false" customHeight="false" outlineLevel="0" collapsed="false">
      <c r="J360" s="214"/>
    </row>
    <row r="361" customFormat="false" ht="12" hidden="false" customHeight="false" outlineLevel="0" collapsed="false">
      <c r="J361" s="214"/>
    </row>
    <row r="362" customFormat="false" ht="12" hidden="false" customHeight="false" outlineLevel="0" collapsed="false">
      <c r="J362" s="214"/>
    </row>
    <row r="363" customFormat="false" ht="12" hidden="false" customHeight="false" outlineLevel="0" collapsed="false">
      <c r="J363" s="214"/>
    </row>
    <row r="364" customFormat="false" ht="12" hidden="false" customHeight="false" outlineLevel="0" collapsed="false">
      <c r="J364" s="214"/>
    </row>
    <row r="365" customFormat="false" ht="12" hidden="false" customHeight="false" outlineLevel="0" collapsed="false">
      <c r="J365" s="214"/>
    </row>
    <row r="366" customFormat="false" ht="12" hidden="false" customHeight="false" outlineLevel="0" collapsed="false">
      <c r="J366" s="214"/>
    </row>
    <row r="367" customFormat="false" ht="12" hidden="false" customHeight="false" outlineLevel="0" collapsed="false">
      <c r="J367" s="214"/>
    </row>
    <row r="368" customFormat="false" ht="12" hidden="false" customHeight="false" outlineLevel="0" collapsed="false">
      <c r="J368" s="214"/>
    </row>
    <row r="369" customFormat="false" ht="12" hidden="false" customHeight="false" outlineLevel="0" collapsed="false">
      <c r="J369" s="214"/>
    </row>
  </sheetData>
  <mergeCells count="18">
    <mergeCell ref="A1:H1"/>
    <mergeCell ref="K6:L6"/>
    <mergeCell ref="A31:D31"/>
    <mergeCell ref="E31:H31"/>
    <mergeCell ref="I31:J31"/>
    <mergeCell ref="E32:F32"/>
    <mergeCell ref="G32:H32"/>
    <mergeCell ref="I36:J36"/>
    <mergeCell ref="A37:D37"/>
    <mergeCell ref="I43:J43"/>
    <mergeCell ref="A46:D46"/>
    <mergeCell ref="G46:L46"/>
    <mergeCell ref="A47:B47"/>
    <mergeCell ref="C47:D47"/>
    <mergeCell ref="E47:F47"/>
    <mergeCell ref="I47:J47"/>
    <mergeCell ref="K47:L47"/>
    <mergeCell ref="A103:C103"/>
  </mergeCells>
  <printOptions headings="false" gridLines="false" gridLinesSet="true" horizontalCentered="true" verticalCentered="true"/>
  <pageMargins left="0.25" right="0.25" top="0.75" bottom="0.25" header="0.511811023622047" footer="0.2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&amp;L&amp;8Tx Desk Logistics - Daren Farmer&amp;R&amp;8&amp;D
&amp;T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369"/>
  <sheetViews>
    <sheetView showFormulas="false" showGridLines="false" showRowColHeaders="true" showZeros="true" rightToLeft="false" tabSelected="false" showOutlineSymbols="true" defaultGridColor="true" view="normal" topLeftCell="A23" colorId="64" zoomScale="80" zoomScaleNormal="80" zoomScalePageLayoutView="100" workbookViewId="0">
      <selection pane="topLeft" activeCell="B52" activeCellId="0" sqref="B52:I52"/>
    </sheetView>
  </sheetViews>
  <sheetFormatPr defaultColWidth="9.13671875" defaultRowHeight="12" customHeight="true" zeroHeight="false" outlineLevelRow="0" outlineLevelCol="0"/>
  <cols>
    <col collapsed="false" customWidth="true" hidden="false" outlineLevel="0" max="2" min="1" style="1" width="12.14"/>
    <col collapsed="false" customWidth="true" hidden="false" outlineLevel="0" max="3" min="3" style="1" width="11.28"/>
    <col collapsed="false" customWidth="true" hidden="false" outlineLevel="0" max="4" min="4" style="1" width="11.85"/>
    <col collapsed="false" customWidth="true" hidden="false" outlineLevel="0" max="5" min="5" style="1" width="11.56"/>
    <col collapsed="false" customWidth="true" hidden="false" outlineLevel="0" max="6" min="6" style="1" width="11.7"/>
    <col collapsed="false" customWidth="true" hidden="false" outlineLevel="0" max="7" min="7" style="1" width="11.85"/>
    <col collapsed="false" customWidth="true" hidden="false" outlineLevel="0" max="8" min="8" style="1" width="11.7"/>
    <col collapsed="false" customWidth="true" hidden="false" outlineLevel="0" max="9" min="9" style="1" width="11.85"/>
    <col collapsed="false" customWidth="true" hidden="false" outlineLevel="0" max="10" min="10" style="1" width="8.7"/>
    <col collapsed="false" customWidth="true" hidden="false" outlineLevel="0" max="11" min="11" style="1" width="11.85"/>
    <col collapsed="false" customWidth="false" hidden="false" outlineLevel="0" max="12" min="12" style="1" width="9.14"/>
    <col collapsed="false" customWidth="true" hidden="false" outlineLevel="0" max="13" min="13" style="1" width="8.56"/>
    <col collapsed="false" customWidth="false" hidden="false" outlineLevel="0" max="14" min="14" style="1" width="9.14"/>
    <col collapsed="false" customWidth="true" hidden="false" outlineLevel="0" max="15" min="15" style="1" width="5.56"/>
    <col collapsed="false" customWidth="false" hidden="false" outlineLevel="0" max="257" min="16" style="1" width="9.14"/>
  </cols>
  <sheetData>
    <row r="1" customFormat="false" ht="16.5" hidden="false" customHeight="fals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  <c r="IP1" s="3"/>
      <c r="IQ1" s="3"/>
      <c r="IR1" s="3"/>
      <c r="IS1" s="3"/>
      <c r="IT1" s="3"/>
      <c r="IU1" s="3"/>
      <c r="IV1" s="3"/>
      <c r="IW1" s="3"/>
    </row>
    <row r="2" customFormat="false" ht="12.75" hidden="false" customHeight="false" outlineLevel="0" collapsed="false">
      <c r="A2" s="4"/>
      <c r="B2" s="5"/>
      <c r="C2" s="5"/>
      <c r="D2" s="6"/>
      <c r="E2" s="6"/>
      <c r="F2" s="6"/>
      <c r="G2" s="5"/>
      <c r="H2" s="7"/>
    </row>
    <row r="3" customFormat="false" ht="13.5" hidden="false" customHeight="false" outlineLevel="0" collapsed="false">
      <c r="A3" s="8"/>
      <c r="B3" s="9"/>
      <c r="C3" s="10"/>
      <c r="D3" s="6"/>
      <c r="E3" s="10"/>
      <c r="F3" s="10"/>
      <c r="G3" s="10"/>
      <c r="H3" s="7"/>
    </row>
    <row r="4" customFormat="false" ht="12.75" hidden="false" customHeight="false" outlineLevel="0" collapsed="false">
      <c r="A4" s="11"/>
      <c r="B4" s="5"/>
      <c r="C4" s="5"/>
      <c r="D4" s="12" t="s">
        <v>419</v>
      </c>
      <c r="E4" s="242"/>
      <c r="F4" s="242"/>
      <c r="G4" s="243"/>
      <c r="H4" s="244"/>
      <c r="L4" s="0"/>
    </row>
    <row r="5" customFormat="false" ht="13.5" hidden="false" customHeight="false" outlineLevel="0" collapsed="false">
      <c r="A5" s="16"/>
      <c r="B5" s="6"/>
      <c r="C5" s="6"/>
      <c r="D5" s="17" t="s">
        <v>2</v>
      </c>
      <c r="E5" s="245" t="s">
        <v>369</v>
      </c>
      <c r="F5" s="245" t="str">
        <f aca="false">D4</f>
        <v>Mar</v>
      </c>
      <c r="G5" s="246" t="str">
        <f aca="false">+F5</f>
        <v>Mar</v>
      </c>
      <c r="H5" s="247" t="str">
        <f aca="false">+F5</f>
        <v>Mar</v>
      </c>
      <c r="L5" s="0"/>
    </row>
    <row r="6" customFormat="false" ht="13.5" hidden="false" customHeight="false" outlineLevel="0" collapsed="false">
      <c r="A6" s="16"/>
      <c r="B6" s="6"/>
      <c r="C6" s="6"/>
      <c r="D6" s="21" t="s">
        <v>4</v>
      </c>
      <c r="E6" s="248" t="s">
        <v>2</v>
      </c>
      <c r="F6" s="248" t="n">
        <v>99</v>
      </c>
      <c r="G6" s="249" t="s">
        <v>5</v>
      </c>
      <c r="H6" s="250" t="s">
        <v>6</v>
      </c>
      <c r="I6" s="25"/>
      <c r="K6" s="26" t="s">
        <v>7</v>
      </c>
      <c r="L6" s="26"/>
    </row>
    <row r="7" customFormat="false" ht="12.75" hidden="false" customHeight="false" outlineLevel="0" collapsed="false">
      <c r="A7" s="27" t="s">
        <v>8</v>
      </c>
      <c r="B7" s="6"/>
      <c r="D7" s="28" t="n">
        <f aca="false">C186+C206</f>
        <v>468.544</v>
      </c>
      <c r="E7" s="310" t="n">
        <f aca="false">736.504-E11-E12</f>
        <v>514.486</v>
      </c>
      <c r="F7" s="251" t="n">
        <v>541.2</v>
      </c>
      <c r="G7" s="252" t="n">
        <f aca="false">D7*1.1</f>
        <v>515.3984</v>
      </c>
      <c r="H7" s="253" t="n">
        <f aca="false">D7*0.9</f>
        <v>421.6896</v>
      </c>
      <c r="I7" s="32"/>
      <c r="K7" s="33" t="s">
        <v>9</v>
      </c>
      <c r="L7" s="34" t="n">
        <f aca="false">C113</f>
        <v>16.5</v>
      </c>
      <c r="N7" s="0"/>
      <c r="O7" s="0"/>
    </row>
    <row r="8" customFormat="false" ht="12.75" hidden="false" customHeight="false" outlineLevel="0" collapsed="false">
      <c r="A8" s="27" t="s">
        <v>375</v>
      </c>
      <c r="B8" s="6"/>
      <c r="C8" s="35"/>
      <c r="D8" s="37" t="n">
        <f aca="false">70+70</f>
        <v>140</v>
      </c>
      <c r="E8" s="310" t="n">
        <f aca="false">71.396+94.42</f>
        <v>165.816</v>
      </c>
      <c r="F8" s="254" t="n">
        <f aca="false">39.366+43.281</f>
        <v>82.647</v>
      </c>
      <c r="G8" s="255" t="n">
        <f aca="false">73+105</f>
        <v>178</v>
      </c>
      <c r="H8" s="253" t="n">
        <f aca="false">65.7+60</f>
        <v>125.7</v>
      </c>
      <c r="I8" s="25"/>
      <c r="K8" s="39" t="s">
        <v>11</v>
      </c>
      <c r="L8" s="40" t="n">
        <f aca="false">C114+C190</f>
        <v>0</v>
      </c>
      <c r="N8" s="0"/>
      <c r="O8" s="0"/>
    </row>
    <row r="9" customFormat="false" ht="12.75" hidden="false" customHeight="false" outlineLevel="0" collapsed="false">
      <c r="A9" s="27" t="s">
        <v>12</v>
      </c>
      <c r="B9" s="6"/>
      <c r="C9" s="6"/>
      <c r="D9" s="37" t="n">
        <v>20</v>
      </c>
      <c r="E9" s="310" t="n">
        <v>36.81</v>
      </c>
      <c r="F9" s="254" t="n">
        <v>20.407</v>
      </c>
      <c r="G9" s="255" t="n">
        <v>60</v>
      </c>
      <c r="H9" s="253" t="n">
        <v>20</v>
      </c>
      <c r="I9" s="25"/>
      <c r="K9" s="39" t="s">
        <v>13</v>
      </c>
      <c r="L9" s="41" t="n">
        <f aca="false">C120+C192</f>
        <v>20</v>
      </c>
      <c r="N9" s="0"/>
      <c r="O9" s="0"/>
    </row>
    <row r="10" customFormat="false" ht="12.75" hidden="false" customHeight="false" outlineLevel="0" collapsed="false">
      <c r="A10" s="27" t="s">
        <v>14</v>
      </c>
      <c r="B10" s="6"/>
      <c r="C10" s="6"/>
      <c r="D10" s="37" t="n">
        <v>34.118</v>
      </c>
      <c r="E10" s="310" t="n">
        <v>33.025</v>
      </c>
      <c r="F10" s="254" t="n">
        <v>77</v>
      </c>
      <c r="G10" s="255" t="n">
        <v>0</v>
      </c>
      <c r="H10" s="253" t="n">
        <v>0</v>
      </c>
      <c r="I10" s="42"/>
      <c r="K10" s="39" t="s">
        <v>15</v>
      </c>
      <c r="L10" s="40" t="n">
        <f aca="false">C122+C193</f>
        <v>0</v>
      </c>
      <c r="N10" s="0"/>
      <c r="O10" s="0"/>
    </row>
    <row r="11" customFormat="false" ht="12.75" hidden="false" customHeight="false" outlineLevel="0" collapsed="false">
      <c r="A11" s="27" t="s">
        <v>16</v>
      </c>
      <c r="B11" s="6"/>
      <c r="C11" s="6"/>
      <c r="D11" s="37" t="n">
        <f aca="false">110+15+0.4</f>
        <v>125.4</v>
      </c>
      <c r="E11" s="310" t="n">
        <v>126.13</v>
      </c>
      <c r="F11" s="254" t="n">
        <v>114.28</v>
      </c>
      <c r="G11" s="255" t="n">
        <v>145</v>
      </c>
      <c r="H11" s="253" t="n">
        <v>90</v>
      </c>
      <c r="I11" s="25"/>
      <c r="K11" s="39" t="s">
        <v>17</v>
      </c>
      <c r="L11" s="40" t="n">
        <f aca="false">C129+C194</f>
        <v>0</v>
      </c>
      <c r="N11" s="0"/>
      <c r="O11" s="0"/>
    </row>
    <row r="12" customFormat="false" ht="12.75" hidden="false" customHeight="false" outlineLevel="0" collapsed="false">
      <c r="A12" s="27" t="s">
        <v>18</v>
      </c>
      <c r="B12" s="6"/>
      <c r="C12" s="6"/>
      <c r="D12" s="37" t="n">
        <v>95</v>
      </c>
      <c r="E12" s="310" t="n">
        <v>95.888</v>
      </c>
      <c r="F12" s="254" t="n">
        <v>106.53</v>
      </c>
      <c r="G12" s="255" t="n">
        <f aca="false">90*1.05</f>
        <v>94.5</v>
      </c>
      <c r="H12" s="253" t="n">
        <f aca="false">90*0.95</f>
        <v>85.5</v>
      </c>
      <c r="I12" s="25"/>
      <c r="K12" s="39" t="s">
        <v>19</v>
      </c>
      <c r="L12" s="40" t="n">
        <f aca="false">C139+C197</f>
        <v>65</v>
      </c>
      <c r="N12" s="0"/>
      <c r="O12" s="0"/>
    </row>
    <row r="13" customFormat="false" ht="12.75" hidden="false" customHeight="false" outlineLevel="0" collapsed="false">
      <c r="A13" s="27" t="s">
        <v>20</v>
      </c>
      <c r="B13" s="6"/>
      <c r="C13" s="6"/>
      <c r="D13" s="37" t="n">
        <v>55</v>
      </c>
      <c r="E13" s="310" t="n">
        <v>55</v>
      </c>
      <c r="F13" s="254" t="n">
        <v>53.493</v>
      </c>
      <c r="G13" s="255" t="n">
        <v>180</v>
      </c>
      <c r="H13" s="253" t="n">
        <v>0</v>
      </c>
      <c r="I13" s="25"/>
      <c r="J13" s="0"/>
      <c r="K13" s="39" t="s">
        <v>21</v>
      </c>
      <c r="L13" s="40" t="n">
        <f aca="false">C138+C196</f>
        <v>33</v>
      </c>
      <c r="N13" s="0"/>
      <c r="O13" s="0"/>
    </row>
    <row r="14" customFormat="false" ht="12.75" hidden="false" customHeight="false" outlineLevel="0" collapsed="false">
      <c r="A14" s="27" t="s">
        <v>22</v>
      </c>
      <c r="B14" s="6"/>
      <c r="C14" s="6"/>
      <c r="D14" s="37" t="n">
        <f aca="false">B67</f>
        <v>11.058</v>
      </c>
      <c r="E14" s="310" t="n">
        <v>10.558</v>
      </c>
      <c r="F14" s="254" t="n">
        <v>6.7</v>
      </c>
      <c r="G14" s="255" t="n">
        <f aca="false">D14*1.05</f>
        <v>11.6109</v>
      </c>
      <c r="H14" s="253" t="n">
        <f aca="false">D14*0.95</f>
        <v>10.5051</v>
      </c>
      <c r="I14" s="25"/>
      <c r="K14" s="39" t="s">
        <v>23</v>
      </c>
      <c r="L14" s="40" t="n">
        <f aca="false">C142+C198</f>
        <v>30</v>
      </c>
      <c r="N14" s="0"/>
      <c r="O14" s="0"/>
    </row>
    <row r="15" customFormat="false" ht="12.75" hidden="false" customHeight="false" outlineLevel="0" collapsed="false">
      <c r="A15" s="27" t="s">
        <v>370</v>
      </c>
      <c r="B15" s="6"/>
      <c r="C15" s="6"/>
      <c r="D15" s="37" t="n">
        <f aca="false">SUM(D16:D18)</f>
        <v>228</v>
      </c>
      <c r="E15" s="310" t="n">
        <f aca="false">SUM(E16:E18)</f>
        <v>201</v>
      </c>
      <c r="F15" s="254" t="n">
        <f aca="false">SUM(F16:F18)</f>
        <v>141</v>
      </c>
      <c r="G15" s="255" t="n">
        <v>1174</v>
      </c>
      <c r="H15" s="253" t="n">
        <v>0</v>
      </c>
      <c r="I15" s="25"/>
      <c r="K15" s="39" t="s">
        <v>25</v>
      </c>
      <c r="L15" s="40" t="n">
        <f aca="false">C154+C200</f>
        <v>20</v>
      </c>
      <c r="N15" s="0"/>
      <c r="O15" s="0"/>
    </row>
    <row r="16" customFormat="false" ht="12.75" hidden="false" customHeight="false" outlineLevel="0" collapsed="false">
      <c r="A16" s="27" t="s">
        <v>371</v>
      </c>
      <c r="B16" s="43"/>
      <c r="C16" s="6"/>
      <c r="D16" s="44" t="n">
        <v>160</v>
      </c>
      <c r="E16" s="310" t="n">
        <f aca="false">127+5</f>
        <v>132</v>
      </c>
      <c r="F16" s="254" t="n">
        <v>75</v>
      </c>
      <c r="G16" s="255"/>
      <c r="H16" s="253"/>
      <c r="I16" s="25"/>
      <c r="K16" s="39" t="s">
        <v>27</v>
      </c>
      <c r="L16" s="40" t="n">
        <f aca="false">C110</f>
        <v>0</v>
      </c>
      <c r="N16" s="0"/>
      <c r="O16" s="0"/>
      <c r="P16" s="0"/>
    </row>
    <row r="17" customFormat="false" ht="12.75" hidden="false" customHeight="false" outlineLevel="0" collapsed="false">
      <c r="A17" s="27" t="s">
        <v>372</v>
      </c>
      <c r="B17" s="43"/>
      <c r="C17" s="6"/>
      <c r="D17" s="44" t="n">
        <v>10</v>
      </c>
      <c r="E17" s="310" t="n">
        <v>10</v>
      </c>
      <c r="F17" s="254" t="n">
        <v>8</v>
      </c>
      <c r="G17" s="255"/>
      <c r="H17" s="253"/>
      <c r="I17" s="25"/>
      <c r="K17" s="39" t="s">
        <v>29</v>
      </c>
      <c r="L17" s="40" t="n">
        <f aca="false">C172+C202</f>
        <v>40</v>
      </c>
      <c r="N17" s="0"/>
      <c r="O17" s="0"/>
      <c r="P17" s="0"/>
    </row>
    <row r="18" customFormat="false" ht="12.75" hidden="false" customHeight="false" outlineLevel="0" collapsed="false">
      <c r="A18" s="27" t="s">
        <v>373</v>
      </c>
      <c r="B18" s="43"/>
      <c r="C18" s="6"/>
      <c r="D18" s="44" t="n">
        <v>58</v>
      </c>
      <c r="E18" s="310" t="n">
        <v>59</v>
      </c>
      <c r="F18" s="254" t="n">
        <v>58</v>
      </c>
      <c r="G18" s="255"/>
      <c r="H18" s="253"/>
      <c r="I18" s="25"/>
      <c r="K18" s="39" t="s">
        <v>31</v>
      </c>
      <c r="L18" s="40" t="n">
        <f aca="false">C173</f>
        <v>19</v>
      </c>
      <c r="N18" s="0"/>
      <c r="O18" s="0"/>
      <c r="P18" s="0"/>
    </row>
    <row r="19" customFormat="false" ht="13.5" hidden="false" customHeight="false" outlineLevel="0" collapsed="false">
      <c r="A19" s="27" t="s">
        <v>26</v>
      </c>
      <c r="B19" s="35"/>
      <c r="C19" s="35"/>
      <c r="D19" s="37" t="n">
        <f aca="false">F68-B67</f>
        <v>155</v>
      </c>
      <c r="E19" s="310" t="n">
        <f aca="false">Jan!D16</f>
        <v>257.21</v>
      </c>
      <c r="F19" s="254" t="n">
        <v>0</v>
      </c>
      <c r="G19" s="255" t="n">
        <v>0</v>
      </c>
      <c r="H19" s="253" t="n">
        <v>0</v>
      </c>
      <c r="I19" s="45"/>
      <c r="K19" s="55" t="s">
        <v>33</v>
      </c>
      <c r="L19" s="56" t="n">
        <f aca="false">C177+C205</f>
        <v>65</v>
      </c>
      <c r="N19" s="0"/>
      <c r="O19" s="0"/>
    </row>
    <row r="20" customFormat="false" ht="12.75" hidden="false" customHeight="false" outlineLevel="0" collapsed="false">
      <c r="A20" s="27" t="s">
        <v>28</v>
      </c>
      <c r="B20" s="6"/>
      <c r="C20" s="6"/>
      <c r="D20" s="46" t="n">
        <f aca="false">SUM(D7:D19)-D15</f>
        <v>1332.12</v>
      </c>
      <c r="E20" s="257" t="n">
        <f aca="false">SUM(E7:E19)-E15</f>
        <v>1495.923</v>
      </c>
      <c r="F20" s="257" t="n">
        <f aca="false">SUM(F7:F19)-F15</f>
        <v>1143.257</v>
      </c>
      <c r="G20" s="257" t="n">
        <f aca="false">SUM(G7:G19)</f>
        <v>2358.5093</v>
      </c>
      <c r="H20" s="258" t="n">
        <f aca="false">SUM(H7:H19)</f>
        <v>753.3947</v>
      </c>
      <c r="I20" s="32"/>
      <c r="L20" s="0"/>
      <c r="N20" s="0"/>
      <c r="O20" s="48"/>
    </row>
    <row r="21" customFormat="false" ht="12.75" hidden="false" customHeight="false" outlineLevel="0" collapsed="false">
      <c r="A21" s="27" t="s">
        <v>30</v>
      </c>
      <c r="B21" s="6"/>
      <c r="C21" s="6"/>
      <c r="D21" s="49" t="n">
        <f aca="false">D32</f>
        <v>0</v>
      </c>
      <c r="E21" s="311" t="n">
        <v>-64.5161290322581</v>
      </c>
      <c r="F21" s="259" t="n">
        <v>0</v>
      </c>
      <c r="G21" s="260" t="n">
        <v>0</v>
      </c>
      <c r="H21" s="261" t="n">
        <v>0</v>
      </c>
      <c r="I21" s="25"/>
      <c r="L21" s="0"/>
      <c r="N21" s="48"/>
      <c r="O21" s="0"/>
    </row>
    <row r="22" customFormat="false" ht="12.75" hidden="false" customHeight="false" outlineLevel="0" collapsed="false">
      <c r="A22" s="27" t="s">
        <v>32</v>
      </c>
      <c r="B22" s="6"/>
      <c r="C22" s="6"/>
      <c r="D22" s="37" t="n">
        <v>2.5</v>
      </c>
      <c r="E22" s="254" t="n">
        <v>2.5</v>
      </c>
      <c r="F22" s="254" t="n">
        <v>2.5</v>
      </c>
      <c r="G22" s="262" t="n">
        <v>0</v>
      </c>
      <c r="H22" s="261" t="n">
        <v>0</v>
      </c>
      <c r="I22" s="25"/>
      <c r="L22" s="0"/>
      <c r="N22" s="0"/>
    </row>
    <row r="23" customFormat="false" ht="12.75" hidden="false" customHeight="false" outlineLevel="0" collapsed="false">
      <c r="A23" s="16"/>
      <c r="B23" s="6"/>
      <c r="C23" s="57" t="s">
        <v>34</v>
      </c>
      <c r="D23" s="46" t="n">
        <f aca="false">D22+D21+D20</f>
        <v>1334.62</v>
      </c>
      <c r="E23" s="257" t="n">
        <f aca="false">E22+E21+E20</f>
        <v>1433.90687096774</v>
      </c>
      <c r="F23" s="257" t="n">
        <f aca="false">F22+F21+F20</f>
        <v>1145.757</v>
      </c>
      <c r="G23" s="257" t="n">
        <f aca="false">G22+G21+G20</f>
        <v>2358.5093</v>
      </c>
      <c r="H23" s="263" t="n">
        <f aca="false">H22+H21+H20</f>
        <v>753.3947</v>
      </c>
      <c r="I23" s="25"/>
      <c r="L23" s="0"/>
    </row>
    <row r="24" customFormat="false" ht="12.75" hidden="false" customHeight="false" outlineLevel="0" collapsed="false">
      <c r="A24" s="27" t="s">
        <v>35</v>
      </c>
      <c r="B24" s="6"/>
      <c r="C24" s="6"/>
      <c r="D24" s="49" t="n">
        <f aca="false">D44</f>
        <v>1065.776</v>
      </c>
      <c r="E24" s="312" t="n">
        <f aca="false">Jan!D21</f>
        <v>1168.826</v>
      </c>
      <c r="F24" s="312" t="n">
        <v>1660</v>
      </c>
      <c r="G24" s="313" t="n">
        <f aca="false">D24</f>
        <v>1065.776</v>
      </c>
      <c r="H24" s="314" t="n">
        <f aca="false">D24</f>
        <v>1065.776</v>
      </c>
      <c r="I24" s="25"/>
      <c r="L24" s="0"/>
    </row>
    <row r="25" customFormat="false" ht="12.75" hidden="false" customHeight="false" outlineLevel="0" collapsed="false">
      <c r="A25" s="282" t="s">
        <v>37</v>
      </c>
      <c r="B25" s="6"/>
      <c r="C25" s="6"/>
      <c r="D25" s="49" t="n">
        <v>44.4</v>
      </c>
      <c r="E25" s="254" t="n">
        <v>54</v>
      </c>
      <c r="F25" s="254"/>
      <c r="G25" s="259"/>
      <c r="H25" s="261"/>
      <c r="I25" s="25"/>
      <c r="L25" s="0"/>
    </row>
    <row r="26" customFormat="false" ht="13.5" hidden="false" customHeight="false" outlineLevel="0" collapsed="false">
      <c r="A26" s="62"/>
      <c r="B26" s="63"/>
      <c r="C26" s="64" t="s">
        <v>36</v>
      </c>
      <c r="D26" s="65" t="n">
        <f aca="false">D24+D25-D23</f>
        <v>-224.444</v>
      </c>
      <c r="E26" s="267" t="n">
        <f aca="false">E24-E23+E25</f>
        <v>-211.080870967742</v>
      </c>
      <c r="F26" s="267" t="n">
        <f aca="false">F24-F23</f>
        <v>514.243</v>
      </c>
      <c r="G26" s="267" t="n">
        <f aca="false">+G23-G24</f>
        <v>1292.7333</v>
      </c>
      <c r="H26" s="267" t="n">
        <f aca="false">+(H23-H24)</f>
        <v>-312.3813</v>
      </c>
      <c r="I26" s="32"/>
      <c r="L26" s="0"/>
    </row>
    <row r="27" customFormat="false" ht="4.5" hidden="false" customHeight="true" outlineLevel="0" collapsed="false">
      <c r="A27" s="66"/>
      <c r="B27" s="6"/>
      <c r="C27" s="67"/>
      <c r="D27" s="68"/>
      <c r="E27" s="69"/>
      <c r="F27" s="69"/>
      <c r="G27" s="70"/>
      <c r="H27" s="70"/>
      <c r="I27" s="32"/>
      <c r="K27" s="78"/>
      <c r="L27" s="79"/>
    </row>
    <row r="28" customFormat="false" ht="12.75" hidden="false" customHeight="false" outlineLevel="0" collapsed="false">
      <c r="A28" s="16"/>
      <c r="C28" s="73" t="s">
        <v>38</v>
      </c>
      <c r="D28" s="72" t="n">
        <v>0</v>
      </c>
      <c r="E28" s="69"/>
      <c r="F28" s="69"/>
      <c r="G28" s="69"/>
      <c r="H28" s="69"/>
      <c r="I28" s="32"/>
      <c r="L28" s="0"/>
    </row>
    <row r="29" customFormat="false" ht="13.5" hidden="false" customHeight="true" outlineLevel="0" collapsed="false">
      <c r="A29" s="74"/>
      <c r="B29" s="75"/>
      <c r="C29" s="76" t="s">
        <v>39</v>
      </c>
      <c r="D29" s="77" t="n">
        <f aca="false">D26+D28</f>
        <v>-224.444</v>
      </c>
      <c r="E29" s="69"/>
      <c r="F29" s="69"/>
      <c r="G29" s="69"/>
      <c r="H29" s="69"/>
      <c r="I29" s="32"/>
      <c r="J29" s="78"/>
      <c r="L29" s="0"/>
      <c r="M29" s="78"/>
      <c r="N29" s="78"/>
      <c r="O29" s="78"/>
      <c r="P29" s="78"/>
      <c r="Q29" s="78"/>
      <c r="R29" s="78"/>
      <c r="S29" s="78"/>
      <c r="T29" s="78"/>
      <c r="U29" s="78"/>
      <c r="V29" s="78"/>
      <c r="W29" s="78"/>
      <c r="X29" s="78"/>
      <c r="Y29" s="78"/>
      <c r="Z29" s="78"/>
      <c r="AA29" s="78"/>
      <c r="AB29" s="78"/>
      <c r="AC29" s="78"/>
      <c r="AD29" s="78"/>
      <c r="AE29" s="78"/>
      <c r="AF29" s="78"/>
      <c r="AG29" s="78"/>
      <c r="AH29" s="78"/>
      <c r="AI29" s="78"/>
      <c r="AJ29" s="78"/>
      <c r="AK29" s="80"/>
      <c r="AL29" s="80"/>
      <c r="AM29" s="80"/>
      <c r="AN29" s="80"/>
      <c r="AO29" s="80"/>
      <c r="AP29" s="80"/>
      <c r="AQ29" s="80"/>
      <c r="AR29" s="80"/>
      <c r="AS29" s="80"/>
      <c r="AT29" s="80"/>
      <c r="AU29" s="80"/>
      <c r="AV29" s="80"/>
      <c r="AW29" s="80"/>
      <c r="AX29" s="80"/>
      <c r="AY29" s="80"/>
      <c r="AZ29" s="80"/>
      <c r="BA29" s="80"/>
      <c r="BB29" s="80"/>
      <c r="BC29" s="80"/>
      <c r="BD29" s="80"/>
      <c r="BE29" s="80"/>
      <c r="BF29" s="80"/>
      <c r="BG29" s="80"/>
      <c r="BH29" s="80"/>
      <c r="BI29" s="80"/>
      <c r="BJ29" s="80"/>
      <c r="BK29" s="80"/>
      <c r="BL29" s="80"/>
      <c r="BM29" s="80"/>
      <c r="BN29" s="80"/>
      <c r="BO29" s="80"/>
      <c r="BP29" s="80"/>
      <c r="BQ29" s="80"/>
      <c r="BR29" s="80"/>
      <c r="BS29" s="80"/>
      <c r="BT29" s="80"/>
      <c r="BU29" s="80"/>
      <c r="BV29" s="80"/>
      <c r="BW29" s="80"/>
      <c r="BX29" s="80"/>
      <c r="BY29" s="80"/>
      <c r="BZ29" s="80"/>
      <c r="CA29" s="80"/>
      <c r="CB29" s="80"/>
      <c r="CC29" s="80"/>
      <c r="CD29" s="80"/>
      <c r="CE29" s="80"/>
      <c r="CF29" s="80"/>
      <c r="CG29" s="80"/>
      <c r="CH29" s="80"/>
      <c r="CI29" s="80"/>
      <c r="CJ29" s="80"/>
      <c r="CK29" s="80"/>
      <c r="CL29" s="80"/>
      <c r="CM29" s="80"/>
      <c r="CN29" s="80"/>
      <c r="CO29" s="80"/>
      <c r="CP29" s="80"/>
      <c r="CQ29" s="80"/>
      <c r="CR29" s="80"/>
      <c r="CS29" s="80"/>
      <c r="CT29" s="80"/>
      <c r="CU29" s="80"/>
      <c r="CV29" s="80"/>
      <c r="CW29" s="80"/>
      <c r="CX29" s="80"/>
      <c r="CY29" s="80"/>
      <c r="CZ29" s="80"/>
      <c r="DA29" s="80"/>
      <c r="DB29" s="80"/>
      <c r="DC29" s="80"/>
      <c r="DD29" s="80"/>
      <c r="DE29" s="80"/>
      <c r="DF29" s="80"/>
      <c r="DG29" s="80"/>
      <c r="DH29" s="80"/>
      <c r="DI29" s="80"/>
      <c r="DJ29" s="80"/>
      <c r="DK29" s="80"/>
      <c r="DL29" s="80"/>
      <c r="DM29" s="80"/>
      <c r="DN29" s="80"/>
      <c r="DO29" s="80"/>
      <c r="DP29" s="80"/>
      <c r="DQ29" s="80"/>
      <c r="DR29" s="80"/>
      <c r="DS29" s="80"/>
      <c r="DT29" s="80"/>
      <c r="DU29" s="80"/>
      <c r="DV29" s="80"/>
      <c r="DW29" s="80"/>
      <c r="DX29" s="80"/>
      <c r="DY29" s="80"/>
      <c r="DZ29" s="80"/>
      <c r="EA29" s="80"/>
      <c r="EB29" s="80"/>
      <c r="EC29" s="80"/>
      <c r="ED29" s="80"/>
      <c r="EE29" s="80"/>
      <c r="EF29" s="80"/>
      <c r="EG29" s="80"/>
      <c r="EH29" s="80"/>
      <c r="EI29" s="80"/>
      <c r="EJ29" s="80"/>
      <c r="EK29" s="80"/>
      <c r="EL29" s="80"/>
      <c r="EM29" s="80"/>
      <c r="EN29" s="80"/>
      <c r="EO29" s="80"/>
      <c r="EP29" s="80"/>
      <c r="EQ29" s="80"/>
      <c r="ER29" s="80"/>
      <c r="ES29" s="80"/>
      <c r="ET29" s="80"/>
      <c r="EU29" s="80"/>
      <c r="EV29" s="80"/>
      <c r="EW29" s="80"/>
      <c r="EX29" s="80"/>
      <c r="EY29" s="80"/>
      <c r="EZ29" s="80"/>
      <c r="FA29" s="80"/>
      <c r="FB29" s="80"/>
      <c r="FC29" s="80"/>
      <c r="FD29" s="80"/>
      <c r="FE29" s="80"/>
      <c r="FF29" s="80"/>
      <c r="FG29" s="80"/>
      <c r="FH29" s="80"/>
      <c r="FI29" s="80"/>
      <c r="FJ29" s="80"/>
      <c r="FK29" s="80"/>
      <c r="FL29" s="80"/>
      <c r="FM29" s="80"/>
      <c r="FN29" s="80"/>
      <c r="FO29" s="80"/>
      <c r="FP29" s="80"/>
      <c r="FQ29" s="80"/>
      <c r="FR29" s="80"/>
      <c r="FS29" s="80"/>
      <c r="FT29" s="80"/>
      <c r="FU29" s="80"/>
      <c r="FV29" s="80"/>
      <c r="FW29" s="80"/>
      <c r="FX29" s="80"/>
      <c r="FY29" s="80"/>
      <c r="FZ29" s="80"/>
      <c r="GA29" s="80"/>
      <c r="GB29" s="80"/>
      <c r="GC29" s="80"/>
      <c r="GD29" s="80"/>
      <c r="GE29" s="80"/>
      <c r="GF29" s="80"/>
      <c r="GG29" s="80"/>
      <c r="GH29" s="80"/>
      <c r="GI29" s="80"/>
      <c r="GJ29" s="80"/>
      <c r="GK29" s="80"/>
      <c r="GL29" s="80"/>
      <c r="GM29" s="80"/>
      <c r="GN29" s="80"/>
      <c r="GO29" s="80"/>
      <c r="GP29" s="80"/>
      <c r="GQ29" s="80"/>
      <c r="GR29" s="80"/>
      <c r="GS29" s="80"/>
      <c r="GT29" s="80"/>
      <c r="GU29" s="80"/>
      <c r="GV29" s="80"/>
      <c r="GW29" s="80"/>
      <c r="GX29" s="80"/>
      <c r="GY29" s="80"/>
      <c r="GZ29" s="80"/>
      <c r="HA29" s="80"/>
      <c r="HB29" s="80"/>
      <c r="HC29" s="80"/>
      <c r="HD29" s="80"/>
      <c r="HE29" s="80"/>
      <c r="HF29" s="80"/>
      <c r="HG29" s="80"/>
      <c r="HH29" s="80"/>
      <c r="HI29" s="80"/>
      <c r="HJ29" s="80"/>
      <c r="HK29" s="80"/>
      <c r="HL29" s="80"/>
      <c r="HM29" s="80"/>
      <c r="HN29" s="80"/>
      <c r="HO29" s="80"/>
      <c r="HP29" s="80"/>
      <c r="HQ29" s="80"/>
      <c r="HR29" s="80"/>
      <c r="HS29" s="80"/>
      <c r="HT29" s="80"/>
      <c r="HU29" s="80"/>
      <c r="HV29" s="80"/>
      <c r="HW29" s="80"/>
      <c r="HX29" s="80"/>
      <c r="HY29" s="80"/>
      <c r="HZ29" s="80"/>
      <c r="IA29" s="80"/>
      <c r="IB29" s="80"/>
      <c r="IC29" s="80"/>
      <c r="ID29" s="80"/>
      <c r="IE29" s="80"/>
      <c r="IF29" s="80"/>
      <c r="IG29" s="80"/>
      <c r="IH29" s="80"/>
      <c r="II29" s="80"/>
      <c r="IJ29" s="80"/>
      <c r="IK29" s="80"/>
      <c r="IL29" s="80"/>
      <c r="IM29" s="80"/>
      <c r="IN29" s="80"/>
      <c r="IO29" s="80"/>
      <c r="IP29" s="80"/>
      <c r="IQ29" s="80"/>
      <c r="IR29" s="80"/>
      <c r="IS29" s="80"/>
      <c r="IT29" s="80"/>
      <c r="IU29" s="80"/>
      <c r="IV29" s="80"/>
      <c r="IW29" s="80"/>
    </row>
    <row r="30" customFormat="false" ht="8.25" hidden="false" customHeight="true" outlineLevel="0" collapsed="false">
      <c r="A30" s="81"/>
      <c r="B30" s="82"/>
      <c r="C30" s="83"/>
      <c r="D30" s="84"/>
      <c r="E30" s="6"/>
      <c r="F30" s="6"/>
      <c r="G30" s="85"/>
      <c r="H30" s="86"/>
      <c r="I30" s="87"/>
      <c r="K30" s="0"/>
    </row>
    <row r="31" customFormat="false" ht="13.5" hidden="false" customHeight="false" outlineLevel="0" collapsed="false">
      <c r="A31" s="88" t="s">
        <v>376</v>
      </c>
      <c r="B31" s="88"/>
      <c r="C31" s="88"/>
      <c r="D31" s="88"/>
      <c r="E31" s="89" t="s">
        <v>41</v>
      </c>
      <c r="F31" s="89"/>
      <c r="G31" s="89"/>
      <c r="H31" s="89"/>
      <c r="I31" s="90" t="s">
        <v>42</v>
      </c>
      <c r="J31" s="90"/>
      <c r="K31" s="109"/>
      <c r="L31" s="109"/>
    </row>
    <row r="32" customFormat="false" ht="13.5" hidden="false" customHeight="false" outlineLevel="0" collapsed="false">
      <c r="A32" s="27" t="s">
        <v>43</v>
      </c>
      <c r="B32" s="85"/>
      <c r="C32" s="85"/>
      <c r="D32" s="268" t="n">
        <v>0</v>
      </c>
      <c r="E32" s="92" t="s">
        <v>44</v>
      </c>
      <c r="F32" s="92"/>
      <c r="G32" s="90" t="s">
        <v>45</v>
      </c>
      <c r="H32" s="90"/>
      <c r="I32" s="93" t="s">
        <v>46</v>
      </c>
      <c r="J32" s="94" t="s">
        <v>47</v>
      </c>
      <c r="K32" s="112"/>
      <c r="L32" s="112"/>
    </row>
    <row r="33" customFormat="false" ht="13.5" hidden="false" customHeight="false" outlineLevel="0" collapsed="false">
      <c r="A33" s="16" t="s">
        <v>48</v>
      </c>
      <c r="B33" s="95" t="n">
        <v>0</v>
      </c>
      <c r="C33" s="0" t="s">
        <v>49</v>
      </c>
      <c r="D33" s="96"/>
      <c r="E33" s="269"/>
      <c r="F33" s="270"/>
      <c r="G33" s="99"/>
      <c r="H33" s="100"/>
      <c r="I33" s="101" t="n">
        <f aca="false">57.5+5</f>
        <v>62.5</v>
      </c>
      <c r="J33" s="102" t="n">
        <f aca="false">60+5+10+15+10</f>
        <v>100</v>
      </c>
      <c r="K33" s="87"/>
      <c r="L33" s="87"/>
    </row>
    <row r="34" customFormat="false" ht="13.5" hidden="false" customHeight="false" outlineLevel="0" collapsed="false">
      <c r="A34" s="16" t="s">
        <v>52</v>
      </c>
      <c r="B34" s="103" t="n">
        <v>0</v>
      </c>
      <c r="C34" s="6"/>
      <c r="D34" s="104"/>
      <c r="E34" s="99"/>
      <c r="F34" s="100"/>
      <c r="G34" s="99"/>
      <c r="H34" s="100"/>
      <c r="I34" s="283" t="s">
        <v>55</v>
      </c>
      <c r="J34" s="108" t="n">
        <f aca="false">+I33-J33</f>
        <v>-37.5</v>
      </c>
      <c r="K34" s="0"/>
      <c r="L34" s="0"/>
    </row>
    <row r="35" customFormat="false" ht="13.5" hidden="false" customHeight="false" outlineLevel="0" collapsed="false">
      <c r="A35" s="110"/>
      <c r="B35" s="63"/>
      <c r="C35" s="63"/>
      <c r="D35" s="111"/>
      <c r="E35" s="269"/>
      <c r="F35" s="270"/>
      <c r="G35" s="99"/>
      <c r="H35" s="100"/>
      <c r="I35" s="0"/>
      <c r="J35" s="0"/>
      <c r="K35" s="0"/>
      <c r="L35" s="0"/>
    </row>
    <row r="36" customFormat="false" ht="13.5" hidden="false" customHeight="false" outlineLevel="0" collapsed="false">
      <c r="A36" s="113"/>
      <c r="B36" s="114"/>
      <c r="C36" s="114"/>
      <c r="D36" s="115"/>
      <c r="E36" s="269"/>
      <c r="F36" s="270"/>
      <c r="G36" s="99"/>
      <c r="H36" s="100"/>
      <c r="I36" s="90" t="s">
        <v>60</v>
      </c>
      <c r="J36" s="90"/>
      <c r="K36" s="126"/>
      <c r="L36" s="0"/>
    </row>
    <row r="37" customFormat="false" ht="13.5" hidden="false" customHeight="false" outlineLevel="0" collapsed="false">
      <c r="A37" s="116" t="s">
        <v>61</v>
      </c>
      <c r="B37" s="116"/>
      <c r="C37" s="116"/>
      <c r="D37" s="116"/>
      <c r="E37" s="117"/>
      <c r="F37" s="118"/>
      <c r="G37" s="119"/>
      <c r="H37" s="120"/>
      <c r="I37" s="93" t="s">
        <v>64</v>
      </c>
      <c r="J37" s="94" t="s">
        <v>65</v>
      </c>
      <c r="K37" s="126"/>
      <c r="L37" s="0"/>
    </row>
    <row r="38" customFormat="false" ht="13.5" hidden="false" customHeight="false" outlineLevel="0" collapsed="false">
      <c r="A38" s="27"/>
      <c r="B38" s="6"/>
      <c r="C38" s="6"/>
      <c r="D38" s="121"/>
      <c r="E38" s="117"/>
      <c r="F38" s="118"/>
      <c r="G38" s="119"/>
      <c r="H38" s="120"/>
      <c r="I38" s="284" t="n">
        <v>0</v>
      </c>
      <c r="J38" s="123" t="n">
        <f aca="false">10-30+10</f>
        <v>-10</v>
      </c>
      <c r="K38" s="126"/>
      <c r="L38" s="0"/>
    </row>
    <row r="39" customFormat="false" ht="13.5" hidden="false" customHeight="false" outlineLevel="0" collapsed="false">
      <c r="A39" s="27" t="s">
        <v>67</v>
      </c>
      <c r="B39" s="6"/>
      <c r="C39" s="6"/>
      <c r="D39" s="124" t="n">
        <f aca="false">K191/1000</f>
        <v>89.093</v>
      </c>
      <c r="E39" s="117"/>
      <c r="F39" s="118"/>
      <c r="G39" s="119"/>
      <c r="H39" s="120"/>
      <c r="I39" s="125" t="s">
        <v>68</v>
      </c>
      <c r="J39" s="94" t="s">
        <v>69</v>
      </c>
      <c r="K39" s="0"/>
      <c r="L39" s="0"/>
    </row>
    <row r="40" customFormat="false" ht="13.5" hidden="false" customHeight="false" outlineLevel="0" collapsed="false">
      <c r="A40" s="27" t="s">
        <v>70</v>
      </c>
      <c r="B40" s="6"/>
      <c r="C40" s="6"/>
      <c r="D40" s="121" t="n">
        <f aca="false">L68</f>
        <v>256.879</v>
      </c>
      <c r="E40" s="117"/>
      <c r="F40" s="118"/>
      <c r="G40" s="127"/>
      <c r="H40" s="128"/>
      <c r="I40" s="129" t="n">
        <v>40</v>
      </c>
      <c r="J40" s="285" t="n">
        <v>0</v>
      </c>
      <c r="K40" s="0"/>
      <c r="L40" s="0"/>
    </row>
    <row r="41" customFormat="false" ht="13.5" hidden="false" customHeight="false" outlineLevel="0" collapsed="false">
      <c r="A41" s="27" t="s">
        <v>71</v>
      </c>
      <c r="B41" s="6"/>
      <c r="C41" s="6"/>
      <c r="D41" s="277" t="n">
        <v>40</v>
      </c>
      <c r="E41" s="117"/>
      <c r="F41" s="118"/>
      <c r="G41" s="127"/>
      <c r="H41" s="128"/>
      <c r="I41" s="287" t="s">
        <v>72</v>
      </c>
      <c r="J41" s="108" t="n">
        <f aca="false">J34+I38+J38+I40+J40</f>
        <v>-7.5</v>
      </c>
      <c r="K41" s="0"/>
      <c r="L41" s="0"/>
    </row>
    <row r="42" customFormat="false" ht="13.5" hidden="false" customHeight="false" outlineLevel="0" collapsed="false">
      <c r="A42" s="27" t="s">
        <v>73</v>
      </c>
      <c r="B42" s="6"/>
      <c r="C42" s="6"/>
      <c r="D42" s="133" t="n">
        <f aca="false">642.804+10+20+7</f>
        <v>679.804</v>
      </c>
      <c r="E42" s="117"/>
      <c r="F42" s="118"/>
      <c r="G42" s="6"/>
      <c r="H42" s="7"/>
      <c r="K42" s="0"/>
      <c r="L42" s="0"/>
    </row>
    <row r="43" customFormat="false" ht="13.5" hidden="false" customHeight="false" outlineLevel="0" collapsed="false">
      <c r="A43" s="27"/>
      <c r="B43" s="6"/>
      <c r="C43" s="6"/>
      <c r="D43" s="121"/>
      <c r="E43" s="117"/>
      <c r="F43" s="118"/>
      <c r="G43" s="6"/>
      <c r="H43" s="7"/>
      <c r="I43" s="90" t="s">
        <v>74</v>
      </c>
      <c r="J43" s="90"/>
      <c r="K43" s="0"/>
      <c r="L43" s="0"/>
    </row>
    <row r="44" customFormat="false" ht="13.5" hidden="false" customHeight="false" outlineLevel="0" collapsed="false">
      <c r="A44" s="62"/>
      <c r="B44" s="134" t="s">
        <v>75</v>
      </c>
      <c r="C44" s="135" t="str">
        <f aca="false">+F5</f>
        <v>Mar</v>
      </c>
      <c r="D44" s="136" t="n">
        <f aca="false">SUM(D39:D42)</f>
        <v>1065.776</v>
      </c>
      <c r="E44" s="137" t="s">
        <v>76</v>
      </c>
      <c r="F44" s="136" t="n">
        <f aca="false">SUM(F33:F42)</f>
        <v>0</v>
      </c>
      <c r="G44" s="137" t="s">
        <v>76</v>
      </c>
      <c r="H44" s="136" t="n">
        <f aca="false">SUM(H33:H43)</f>
        <v>0</v>
      </c>
      <c r="I44" s="0"/>
      <c r="J44" s="108" t="n">
        <v>15</v>
      </c>
      <c r="K44" s="0"/>
      <c r="L44" s="0"/>
    </row>
    <row r="45" customFormat="false" ht="12.75" hidden="false" customHeight="false" outlineLevel="0" collapsed="false"/>
    <row r="46" customFormat="false" ht="12.75" hidden="false" customHeight="false" outlineLevel="0" collapsed="false">
      <c r="A46" s="138" t="s">
        <v>77</v>
      </c>
      <c r="B46" s="138"/>
      <c r="C46" s="138"/>
      <c r="D46" s="138"/>
      <c r="E46" s="139"/>
      <c r="F46" s="140"/>
      <c r="G46" s="93" t="s">
        <v>78</v>
      </c>
      <c r="H46" s="93"/>
      <c r="I46" s="93"/>
      <c r="J46" s="93"/>
      <c r="K46" s="93"/>
      <c r="L46" s="93"/>
      <c r="P46" s="1" t="s">
        <v>79</v>
      </c>
    </row>
    <row r="47" customFormat="false" ht="12" hidden="false" customHeight="false" outlineLevel="0" collapsed="false">
      <c r="A47" s="141" t="s">
        <v>80</v>
      </c>
      <c r="B47" s="141"/>
      <c r="C47" s="142" t="s">
        <v>81</v>
      </c>
      <c r="D47" s="142"/>
      <c r="E47" s="143" t="s">
        <v>82</v>
      </c>
      <c r="F47" s="143"/>
      <c r="G47" s="144"/>
      <c r="H47" s="142"/>
      <c r="I47" s="142" t="s">
        <v>81</v>
      </c>
      <c r="J47" s="142"/>
      <c r="K47" s="143" t="s">
        <v>82</v>
      </c>
      <c r="L47" s="143"/>
      <c r="P47" s="1" t="s">
        <v>83</v>
      </c>
      <c r="Q47" s="1" t="n">
        <v>6789</v>
      </c>
      <c r="R47" s="1" t="n">
        <v>8000</v>
      </c>
    </row>
    <row r="48" customFormat="false" ht="12" hidden="false" customHeight="false" outlineLevel="0" collapsed="false">
      <c r="A48" s="145" t="s">
        <v>84</v>
      </c>
      <c r="B48" s="146" t="n">
        <v>0.2</v>
      </c>
      <c r="C48" s="147" t="s">
        <v>85</v>
      </c>
      <c r="D48" s="146" t="n">
        <v>10</v>
      </c>
      <c r="E48" s="148" t="s">
        <v>364</v>
      </c>
      <c r="F48" s="146" t="n">
        <v>10</v>
      </c>
      <c r="G48" s="149"/>
      <c r="H48" s="150"/>
      <c r="I48" s="147" t="s">
        <v>87</v>
      </c>
      <c r="J48" s="151" t="n">
        <v>40</v>
      </c>
      <c r="K48" s="147" t="s">
        <v>95</v>
      </c>
      <c r="L48" s="152" t="n">
        <v>25</v>
      </c>
    </row>
    <row r="49" customFormat="false" ht="12" hidden="false" customHeight="false" outlineLevel="0" collapsed="false">
      <c r="A49" s="145" t="s">
        <v>89</v>
      </c>
      <c r="B49" s="146" t="n">
        <v>0.212</v>
      </c>
      <c r="C49" s="147" t="s">
        <v>15</v>
      </c>
      <c r="D49" s="146" t="n">
        <v>5</v>
      </c>
      <c r="E49" s="147" t="s">
        <v>88</v>
      </c>
      <c r="F49" s="152" t="n">
        <v>5</v>
      </c>
      <c r="G49" s="149"/>
      <c r="H49" s="150"/>
      <c r="I49" s="153" t="s">
        <v>91</v>
      </c>
      <c r="J49" s="154" t="n">
        <v>20</v>
      </c>
      <c r="K49" s="147" t="s">
        <v>420</v>
      </c>
      <c r="L49" s="152" t="n">
        <v>5</v>
      </c>
    </row>
    <row r="50" customFormat="false" ht="12" hidden="false" customHeight="false" outlineLevel="0" collapsed="false">
      <c r="A50" s="145" t="s">
        <v>92</v>
      </c>
      <c r="B50" s="146" t="n">
        <v>0.048</v>
      </c>
      <c r="C50" s="147" t="s">
        <v>110</v>
      </c>
      <c r="D50" s="146" t="n">
        <v>40</v>
      </c>
      <c r="E50" s="147" t="s">
        <v>88</v>
      </c>
      <c r="F50" s="152" t="n">
        <v>5</v>
      </c>
      <c r="G50" s="149"/>
      <c r="H50" s="150"/>
      <c r="I50" s="153" t="s">
        <v>94</v>
      </c>
      <c r="J50" s="146" t="n">
        <v>20</v>
      </c>
      <c r="K50" s="147"/>
      <c r="L50" s="152"/>
    </row>
    <row r="51" customFormat="false" ht="12" hidden="false" customHeight="false" outlineLevel="0" collapsed="false">
      <c r="A51" s="145" t="s">
        <v>96</v>
      </c>
      <c r="B51" s="146" t="n">
        <v>0.45</v>
      </c>
      <c r="C51" s="147" t="s">
        <v>133</v>
      </c>
      <c r="D51" s="146" t="n">
        <v>0</v>
      </c>
      <c r="E51" s="147" t="s">
        <v>88</v>
      </c>
      <c r="F51" s="152" t="n">
        <v>10</v>
      </c>
      <c r="G51" s="149"/>
      <c r="H51" s="150"/>
      <c r="I51" s="153" t="s">
        <v>99</v>
      </c>
      <c r="J51" s="146" t="n">
        <v>20</v>
      </c>
      <c r="K51" s="147"/>
      <c r="L51" s="152"/>
    </row>
    <row r="52" customFormat="false" ht="12" hidden="false" customHeight="false" outlineLevel="0" collapsed="false">
      <c r="A52" s="145" t="s">
        <v>101</v>
      </c>
      <c r="B52" s="146" t="n">
        <v>0.048</v>
      </c>
      <c r="C52" s="147" t="s">
        <v>123</v>
      </c>
      <c r="D52" s="146" t="n">
        <v>20</v>
      </c>
      <c r="E52" s="147" t="s">
        <v>88</v>
      </c>
      <c r="F52" s="152" t="n">
        <v>10</v>
      </c>
      <c r="G52" s="149"/>
      <c r="H52" s="150"/>
      <c r="I52" s="153" t="s">
        <v>102</v>
      </c>
      <c r="J52" s="146" t="n">
        <v>3.879</v>
      </c>
      <c r="K52" s="147"/>
      <c r="L52" s="152"/>
    </row>
    <row r="53" customFormat="false" ht="12" hidden="false" customHeight="false" outlineLevel="0" collapsed="false">
      <c r="A53" s="145" t="s">
        <v>105</v>
      </c>
      <c r="B53" s="146" t="n">
        <v>0.5</v>
      </c>
      <c r="C53" s="147" t="s">
        <v>109</v>
      </c>
      <c r="D53" s="146" t="n">
        <v>6</v>
      </c>
      <c r="E53" s="147"/>
      <c r="F53" s="152"/>
      <c r="G53" s="149"/>
      <c r="H53" s="150"/>
      <c r="I53" s="153" t="s">
        <v>104</v>
      </c>
      <c r="J53" s="146" t="n">
        <v>33</v>
      </c>
      <c r="K53" s="147"/>
      <c r="L53" s="152"/>
    </row>
    <row r="54" customFormat="false" ht="12" hidden="false" customHeight="false" outlineLevel="0" collapsed="false">
      <c r="A54" s="145" t="s">
        <v>109</v>
      </c>
      <c r="B54" s="315" t="n">
        <v>9.6</v>
      </c>
      <c r="C54" s="147" t="s">
        <v>128</v>
      </c>
      <c r="D54" s="146" t="n">
        <v>2</v>
      </c>
      <c r="E54" s="147"/>
      <c r="F54" s="152"/>
      <c r="G54" s="149"/>
      <c r="H54" s="150"/>
      <c r="I54" s="153" t="s">
        <v>107</v>
      </c>
      <c r="J54" s="146" t="n">
        <v>15</v>
      </c>
      <c r="K54" s="147"/>
      <c r="L54" s="152"/>
    </row>
    <row r="55" customFormat="false" ht="12" hidden="false" customHeight="false" outlineLevel="0" collapsed="false">
      <c r="A55" s="145"/>
      <c r="B55" s="146"/>
      <c r="C55" s="147"/>
      <c r="D55" s="146"/>
      <c r="E55" s="147"/>
      <c r="F55" s="152"/>
      <c r="G55" s="149"/>
      <c r="H55" s="150"/>
      <c r="I55" s="153" t="s">
        <v>112</v>
      </c>
      <c r="J55" s="146" t="n">
        <v>2</v>
      </c>
      <c r="K55" s="147"/>
      <c r="L55" s="152"/>
    </row>
    <row r="56" customFormat="false" ht="12" hidden="false" customHeight="false" outlineLevel="0" collapsed="false">
      <c r="A56" s="145"/>
      <c r="B56" s="146"/>
      <c r="C56" s="147"/>
      <c r="D56" s="146"/>
      <c r="E56" s="147"/>
      <c r="F56" s="152"/>
      <c r="G56" s="149"/>
      <c r="H56" s="150"/>
      <c r="I56" s="153" t="s">
        <v>115</v>
      </c>
      <c r="J56" s="146" t="n">
        <v>30</v>
      </c>
      <c r="K56" s="147"/>
      <c r="L56" s="152"/>
    </row>
    <row r="57" customFormat="false" ht="12" hidden="false" customHeight="false" outlineLevel="0" collapsed="false">
      <c r="A57" s="149"/>
      <c r="B57" s="150"/>
      <c r="C57" s="147"/>
      <c r="D57" s="146"/>
      <c r="E57" s="147"/>
      <c r="F57" s="152"/>
      <c r="G57" s="149"/>
      <c r="H57" s="150"/>
      <c r="I57" s="153" t="s">
        <v>117</v>
      </c>
      <c r="J57" s="146" t="n">
        <v>5</v>
      </c>
      <c r="K57" s="147"/>
      <c r="L57" s="152"/>
    </row>
    <row r="58" customFormat="false" ht="12" hidden="false" customHeight="false" outlineLevel="0" collapsed="false">
      <c r="A58" s="149"/>
      <c r="B58" s="150"/>
      <c r="C58" s="147"/>
      <c r="D58" s="146"/>
      <c r="E58" s="147"/>
      <c r="F58" s="152"/>
      <c r="G58" s="149"/>
      <c r="H58" s="150"/>
      <c r="I58" s="153" t="s">
        <v>121</v>
      </c>
      <c r="J58" s="146" t="n">
        <v>20</v>
      </c>
      <c r="K58" s="147"/>
      <c r="L58" s="152"/>
    </row>
    <row r="59" customFormat="false" ht="12" hidden="false" customHeight="false" outlineLevel="0" collapsed="false">
      <c r="A59" s="149"/>
      <c r="B59" s="150"/>
      <c r="C59" s="147"/>
      <c r="D59" s="146"/>
      <c r="E59" s="147"/>
      <c r="F59" s="146"/>
      <c r="G59" s="149"/>
      <c r="H59" s="150"/>
      <c r="I59" s="153"/>
      <c r="J59" s="146"/>
      <c r="K59" s="147"/>
      <c r="L59" s="152"/>
    </row>
    <row r="60" customFormat="false" ht="12" hidden="false" customHeight="false" outlineLevel="0" collapsed="false">
      <c r="A60" s="149"/>
      <c r="B60" s="150"/>
      <c r="C60" s="147"/>
      <c r="D60" s="146"/>
      <c r="E60" s="147"/>
      <c r="F60" s="160"/>
      <c r="G60" s="149"/>
      <c r="H60" s="150"/>
      <c r="I60" s="153"/>
      <c r="J60" s="146"/>
      <c r="K60" s="147"/>
      <c r="L60" s="152"/>
    </row>
    <row r="61" customFormat="false" ht="12" hidden="false" customHeight="false" outlineLevel="0" collapsed="false">
      <c r="A61" s="162"/>
      <c r="B61" s="163"/>
      <c r="C61" s="147"/>
      <c r="D61" s="146"/>
      <c r="E61" s="147"/>
      <c r="F61" s="160"/>
      <c r="G61" s="149"/>
      <c r="H61" s="150"/>
      <c r="I61" s="147"/>
      <c r="J61" s="146"/>
      <c r="K61" s="147"/>
      <c r="L61" s="152"/>
    </row>
    <row r="62" customFormat="false" ht="12" hidden="false" customHeight="false" outlineLevel="0" collapsed="false">
      <c r="A62" s="162"/>
      <c r="B62" s="163"/>
      <c r="C62" s="164" t="s">
        <v>129</v>
      </c>
      <c r="D62" s="165"/>
      <c r="E62" s="166"/>
      <c r="F62" s="167"/>
      <c r="G62" s="149"/>
      <c r="H62" s="150"/>
      <c r="I62" s="164" t="s">
        <v>129</v>
      </c>
      <c r="J62" s="168"/>
      <c r="K62" s="169"/>
      <c r="L62" s="170"/>
    </row>
    <row r="63" customFormat="false" ht="12" hidden="false" customHeight="false" outlineLevel="0" collapsed="false">
      <c r="A63" s="162"/>
      <c r="B63" s="163"/>
      <c r="C63" s="147" t="s">
        <v>130</v>
      </c>
      <c r="D63" s="146" t="n">
        <v>18</v>
      </c>
      <c r="E63" s="147"/>
      <c r="F63" s="152"/>
      <c r="G63" s="171"/>
      <c r="H63" s="150"/>
      <c r="I63" s="147" t="s">
        <v>113</v>
      </c>
      <c r="J63" s="146" t="n">
        <v>5</v>
      </c>
      <c r="K63" s="147"/>
      <c r="L63" s="152"/>
    </row>
    <row r="64" customFormat="false" ht="12" hidden="false" customHeight="false" outlineLevel="0" collapsed="false">
      <c r="A64" s="162"/>
      <c r="B64" s="163"/>
      <c r="C64" s="147" t="s">
        <v>131</v>
      </c>
      <c r="D64" s="146" t="n">
        <v>10</v>
      </c>
      <c r="E64" s="147"/>
      <c r="F64" s="152"/>
      <c r="G64" s="149"/>
      <c r="H64" s="150"/>
      <c r="I64" s="147" t="s">
        <v>132</v>
      </c>
      <c r="J64" s="146" t="n">
        <v>8</v>
      </c>
      <c r="K64" s="147"/>
      <c r="L64" s="152"/>
    </row>
    <row r="65" customFormat="false" ht="12" hidden="false" customHeight="false" outlineLevel="0" collapsed="false">
      <c r="A65" s="162"/>
      <c r="B65" s="163"/>
      <c r="C65" s="147" t="s">
        <v>404</v>
      </c>
      <c r="D65" s="146" t="n">
        <v>4</v>
      </c>
      <c r="E65" s="147"/>
      <c r="F65" s="152"/>
      <c r="G65" s="149"/>
      <c r="H65" s="150"/>
      <c r="I65" s="147" t="s">
        <v>111</v>
      </c>
      <c r="J65" s="146" t="n">
        <v>5</v>
      </c>
      <c r="K65" s="147"/>
      <c r="L65" s="152"/>
    </row>
    <row r="66" customFormat="false" ht="12" hidden="false" customHeight="false" outlineLevel="0" collapsed="false">
      <c r="A66" s="173"/>
      <c r="B66" s="174"/>
      <c r="C66" s="175"/>
      <c r="D66" s="174"/>
      <c r="E66" s="176"/>
      <c r="F66" s="177"/>
      <c r="G66" s="173"/>
      <c r="H66" s="174"/>
      <c r="I66" s="175"/>
      <c r="J66" s="316"/>
      <c r="K66" s="178"/>
      <c r="L66" s="179"/>
    </row>
    <row r="67" customFormat="false" ht="12" hidden="false" customHeight="false" outlineLevel="0" collapsed="false">
      <c r="A67" s="180" t="s">
        <v>137</v>
      </c>
      <c r="B67" s="181" t="n">
        <f aca="false">SUM(B47:B66)</f>
        <v>11.058</v>
      </c>
      <c r="C67" s="182" t="s">
        <v>137</v>
      </c>
      <c r="D67" s="181" t="n">
        <f aca="false">SUM(D47:D66)</f>
        <v>115</v>
      </c>
      <c r="E67" s="182" t="s">
        <v>137</v>
      </c>
      <c r="F67" s="183" t="n">
        <f aca="false">SUM(F47:F66)</f>
        <v>40</v>
      </c>
      <c r="G67" s="180"/>
      <c r="H67" s="181"/>
      <c r="I67" s="182" t="s">
        <v>137</v>
      </c>
      <c r="J67" s="184" t="n">
        <f aca="false">SUM(J47:J66)</f>
        <v>226.879</v>
      </c>
      <c r="K67" s="182" t="s">
        <v>137</v>
      </c>
      <c r="L67" s="185" t="n">
        <f aca="false">SUM(L47:L66)</f>
        <v>30</v>
      </c>
    </row>
    <row r="68" customFormat="false" ht="12.75" hidden="false" customHeight="false" outlineLevel="0" collapsed="false">
      <c r="A68" s="186"/>
      <c r="B68" s="187"/>
      <c r="C68" s="188"/>
      <c r="D68" s="187"/>
      <c r="E68" s="189" t="s">
        <v>138</v>
      </c>
      <c r="F68" s="190" t="n">
        <f aca="false">+B67+F67+D67</f>
        <v>166.058</v>
      </c>
      <c r="G68" s="186"/>
      <c r="H68" s="187"/>
      <c r="I68" s="188"/>
      <c r="J68" s="187"/>
      <c r="K68" s="189" t="s">
        <v>138</v>
      </c>
      <c r="L68" s="190" t="n">
        <f aca="false">J67+L67</f>
        <v>256.879</v>
      </c>
    </row>
    <row r="69" customFormat="false" ht="12.75" hidden="false" customHeight="false" outlineLevel="0" collapsed="false">
      <c r="G69" s="191"/>
      <c r="H69" s="0"/>
    </row>
    <row r="70" customFormat="false" ht="12.75" hidden="false" customHeight="false" outlineLevel="0" collapsed="false">
      <c r="A70" s="1" t="s">
        <v>406</v>
      </c>
      <c r="G70" s="1" t="s">
        <v>407</v>
      </c>
      <c r="H70" s="0"/>
    </row>
    <row r="71" customFormat="false" ht="12.75" hidden="false" customHeight="false" outlineLevel="0" collapsed="false">
      <c r="A71" s="1" t="s">
        <v>408</v>
      </c>
      <c r="G71" s="295" t="s">
        <v>409</v>
      </c>
      <c r="H71" s="0"/>
    </row>
    <row r="72" customFormat="false" ht="12.75" hidden="true" customHeight="false" outlineLevel="0" collapsed="false">
      <c r="E72" s="0"/>
      <c r="G72" s="1" t="s">
        <v>139</v>
      </c>
      <c r="H72" s="0"/>
    </row>
    <row r="73" customFormat="false" ht="24" hidden="true" customHeight="false" outlineLevel="0" collapsed="false">
      <c r="A73" s="192" t="s">
        <v>140</v>
      </c>
      <c r="B73" s="192" t="s">
        <v>141</v>
      </c>
      <c r="C73" s="192" t="s">
        <v>142</v>
      </c>
      <c r="D73" s="192" t="s">
        <v>143</v>
      </c>
      <c r="E73" s="192" t="s">
        <v>144</v>
      </c>
      <c r="F73" s="192" t="s">
        <v>145</v>
      </c>
      <c r="G73" s="1" t="n">
        <v>1.65</v>
      </c>
      <c r="H73" s="0"/>
    </row>
    <row r="74" customFormat="false" ht="12.75" hidden="true" customHeight="false" outlineLevel="0" collapsed="false">
      <c r="A74" s="0" t="s">
        <v>146</v>
      </c>
      <c r="B74" s="0" t="s">
        <v>147</v>
      </c>
      <c r="C74" s="0" t="n">
        <v>10</v>
      </c>
      <c r="D74" s="0" t="n">
        <v>95</v>
      </c>
      <c r="E74" s="0" t="n">
        <v>0.09</v>
      </c>
      <c r="F74" s="0" t="n">
        <f aca="false">+$G$73*(E74/100)</f>
        <v>0.001485</v>
      </c>
      <c r="G74" s="0"/>
      <c r="H74" s="0"/>
      <c r="I74" s="0"/>
      <c r="J74" s="0"/>
      <c r="K74" s="0"/>
      <c r="L74" s="0"/>
      <c r="M74" s="0"/>
      <c r="N74" s="0"/>
      <c r="O74" s="0"/>
    </row>
    <row r="75" customFormat="false" ht="12.75" hidden="true" customHeight="false" outlineLevel="0" collapsed="false">
      <c r="A75" s="0"/>
      <c r="B75" s="0" t="s">
        <v>148</v>
      </c>
      <c r="C75" s="0" t="n">
        <v>42</v>
      </c>
      <c r="D75" s="0" t="n">
        <v>65</v>
      </c>
      <c r="E75" s="0" t="n">
        <v>0.27</v>
      </c>
      <c r="F75" s="0" t="n">
        <f aca="false">+$G$73*(E75/100)</f>
        <v>0.004455</v>
      </c>
      <c r="G75" s="0"/>
      <c r="H75" s="0"/>
      <c r="I75" s="0"/>
      <c r="J75" s="0"/>
      <c r="K75" s="0"/>
      <c r="L75" s="0"/>
      <c r="M75" s="0"/>
      <c r="N75" s="0"/>
      <c r="O75" s="0"/>
    </row>
    <row r="76" customFormat="false" ht="12.75" hidden="true" customHeight="false" outlineLevel="0" collapsed="false">
      <c r="A76" s="0"/>
      <c r="B76" s="0" t="s">
        <v>149</v>
      </c>
      <c r="C76" s="0" t="n">
        <v>89</v>
      </c>
      <c r="D76" s="0" t="n">
        <v>43.87</v>
      </c>
      <c r="E76" s="0" t="n">
        <v>0.39</v>
      </c>
      <c r="F76" s="0" t="n">
        <f aca="false">+$G$73*(E76/100)</f>
        <v>0.006435</v>
      </c>
      <c r="G76" s="0"/>
      <c r="H76" s="0"/>
      <c r="I76" s="0"/>
      <c r="J76" s="0"/>
      <c r="K76" s="0"/>
      <c r="L76" s="0"/>
      <c r="M76" s="0"/>
      <c r="N76" s="0"/>
      <c r="O76" s="0"/>
    </row>
    <row r="77" customFormat="false" ht="12.75" hidden="true" customHeight="false" outlineLevel="0" collapsed="false">
      <c r="A77" s="0"/>
      <c r="B77" s="0" t="s">
        <v>150</v>
      </c>
      <c r="C77" s="0" t="n">
        <v>2.44</v>
      </c>
      <c r="D77" s="0" t="n">
        <v>1.05</v>
      </c>
      <c r="E77" s="0" t="n">
        <v>0.03</v>
      </c>
      <c r="F77" s="0" t="n">
        <f aca="false">+$G$73*(E77/100)</f>
        <v>0.000495</v>
      </c>
      <c r="G77" s="0"/>
      <c r="H77" s="0"/>
      <c r="I77" s="0"/>
      <c r="J77" s="0"/>
      <c r="K77" s="0"/>
      <c r="L77" s="0"/>
      <c r="M77" s="0"/>
      <c r="N77" s="0"/>
      <c r="O77" s="0"/>
    </row>
    <row r="78" customFormat="false" ht="12.75" hidden="true" customHeight="false" outlineLevel="0" collapsed="false">
      <c r="A78" s="0"/>
      <c r="B78" s="0"/>
      <c r="C78" s="0"/>
      <c r="D78" s="0"/>
      <c r="E78" s="193" t="s">
        <v>138</v>
      </c>
      <c r="F78" s="0" t="n">
        <f aca="false">SUM(F74:F77)</f>
        <v>0.01287</v>
      </c>
      <c r="G78" s="0"/>
      <c r="H78" s="0"/>
      <c r="I78" s="0"/>
      <c r="J78" s="0"/>
      <c r="K78" s="0"/>
      <c r="L78" s="0"/>
      <c r="M78" s="0"/>
      <c r="N78" s="0"/>
      <c r="O78" s="0"/>
    </row>
    <row r="79" customFormat="false" ht="12.75" hidden="true" customHeight="false" outlineLevel="0" collapsed="false">
      <c r="A79" s="0"/>
      <c r="B79" s="0"/>
      <c r="C79" s="0"/>
      <c r="D79" s="0"/>
      <c r="E79" s="193"/>
      <c r="F79" s="0"/>
      <c r="G79" s="0"/>
      <c r="H79" s="0"/>
      <c r="I79" s="0"/>
      <c r="J79" s="0"/>
      <c r="K79" s="0"/>
      <c r="L79" s="0"/>
      <c r="M79" s="0"/>
      <c r="N79" s="0"/>
      <c r="O79" s="0"/>
    </row>
    <row r="80" customFormat="false" ht="12.75" hidden="true" customHeight="false" outlineLevel="0" collapsed="false">
      <c r="A80" s="0" t="s">
        <v>151</v>
      </c>
      <c r="B80" s="0" t="s">
        <v>152</v>
      </c>
      <c r="C80" s="194" t="n">
        <v>0.27</v>
      </c>
      <c r="D80" s="194" t="n">
        <v>96.33</v>
      </c>
      <c r="E80" s="194" t="n">
        <v>0.26</v>
      </c>
      <c r="F80" s="194" t="n">
        <f aca="false">+$G$73*(E80/100)</f>
        <v>0.00429</v>
      </c>
      <c r="G80" s="0"/>
      <c r="H80" s="0"/>
      <c r="I80" s="0"/>
      <c r="J80" s="0"/>
      <c r="K80" s="0"/>
      <c r="L80" s="0"/>
      <c r="M80" s="0"/>
      <c r="N80" s="0"/>
      <c r="O80" s="0"/>
    </row>
    <row r="81" customFormat="false" ht="12.75" hidden="true" customHeight="false" outlineLevel="0" collapsed="false">
      <c r="A81" s="0"/>
      <c r="B81" s="0" t="s">
        <v>153</v>
      </c>
      <c r="C81" s="194" t="n">
        <v>0.36</v>
      </c>
      <c r="D81" s="194" t="n">
        <v>85.77</v>
      </c>
      <c r="E81" s="194" t="n">
        <v>0.31</v>
      </c>
      <c r="F81" s="194" t="n">
        <f aca="false">+$G$73*(E81/100)</f>
        <v>0.005115</v>
      </c>
      <c r="G81" s="0"/>
      <c r="H81" s="0"/>
      <c r="I81" s="0"/>
      <c r="J81" s="0"/>
      <c r="K81" s="0"/>
      <c r="L81" s="0"/>
      <c r="M81" s="0"/>
      <c r="N81" s="0"/>
      <c r="O81" s="0"/>
    </row>
    <row r="82" customFormat="false" ht="12.75" hidden="true" customHeight="false" outlineLevel="0" collapsed="false">
      <c r="A82" s="0"/>
      <c r="B82" s="0" t="s">
        <v>154</v>
      </c>
      <c r="C82" s="194" t="n">
        <v>0.8</v>
      </c>
      <c r="D82" s="194" t="n">
        <v>9.94</v>
      </c>
      <c r="E82" s="194" t="n">
        <v>0.08</v>
      </c>
      <c r="F82" s="194" t="n">
        <f aca="false">+$G$73*(E82/100)</f>
        <v>0.00132</v>
      </c>
      <c r="G82" s="0"/>
      <c r="H82" s="0"/>
      <c r="I82" s="0"/>
      <c r="J82" s="0"/>
      <c r="K82" s="0"/>
      <c r="L82" s="0"/>
      <c r="M82" s="0"/>
      <c r="N82" s="0"/>
      <c r="O82" s="0"/>
    </row>
    <row r="83" customFormat="false" ht="12.75" hidden="true" customHeight="false" outlineLevel="0" collapsed="false">
      <c r="A83" s="0"/>
      <c r="B83" s="0" t="s">
        <v>155</v>
      </c>
      <c r="C83" s="194" t="n">
        <v>1.14</v>
      </c>
      <c r="D83" s="194" t="n">
        <v>6.21</v>
      </c>
      <c r="E83" s="194" t="n">
        <v>0.07</v>
      </c>
      <c r="F83" s="194" t="n">
        <f aca="false">+$G$73*(E83/100)</f>
        <v>0.001155</v>
      </c>
      <c r="G83" s="0"/>
      <c r="H83" s="0"/>
      <c r="I83" s="0"/>
      <c r="J83" s="0"/>
      <c r="K83" s="0"/>
      <c r="L83" s="0"/>
      <c r="M83" s="0"/>
      <c r="N83" s="0"/>
      <c r="O83" s="0"/>
    </row>
    <row r="84" customFormat="false" ht="12.75" hidden="true" customHeight="false" outlineLevel="0" collapsed="false">
      <c r="A84" s="0"/>
      <c r="B84" s="0"/>
      <c r="C84" s="194"/>
      <c r="D84" s="194"/>
      <c r="E84" s="195" t="s">
        <v>156</v>
      </c>
      <c r="F84" s="194" t="n">
        <f aca="false">SUM(F81:F83)</f>
        <v>0.00759</v>
      </c>
      <c r="G84" s="0"/>
      <c r="H84" s="0"/>
      <c r="I84" s="0"/>
      <c r="J84" s="0"/>
      <c r="K84" s="0"/>
      <c r="L84" s="0"/>
      <c r="M84" s="0"/>
      <c r="N84" s="0"/>
      <c r="O84" s="0"/>
    </row>
    <row r="85" customFormat="false" ht="12.75" hidden="true" customHeight="false" outlineLevel="0" collapsed="false">
      <c r="A85" s="0"/>
      <c r="B85" s="0"/>
      <c r="C85" s="194"/>
      <c r="D85" s="194"/>
      <c r="E85" s="195" t="s">
        <v>157</v>
      </c>
      <c r="F85" s="194" t="n">
        <f aca="false">SUM(F80:F83)</f>
        <v>0.01188</v>
      </c>
      <c r="G85" s="0"/>
      <c r="H85" s="0"/>
      <c r="I85" s="0"/>
      <c r="J85" s="0"/>
      <c r="K85" s="0"/>
      <c r="L85" s="0"/>
      <c r="M85" s="0"/>
      <c r="N85" s="0"/>
      <c r="O85" s="0"/>
    </row>
    <row r="86" customFormat="false" ht="12.75" hidden="true" customHeight="false" outlineLevel="0" collapsed="false">
      <c r="A86" s="0"/>
      <c r="B86" s="0"/>
      <c r="C86" s="194"/>
      <c r="D86" s="194"/>
      <c r="E86" s="194"/>
      <c r="F86" s="194"/>
      <c r="G86" s="0"/>
      <c r="H86" s="0"/>
      <c r="I86" s="0"/>
      <c r="J86" s="0"/>
      <c r="K86" s="0"/>
      <c r="L86" s="0"/>
      <c r="M86" s="0"/>
      <c r="N86" s="0"/>
      <c r="O86" s="0"/>
    </row>
    <row r="87" customFormat="false" ht="12.75" hidden="true" customHeight="false" outlineLevel="0" collapsed="false">
      <c r="A87" s="0" t="s">
        <v>158</v>
      </c>
      <c r="B87" s="0" t="s">
        <v>158</v>
      </c>
      <c r="C87" s="194" t="n">
        <v>0.62</v>
      </c>
      <c r="D87" s="194" t="n">
        <v>94.29</v>
      </c>
      <c r="E87" s="194" t="n">
        <v>0.58</v>
      </c>
      <c r="F87" s="194" t="n">
        <f aca="false">+$G$73*(E87/100)</f>
        <v>0.00957</v>
      </c>
      <c r="G87" s="0"/>
      <c r="H87" s="0"/>
      <c r="I87" s="0"/>
      <c r="J87" s="0"/>
      <c r="K87" s="0"/>
      <c r="L87" s="0"/>
      <c r="M87" s="0"/>
      <c r="N87" s="0"/>
      <c r="O87" s="0"/>
    </row>
    <row r="88" customFormat="false" ht="12.75" hidden="true" customHeight="false" outlineLevel="0" collapsed="false">
      <c r="A88" s="0"/>
      <c r="B88" s="0"/>
      <c r="C88" s="194"/>
      <c r="D88" s="194"/>
      <c r="E88" s="194"/>
      <c r="F88" s="194"/>
      <c r="G88" s="0"/>
      <c r="H88" s="0"/>
      <c r="I88" s="0"/>
      <c r="J88" s="0"/>
      <c r="K88" s="0"/>
      <c r="L88" s="0"/>
      <c r="M88" s="0"/>
      <c r="N88" s="0"/>
      <c r="O88" s="0"/>
    </row>
    <row r="89" customFormat="false" ht="12.75" hidden="true" customHeight="false" outlineLevel="0" collapsed="false">
      <c r="A89" s="0" t="s">
        <v>159</v>
      </c>
      <c r="B89" s="0" t="s">
        <v>160</v>
      </c>
      <c r="C89" s="194" t="n">
        <v>0.85</v>
      </c>
      <c r="D89" s="194" t="n">
        <v>100</v>
      </c>
      <c r="E89" s="194" t="n">
        <v>0.85</v>
      </c>
      <c r="F89" s="194" t="n">
        <f aca="false">+$G$73*(E89/100)</f>
        <v>0.014025</v>
      </c>
      <c r="G89" s="0"/>
      <c r="H89" s="0"/>
      <c r="I89" s="0"/>
      <c r="J89" s="0"/>
      <c r="K89" s="0"/>
      <c r="L89" s="0"/>
      <c r="M89" s="0"/>
      <c r="N89" s="0"/>
      <c r="O89" s="0"/>
    </row>
    <row r="90" customFormat="false" ht="12.75" hidden="true" customHeight="false" outlineLevel="0" collapsed="false">
      <c r="A90" s="0"/>
      <c r="B90" s="0"/>
      <c r="C90" s="194"/>
      <c r="D90" s="194"/>
      <c r="E90" s="194"/>
      <c r="F90" s="194"/>
      <c r="G90" s="0"/>
      <c r="H90" s="0"/>
      <c r="I90" s="0"/>
      <c r="J90" s="0"/>
      <c r="K90" s="0"/>
      <c r="L90" s="0"/>
      <c r="M90" s="0"/>
      <c r="N90" s="0"/>
      <c r="O90" s="0"/>
    </row>
    <row r="91" customFormat="false" ht="12.75" hidden="true" customHeight="false" outlineLevel="0" collapsed="false">
      <c r="A91" s="0" t="s">
        <v>161</v>
      </c>
      <c r="B91" s="0" t="s">
        <v>162</v>
      </c>
      <c r="C91" s="194" t="s">
        <v>163</v>
      </c>
      <c r="D91" s="194"/>
      <c r="E91" s="194" t="n">
        <v>0.3546</v>
      </c>
      <c r="F91" s="194" t="n">
        <f aca="false">+$G$73*(E91/100)</f>
        <v>0.0058509</v>
      </c>
      <c r="G91" s="0"/>
      <c r="H91" s="0"/>
      <c r="I91" s="0"/>
      <c r="J91" s="0"/>
      <c r="K91" s="0"/>
      <c r="L91" s="0"/>
      <c r="M91" s="0"/>
      <c r="N91" s="0"/>
      <c r="O91" s="0"/>
    </row>
    <row r="92" customFormat="false" ht="12.75" hidden="true" customHeight="false" outlineLevel="0" collapsed="false">
      <c r="A92" s="0"/>
      <c r="B92" s="0" t="s">
        <v>164</v>
      </c>
      <c r="C92" s="194" t="s">
        <v>165</v>
      </c>
      <c r="D92" s="194"/>
      <c r="E92" s="194" t="n">
        <v>0.557</v>
      </c>
      <c r="F92" s="194" t="n">
        <f aca="false">+$G$73*(E92/100)</f>
        <v>0.0091905</v>
      </c>
      <c r="G92" s="0"/>
      <c r="H92" s="0"/>
      <c r="I92" s="0"/>
    </row>
    <row r="93" customFormat="false" ht="12.75" hidden="true" customHeight="false" outlineLevel="0" collapsed="false">
      <c r="A93" s="0"/>
      <c r="B93" s="0" t="s">
        <v>166</v>
      </c>
      <c r="C93" s="194" t="s">
        <v>167</v>
      </c>
      <c r="D93" s="194"/>
      <c r="E93" s="194" t="n">
        <v>0.628</v>
      </c>
      <c r="F93" s="194" t="n">
        <f aca="false">+$G$73*(E93/100)</f>
        <v>0.010362</v>
      </c>
      <c r="G93" s="0"/>
      <c r="H93" s="0"/>
      <c r="I93" s="0"/>
    </row>
    <row r="94" customFormat="false" ht="12.75" hidden="true" customHeight="false" outlineLevel="0" collapsed="false">
      <c r="A94" s="0"/>
      <c r="B94" s="0"/>
      <c r="C94" s="194"/>
      <c r="D94" s="194"/>
      <c r="E94" s="194"/>
      <c r="F94" s="194"/>
      <c r="G94" s="0"/>
      <c r="H94" s="0"/>
      <c r="I94" s="0"/>
    </row>
    <row r="95" customFormat="false" ht="12.75" hidden="true" customHeight="false" outlineLevel="0" collapsed="false">
      <c r="A95" s="0" t="s">
        <v>168</v>
      </c>
      <c r="B95" s="0" t="s">
        <v>169</v>
      </c>
      <c r="C95" s="194" t="s">
        <v>170</v>
      </c>
      <c r="D95" s="194"/>
      <c r="E95" s="194" t="n">
        <v>0.309</v>
      </c>
      <c r="F95" s="194" t="n">
        <f aca="false">+$G$73*(E95/100)</f>
        <v>0.0050985</v>
      </c>
      <c r="G95" s="0"/>
      <c r="H95" s="0"/>
      <c r="I95" s="0"/>
    </row>
    <row r="96" customFormat="false" ht="12.75" hidden="true" customHeight="false" outlineLevel="0" collapsed="false">
      <c r="A96" s="0"/>
      <c r="B96" s="0"/>
      <c r="C96" s="194"/>
      <c r="D96" s="194"/>
      <c r="E96" s="194"/>
      <c r="F96" s="194"/>
      <c r="G96" s="0"/>
      <c r="H96" s="0"/>
      <c r="I96" s="0"/>
    </row>
    <row r="97" customFormat="false" ht="12.75" hidden="true" customHeight="false" outlineLevel="0" collapsed="false">
      <c r="A97" s="0" t="s">
        <v>171</v>
      </c>
      <c r="B97" s="0" t="s">
        <v>172</v>
      </c>
      <c r="C97" s="194" t="s">
        <v>173</v>
      </c>
      <c r="D97" s="194"/>
      <c r="E97" s="194" t="n">
        <v>0.3748</v>
      </c>
      <c r="F97" s="194" t="n">
        <f aca="false">+$G$73*(E97/100)</f>
        <v>0.0061842</v>
      </c>
      <c r="G97" s="0"/>
      <c r="H97" s="0"/>
      <c r="I97" s="0"/>
    </row>
    <row r="98" customFormat="false" ht="12.75" hidden="true" customHeight="false" outlineLevel="0" collapsed="false">
      <c r="A98" s="0"/>
      <c r="B98" s="0"/>
      <c r="C98" s="0"/>
      <c r="D98" s="0"/>
      <c r="E98" s="0"/>
      <c r="F98" s="0"/>
      <c r="G98" s="0"/>
      <c r="H98" s="0"/>
      <c r="I98" s="0"/>
    </row>
    <row r="99" customFormat="false" ht="12.75" hidden="false" customHeight="false" outlineLevel="0" collapsed="false">
      <c r="B99" s="0"/>
      <c r="C99" s="0"/>
      <c r="D99" s="0"/>
      <c r="E99" s="0"/>
      <c r="F99" s="0"/>
      <c r="G99" s="0"/>
      <c r="H99" s="0"/>
      <c r="I99" s="0"/>
    </row>
    <row r="100" customFormat="false" ht="12.75" hidden="false" customHeight="false" outlineLevel="0" collapsed="false">
      <c r="A100" s="0"/>
      <c r="B100" s="0"/>
      <c r="C100" s="0"/>
      <c r="D100" s="0"/>
      <c r="E100" s="0"/>
      <c r="F100" s="0"/>
      <c r="G100" s="0"/>
      <c r="H100" s="0"/>
      <c r="I100" s="0"/>
    </row>
    <row r="101" customFormat="false" ht="12.75" hidden="false" customHeight="false" outlineLevel="0" collapsed="false">
      <c r="A101" s="0"/>
      <c r="B101" s="0"/>
      <c r="C101" s="0"/>
      <c r="D101" s="0"/>
      <c r="E101" s="0"/>
      <c r="F101" s="0"/>
      <c r="G101" s="0"/>
      <c r="H101" s="0"/>
      <c r="I101" s="0"/>
    </row>
    <row r="102" customFormat="false" ht="12.75" hidden="false" customHeight="false" outlineLevel="0" collapsed="false">
      <c r="A102" s="0"/>
      <c r="B102" s="0"/>
      <c r="C102" s="0"/>
      <c r="D102" s="0"/>
      <c r="E102" s="0"/>
      <c r="F102" s="0"/>
      <c r="G102" s="0"/>
      <c r="H102" s="0"/>
      <c r="I102" s="0"/>
    </row>
    <row r="103" customFormat="false" ht="12.75" hidden="false" customHeight="false" outlineLevel="0" collapsed="false">
      <c r="A103" s="196" t="s">
        <v>174</v>
      </c>
      <c r="B103" s="196"/>
      <c r="C103" s="196"/>
      <c r="D103" s="0"/>
      <c r="E103" s="197" t="s">
        <v>175</v>
      </c>
      <c r="F103" s="0"/>
      <c r="G103" s="198"/>
      <c r="H103" s="0"/>
      <c r="I103" s="296" t="s">
        <v>61</v>
      </c>
      <c r="J103" s="297"/>
      <c r="K103" s="298"/>
      <c r="N103" s="1" t="s">
        <v>176</v>
      </c>
    </row>
    <row r="104" customFormat="false" ht="12.75" hidden="false" customHeight="false" outlineLevel="0" collapsed="false">
      <c r="A104" s="199" t="s">
        <v>177</v>
      </c>
      <c r="B104" s="200" t="s">
        <v>178</v>
      </c>
      <c r="C104" s="299" t="n">
        <v>0.63</v>
      </c>
      <c r="D104" s="78"/>
      <c r="E104" s="200" t="n">
        <v>0.833</v>
      </c>
      <c r="F104" s="79" t="n">
        <f aca="false">C104-E104</f>
        <v>-0.203</v>
      </c>
      <c r="G104" s="199" t="n">
        <v>0.833</v>
      </c>
      <c r="H104" s="79"/>
      <c r="I104" s="199" t="s">
        <v>179</v>
      </c>
      <c r="J104" s="78"/>
      <c r="K104" s="202" t="n">
        <v>0</v>
      </c>
      <c r="L104" s="78" t="n">
        <v>882</v>
      </c>
      <c r="N104" s="1" t="s">
        <v>180</v>
      </c>
      <c r="O104" s="1" t="n">
        <v>1024</v>
      </c>
    </row>
    <row r="105" customFormat="false" ht="12.75" hidden="false" customHeight="false" outlineLevel="0" collapsed="false">
      <c r="A105" s="78"/>
      <c r="B105" s="200" t="s">
        <v>181</v>
      </c>
      <c r="C105" s="299" t="n">
        <v>0.001</v>
      </c>
      <c r="D105" s="78"/>
      <c r="E105" s="79" t="n">
        <v>0.001</v>
      </c>
      <c r="F105" s="79" t="n">
        <f aca="false">C105-E105</f>
        <v>0</v>
      </c>
      <c r="G105" s="199" t="n">
        <v>0.001</v>
      </c>
      <c r="H105" s="79"/>
      <c r="I105" s="199" t="s">
        <v>182</v>
      </c>
      <c r="J105" s="78" t="n">
        <v>6688</v>
      </c>
      <c r="K105" s="300" t="n">
        <v>17</v>
      </c>
      <c r="L105" s="78"/>
      <c r="N105" s="1" t="s">
        <v>135</v>
      </c>
      <c r="O105" s="1" t="n">
        <v>1500</v>
      </c>
    </row>
    <row r="106" customFormat="false" ht="12.75" hidden="false" customHeight="false" outlineLevel="0" collapsed="false">
      <c r="A106" s="78"/>
      <c r="B106" s="200" t="s">
        <v>183</v>
      </c>
      <c r="C106" s="299" t="n">
        <v>0.5</v>
      </c>
      <c r="D106" s="78"/>
      <c r="E106" s="79" t="n">
        <v>0.5</v>
      </c>
      <c r="F106" s="79" t="n">
        <f aca="false">C106-E106</f>
        <v>0</v>
      </c>
      <c r="G106" s="199" t="n">
        <v>0.5</v>
      </c>
      <c r="H106" s="79"/>
      <c r="I106" s="199" t="s">
        <v>87</v>
      </c>
      <c r="J106" s="78" t="n">
        <v>6888</v>
      </c>
      <c r="K106" s="301" t="n">
        <v>5687</v>
      </c>
      <c r="L106" s="78"/>
      <c r="N106" s="1" t="s">
        <v>184</v>
      </c>
      <c r="O106" s="1" t="n">
        <v>219</v>
      </c>
    </row>
    <row r="107" customFormat="false" ht="12.75" hidden="false" customHeight="false" outlineLevel="0" collapsed="false">
      <c r="A107" s="78"/>
      <c r="B107" s="200" t="s">
        <v>185</v>
      </c>
      <c r="C107" s="299" t="n">
        <v>10</v>
      </c>
      <c r="D107" s="78" t="n">
        <v>2</v>
      </c>
      <c r="E107" s="79" t="n">
        <v>10</v>
      </c>
      <c r="F107" s="79" t="n">
        <f aca="false">C107-E107</f>
        <v>0</v>
      </c>
      <c r="G107" s="199" t="n">
        <v>12</v>
      </c>
      <c r="H107" s="79"/>
      <c r="I107" s="199"/>
      <c r="J107" s="78"/>
      <c r="K107" s="202"/>
      <c r="L107" s="78"/>
      <c r="N107" s="1" t="s">
        <v>186</v>
      </c>
      <c r="O107" s="1" t="n">
        <v>1000</v>
      </c>
    </row>
    <row r="108" customFormat="false" ht="12.75" hidden="false" customHeight="false" outlineLevel="0" collapsed="false">
      <c r="A108" s="199" t="s">
        <v>187</v>
      </c>
      <c r="B108" s="200" t="s">
        <v>188</v>
      </c>
      <c r="C108" s="299" t="n">
        <v>3.6</v>
      </c>
      <c r="D108" s="78"/>
      <c r="E108" s="79" t="n">
        <v>3.6</v>
      </c>
      <c r="F108" s="79" t="n">
        <f aca="false">C108-E108</f>
        <v>0</v>
      </c>
      <c r="G108" s="199" t="n">
        <v>3.6</v>
      </c>
      <c r="H108" s="79"/>
      <c r="I108" s="199" t="s">
        <v>189</v>
      </c>
      <c r="J108" s="78" t="n">
        <v>900338</v>
      </c>
      <c r="K108" s="301" t="n">
        <v>749</v>
      </c>
      <c r="L108" s="78"/>
      <c r="N108" s="1" t="s">
        <v>190</v>
      </c>
      <c r="O108" s="1" t="n">
        <v>90</v>
      </c>
    </row>
    <row r="109" customFormat="false" ht="12.75" hidden="false" customHeight="false" outlineLevel="0" collapsed="false">
      <c r="A109" s="199"/>
      <c r="B109" s="200"/>
      <c r="C109" s="200"/>
      <c r="D109" s="78"/>
      <c r="E109" s="79"/>
      <c r="F109" s="79"/>
      <c r="G109" s="199"/>
      <c r="H109" s="79"/>
      <c r="I109" s="199"/>
      <c r="J109" s="78"/>
      <c r="K109" s="204"/>
      <c r="L109" s="78"/>
    </row>
    <row r="110" customFormat="false" ht="12.75" hidden="false" customHeight="false" outlineLevel="0" collapsed="false">
      <c r="A110" s="78"/>
      <c r="B110" s="200" t="s">
        <v>27</v>
      </c>
      <c r="C110" s="199" t="n">
        <v>0</v>
      </c>
      <c r="D110" s="78" t="s">
        <v>192</v>
      </c>
      <c r="E110" s="79" t="n">
        <v>0</v>
      </c>
      <c r="F110" s="79" t="n">
        <f aca="false">C110-E110</f>
        <v>0</v>
      </c>
      <c r="G110" s="199" t="n">
        <v>0</v>
      </c>
      <c r="H110" s="79"/>
      <c r="I110" s="199" t="s">
        <v>410</v>
      </c>
      <c r="J110" s="78" t="n">
        <v>3405</v>
      </c>
      <c r="K110" s="301" t="n">
        <v>2429</v>
      </c>
      <c r="L110" s="78"/>
      <c r="N110" s="1" t="s">
        <v>123</v>
      </c>
    </row>
    <row r="111" customFormat="false" ht="12.75" hidden="false" customHeight="false" outlineLevel="0" collapsed="false">
      <c r="A111" s="78"/>
      <c r="B111" s="200" t="s">
        <v>194</v>
      </c>
      <c r="C111" s="299" t="n">
        <v>2.4</v>
      </c>
      <c r="D111" s="78"/>
      <c r="E111" s="79" t="n">
        <v>2.4</v>
      </c>
      <c r="F111" s="79" t="n">
        <f aca="false">C111-E111</f>
        <v>0</v>
      </c>
      <c r="G111" s="199" t="n">
        <v>2.4</v>
      </c>
      <c r="H111" s="79"/>
      <c r="I111" s="199" t="s">
        <v>195</v>
      </c>
      <c r="J111" s="78"/>
      <c r="K111" s="204" t="n">
        <v>0</v>
      </c>
      <c r="L111" s="78" t="n">
        <v>660</v>
      </c>
    </row>
    <row r="112" customFormat="false" ht="12.75" hidden="false" customHeight="false" outlineLevel="0" collapsed="false">
      <c r="A112" s="199" t="s">
        <v>196</v>
      </c>
      <c r="B112" s="200" t="s">
        <v>197</v>
      </c>
      <c r="C112" s="299" t="n">
        <v>0.8</v>
      </c>
      <c r="D112" s="79"/>
      <c r="E112" s="79" t="n">
        <v>0.8</v>
      </c>
      <c r="F112" s="79" t="n">
        <f aca="false">C112-E112</f>
        <v>0</v>
      </c>
      <c r="G112" s="199" t="n">
        <v>0.8</v>
      </c>
      <c r="H112" s="79"/>
      <c r="I112" s="199" t="s">
        <v>198</v>
      </c>
      <c r="J112" s="78" t="n">
        <v>5333</v>
      </c>
      <c r="K112" s="301" t="n">
        <v>250</v>
      </c>
      <c r="L112" s="78" t="s">
        <v>199</v>
      </c>
    </row>
    <row r="113" customFormat="false" ht="12.75" hidden="false" customHeight="false" outlineLevel="0" collapsed="false">
      <c r="A113" s="79"/>
      <c r="B113" s="200" t="s">
        <v>9</v>
      </c>
      <c r="C113" s="299" t="n">
        <v>16.5</v>
      </c>
      <c r="D113" s="79"/>
      <c r="E113" s="79" t="n">
        <v>16.941</v>
      </c>
      <c r="F113" s="79" t="n">
        <f aca="false">C113-E113</f>
        <v>-0.440999999999999</v>
      </c>
      <c r="G113" s="199" t="n">
        <v>16.5</v>
      </c>
      <c r="H113" s="199"/>
      <c r="I113" s="202" t="s">
        <v>200</v>
      </c>
      <c r="J113" s="78" t="n">
        <v>6835</v>
      </c>
      <c r="K113" s="301" t="n">
        <v>24</v>
      </c>
      <c r="L113" s="78"/>
    </row>
    <row r="114" customFormat="false" ht="12.75" hidden="false" customHeight="false" outlineLevel="0" collapsed="false">
      <c r="A114" s="79"/>
      <c r="B114" s="200" t="s">
        <v>11</v>
      </c>
      <c r="C114" s="199" t="n">
        <v>0</v>
      </c>
      <c r="D114" s="79" t="s">
        <v>82</v>
      </c>
      <c r="E114" s="79" t="n">
        <v>0</v>
      </c>
      <c r="F114" s="79" t="n">
        <f aca="false">C114-E114</f>
        <v>0</v>
      </c>
      <c r="G114" s="199" t="n">
        <v>20</v>
      </c>
      <c r="H114" s="79"/>
      <c r="I114" s="202" t="s">
        <v>201</v>
      </c>
      <c r="J114" s="78" t="n">
        <v>4286</v>
      </c>
      <c r="K114" s="301" t="n">
        <v>39</v>
      </c>
      <c r="L114" s="78"/>
    </row>
    <row r="115" customFormat="false" ht="12.75" hidden="false" customHeight="false" outlineLevel="0" collapsed="false">
      <c r="A115" s="79"/>
      <c r="B115" s="200"/>
      <c r="C115" s="199"/>
      <c r="D115" s="79"/>
      <c r="E115" s="79"/>
      <c r="F115" s="79"/>
      <c r="G115" s="199"/>
      <c r="H115" s="79"/>
      <c r="I115" s="202" t="s">
        <v>202</v>
      </c>
      <c r="J115" s="78" t="n">
        <v>9676</v>
      </c>
      <c r="K115" s="302" t="n">
        <v>0</v>
      </c>
      <c r="L115" s="206" t="s">
        <v>203</v>
      </c>
    </row>
    <row r="116" customFormat="false" ht="12.75" hidden="false" customHeight="false" outlineLevel="0" collapsed="false">
      <c r="A116" s="79"/>
      <c r="B116" s="200" t="s">
        <v>204</v>
      </c>
      <c r="C116" s="299" t="n">
        <v>0.025</v>
      </c>
      <c r="D116" s="79"/>
      <c r="E116" s="79" t="n">
        <v>0.025</v>
      </c>
      <c r="F116" s="79" t="n">
        <f aca="false">C116-E116</f>
        <v>0</v>
      </c>
      <c r="G116" s="199" t="n">
        <v>0.025</v>
      </c>
      <c r="H116" s="79"/>
      <c r="I116" s="202" t="s">
        <v>411</v>
      </c>
      <c r="J116" s="78" t="n">
        <v>6480</v>
      </c>
      <c r="K116" s="301" t="n">
        <v>1</v>
      </c>
      <c r="L116" s="206"/>
    </row>
    <row r="117" customFormat="false" ht="12.75" hidden="false" customHeight="false" outlineLevel="0" collapsed="false">
      <c r="A117" s="79"/>
      <c r="B117" s="200" t="s">
        <v>206</v>
      </c>
      <c r="C117" s="199" t="n">
        <v>0</v>
      </c>
      <c r="D117" s="79"/>
      <c r="E117" s="79" t="n">
        <v>1.3</v>
      </c>
      <c r="F117" s="79" t="n">
        <f aca="false">C117-E117</f>
        <v>-1.3</v>
      </c>
      <c r="G117" s="199" t="n">
        <v>1.3</v>
      </c>
      <c r="H117" s="79"/>
      <c r="I117" s="202" t="s">
        <v>205</v>
      </c>
      <c r="J117" s="78" t="n">
        <v>6551</v>
      </c>
      <c r="K117" s="301" t="n">
        <v>100</v>
      </c>
      <c r="L117" s="78"/>
    </row>
    <row r="118" customFormat="false" ht="12.75" hidden="false" customHeight="false" outlineLevel="0" collapsed="false">
      <c r="A118" s="79"/>
      <c r="B118" s="200" t="s">
        <v>208</v>
      </c>
      <c r="C118" s="299" t="n">
        <v>7</v>
      </c>
      <c r="D118" s="79" t="n">
        <v>8</v>
      </c>
      <c r="E118" s="79" t="n">
        <v>7.407</v>
      </c>
      <c r="F118" s="79" t="n">
        <f aca="false">C118-E118</f>
        <v>-0.407</v>
      </c>
      <c r="G118" s="199" t="n">
        <v>8</v>
      </c>
      <c r="H118" s="79"/>
      <c r="I118" s="202" t="s">
        <v>207</v>
      </c>
      <c r="J118" s="78" t="n">
        <v>6373</v>
      </c>
      <c r="K118" s="301" t="n">
        <v>1</v>
      </c>
      <c r="L118" s="78"/>
    </row>
    <row r="119" customFormat="false" ht="12.75" hidden="false" customHeight="false" outlineLevel="0" collapsed="false">
      <c r="A119" s="79"/>
      <c r="B119" s="200"/>
      <c r="C119" s="200"/>
      <c r="D119" s="79"/>
      <c r="E119" s="79"/>
      <c r="F119" s="79"/>
      <c r="G119" s="199"/>
      <c r="H119" s="79"/>
      <c r="I119" s="202" t="s">
        <v>412</v>
      </c>
      <c r="J119" s="78" t="n">
        <v>4056</v>
      </c>
      <c r="K119" s="301" t="n">
        <v>514</v>
      </c>
      <c r="L119" s="78"/>
    </row>
    <row r="120" customFormat="false" ht="12.75" hidden="false" customHeight="false" outlineLevel="0" collapsed="false">
      <c r="A120" s="79"/>
      <c r="B120" s="200" t="s">
        <v>211</v>
      </c>
      <c r="C120" s="303" t="n">
        <v>20</v>
      </c>
      <c r="D120" s="79" t="s">
        <v>413</v>
      </c>
      <c r="E120" s="79" t="n">
        <v>20</v>
      </c>
      <c r="F120" s="79" t="n">
        <f aca="false">C120-E120</f>
        <v>0</v>
      </c>
      <c r="G120" s="199" t="n">
        <v>22.5</v>
      </c>
      <c r="H120" s="78"/>
      <c r="I120" s="202" t="s">
        <v>412</v>
      </c>
      <c r="J120" s="78" t="n">
        <v>6855</v>
      </c>
      <c r="K120" s="301" t="n">
        <v>3</v>
      </c>
      <c r="L120" s="78"/>
    </row>
    <row r="121" customFormat="false" ht="12.75" hidden="false" customHeight="false" outlineLevel="0" collapsed="false">
      <c r="A121" s="79"/>
      <c r="B121" s="200" t="s">
        <v>213</v>
      </c>
      <c r="C121" s="299" t="n">
        <v>3.85</v>
      </c>
      <c r="D121" s="79"/>
      <c r="E121" s="79" t="n">
        <v>3.85</v>
      </c>
      <c r="F121" s="79" t="n">
        <f aca="false">C121-E121</f>
        <v>0</v>
      </c>
      <c r="G121" s="199" t="n">
        <v>3.85</v>
      </c>
      <c r="H121" s="78"/>
      <c r="I121" s="202" t="s">
        <v>209</v>
      </c>
      <c r="J121" s="78" t="n">
        <v>4132</v>
      </c>
      <c r="K121" s="301" t="n">
        <v>154</v>
      </c>
      <c r="L121" s="78" t="n">
        <v>11</v>
      </c>
    </row>
    <row r="122" customFormat="false" ht="12.75" hidden="false" customHeight="false" outlineLevel="0" collapsed="false">
      <c r="A122" s="79"/>
      <c r="B122" s="200" t="s">
        <v>15</v>
      </c>
      <c r="C122" s="200" t="n">
        <v>0</v>
      </c>
      <c r="D122" s="79"/>
      <c r="E122" s="79" t="n">
        <v>0</v>
      </c>
      <c r="F122" s="79" t="n">
        <f aca="false">C122-E122</f>
        <v>0</v>
      </c>
      <c r="G122" s="199" t="n">
        <v>62</v>
      </c>
      <c r="H122" s="78"/>
      <c r="I122" s="202" t="s">
        <v>210</v>
      </c>
      <c r="J122" s="78" t="n">
        <v>4120</v>
      </c>
      <c r="K122" s="301" t="n">
        <v>821</v>
      </c>
      <c r="L122" s="78"/>
    </row>
    <row r="123" customFormat="false" ht="12.75" hidden="false" customHeight="false" outlineLevel="0" collapsed="false">
      <c r="A123" s="79"/>
      <c r="B123" s="200" t="s">
        <v>216</v>
      </c>
      <c r="C123" s="299" t="n">
        <v>0.025</v>
      </c>
      <c r="D123" s="79"/>
      <c r="E123" s="79" t="n">
        <v>0.025</v>
      </c>
      <c r="F123" s="79" t="n">
        <f aca="false">C123-E123</f>
        <v>0</v>
      </c>
      <c r="G123" s="199" t="n">
        <v>0.025</v>
      </c>
      <c r="H123" s="78"/>
      <c r="I123" s="202" t="s">
        <v>99</v>
      </c>
      <c r="J123" s="78" t="n">
        <v>639</v>
      </c>
      <c r="K123" s="301" t="n">
        <v>500</v>
      </c>
      <c r="L123" s="78"/>
    </row>
    <row r="124" customFormat="false" ht="12.75" hidden="false" customHeight="false" outlineLevel="0" collapsed="false">
      <c r="A124" s="79"/>
      <c r="B124" s="200" t="s">
        <v>218</v>
      </c>
      <c r="C124" s="299" t="n">
        <v>0.05</v>
      </c>
      <c r="D124" s="79"/>
      <c r="E124" s="79" t="n">
        <v>0.05</v>
      </c>
      <c r="F124" s="79" t="n">
        <f aca="false">C124-E124</f>
        <v>0</v>
      </c>
      <c r="G124" s="199" t="n">
        <v>0.05</v>
      </c>
      <c r="H124" s="78"/>
      <c r="I124" s="202" t="s">
        <v>212</v>
      </c>
      <c r="J124" s="78" t="n">
        <v>6840</v>
      </c>
      <c r="K124" s="301" t="n">
        <v>1317</v>
      </c>
      <c r="L124" s="78"/>
    </row>
    <row r="125" customFormat="false" ht="12.75" hidden="false" customHeight="false" outlineLevel="0" collapsed="false">
      <c r="A125" s="79"/>
      <c r="B125" s="200" t="s">
        <v>220</v>
      </c>
      <c r="C125" s="299" t="n">
        <v>13</v>
      </c>
      <c r="D125" s="79" t="n">
        <v>11</v>
      </c>
      <c r="E125" s="79" t="n">
        <v>4.665</v>
      </c>
      <c r="F125" s="79" t="n">
        <f aca="false">C125-E125</f>
        <v>8.335</v>
      </c>
      <c r="G125" s="199" t="n">
        <v>6</v>
      </c>
      <c r="H125" s="78"/>
      <c r="I125" s="202"/>
      <c r="J125" s="78"/>
      <c r="K125" s="202"/>
      <c r="L125" s="78"/>
    </row>
    <row r="126" customFormat="false" ht="12.75" hidden="false" customHeight="false" outlineLevel="0" collapsed="false">
      <c r="A126" s="79"/>
      <c r="B126" s="200" t="s">
        <v>222</v>
      </c>
      <c r="C126" s="299" t="n">
        <v>0.419</v>
      </c>
      <c r="D126" s="78"/>
      <c r="E126" s="79" t="n">
        <v>0.419</v>
      </c>
      <c r="F126" s="79" t="n">
        <f aca="false">C126-E126</f>
        <v>0</v>
      </c>
      <c r="G126" s="199" t="n">
        <v>0.419</v>
      </c>
      <c r="H126" s="78"/>
      <c r="I126" s="202" t="s">
        <v>215</v>
      </c>
      <c r="J126" s="78" t="n">
        <v>6519</v>
      </c>
      <c r="K126" s="301" t="n">
        <v>2</v>
      </c>
      <c r="L126" s="78"/>
    </row>
    <row r="127" customFormat="false" ht="12.75" hidden="false" customHeight="false" outlineLevel="0" collapsed="false">
      <c r="A127" s="79"/>
      <c r="B127" s="200"/>
      <c r="C127" s="200"/>
      <c r="D127" s="78"/>
      <c r="E127" s="79"/>
      <c r="F127" s="79"/>
      <c r="G127" s="199"/>
      <c r="H127" s="78"/>
      <c r="I127" s="202" t="s">
        <v>217</v>
      </c>
      <c r="J127" s="78" t="n">
        <v>5502</v>
      </c>
      <c r="K127" s="301" t="n">
        <v>37</v>
      </c>
      <c r="L127" s="78"/>
    </row>
    <row r="128" customFormat="false" ht="12.75" hidden="false" customHeight="false" outlineLevel="0" collapsed="false">
      <c r="A128" s="78"/>
      <c r="B128" s="200" t="s">
        <v>225</v>
      </c>
      <c r="C128" s="299" t="n">
        <v>5</v>
      </c>
      <c r="D128" s="78"/>
      <c r="E128" s="79" t="n">
        <v>5</v>
      </c>
      <c r="F128" s="79" t="n">
        <f aca="false">C128-E128</f>
        <v>0</v>
      </c>
      <c r="G128" s="199" t="n">
        <v>5</v>
      </c>
      <c r="H128" s="78"/>
      <c r="I128" s="202" t="s">
        <v>219</v>
      </c>
      <c r="J128" s="78" t="n">
        <v>6789</v>
      </c>
      <c r="K128" s="301" t="n">
        <v>12500</v>
      </c>
      <c r="L128" s="78"/>
    </row>
    <row r="129" customFormat="false" ht="12.75" hidden="false" customHeight="false" outlineLevel="0" collapsed="false">
      <c r="A129" s="78"/>
      <c r="B129" s="200" t="s">
        <v>227</v>
      </c>
      <c r="C129" s="199" t="n">
        <v>0</v>
      </c>
      <c r="D129" s="78"/>
      <c r="E129" s="79" t="n">
        <v>0</v>
      </c>
      <c r="F129" s="79" t="n">
        <f aca="false">C129-E129</f>
        <v>0</v>
      </c>
      <c r="G129" s="199" t="n">
        <v>20</v>
      </c>
      <c r="H129" s="78"/>
      <c r="I129" s="202" t="s">
        <v>221</v>
      </c>
      <c r="J129" s="209" t="n">
        <v>6545</v>
      </c>
      <c r="K129" s="301" t="n">
        <v>68</v>
      </c>
      <c r="L129" s="78"/>
    </row>
    <row r="130" customFormat="false" ht="12.75" hidden="false" customHeight="false" outlineLevel="0" collapsed="false">
      <c r="A130" s="78"/>
      <c r="B130" s="200" t="s">
        <v>228</v>
      </c>
      <c r="C130" s="299" t="n">
        <v>10</v>
      </c>
      <c r="D130" s="78"/>
      <c r="E130" s="79" t="n">
        <v>9.562</v>
      </c>
      <c r="F130" s="79" t="n">
        <f aca="false">C130-E130</f>
        <v>0.438000000000001</v>
      </c>
      <c r="G130" s="199" t="n">
        <v>10</v>
      </c>
      <c r="H130" s="78"/>
      <c r="I130" s="202" t="s">
        <v>221</v>
      </c>
      <c r="J130" s="209" t="n">
        <v>275</v>
      </c>
      <c r="K130" s="301" t="n">
        <v>82</v>
      </c>
      <c r="L130" s="78" t="s">
        <v>224</v>
      </c>
    </row>
    <row r="131" customFormat="false" ht="12.75" hidden="false" customHeight="false" outlineLevel="0" collapsed="false">
      <c r="A131" s="78"/>
      <c r="B131" s="200" t="s">
        <v>229</v>
      </c>
      <c r="C131" s="299" t="n">
        <v>0.1</v>
      </c>
      <c r="D131" s="78"/>
      <c r="E131" s="79" t="n">
        <v>0.1</v>
      </c>
      <c r="F131" s="79" t="n">
        <f aca="false">C131-E131</f>
        <v>0</v>
      </c>
      <c r="G131" s="199" t="n">
        <v>0.1</v>
      </c>
      <c r="H131" s="78"/>
      <c r="I131" s="202" t="s">
        <v>223</v>
      </c>
      <c r="J131" s="209" t="n">
        <v>9812</v>
      </c>
      <c r="K131" s="301" t="n">
        <v>471</v>
      </c>
      <c r="L131" s="78"/>
    </row>
    <row r="132" customFormat="false" ht="12.75" hidden="false" customHeight="false" outlineLevel="0" collapsed="false">
      <c r="A132" s="78"/>
      <c r="B132" s="200" t="s">
        <v>58</v>
      </c>
      <c r="C132" s="299" t="n">
        <v>2</v>
      </c>
      <c r="D132" s="78"/>
      <c r="E132" s="79" t="n">
        <v>2</v>
      </c>
      <c r="F132" s="79" t="n">
        <f aca="false">C132-E132</f>
        <v>0</v>
      </c>
      <c r="G132" s="199" t="n">
        <v>2</v>
      </c>
      <c r="H132" s="78"/>
      <c r="I132" s="202" t="s">
        <v>226</v>
      </c>
      <c r="J132" s="209" t="n">
        <v>6387</v>
      </c>
      <c r="K132" s="301" t="n">
        <v>400</v>
      </c>
      <c r="L132" s="78"/>
    </row>
    <row r="133" customFormat="false" ht="12.75" hidden="false" customHeight="false" outlineLevel="0" collapsed="false">
      <c r="A133" s="78"/>
      <c r="B133" s="200" t="s">
        <v>232</v>
      </c>
      <c r="C133" s="299" t="n">
        <v>0.02</v>
      </c>
      <c r="D133" s="78"/>
      <c r="E133" s="79" t="n">
        <v>0.02</v>
      </c>
      <c r="F133" s="79" t="n">
        <f aca="false">C133-E133</f>
        <v>0</v>
      </c>
      <c r="G133" s="199" t="n">
        <v>0.02</v>
      </c>
      <c r="H133" s="78"/>
      <c r="I133" s="202" t="s">
        <v>226</v>
      </c>
      <c r="J133" s="209" t="n">
        <v>6347</v>
      </c>
      <c r="K133" s="301" t="n">
        <v>186</v>
      </c>
      <c r="L133" s="78"/>
    </row>
    <row r="134" customFormat="false" ht="12.75" hidden="false" customHeight="false" outlineLevel="0" collapsed="false">
      <c r="A134" s="78"/>
      <c r="B134" s="200"/>
      <c r="C134" s="199"/>
      <c r="D134" s="78"/>
      <c r="E134" s="79" t="n">
        <v>0</v>
      </c>
      <c r="F134" s="79" t="n">
        <f aca="false">C134-E134</f>
        <v>0</v>
      </c>
      <c r="G134" s="199" t="n">
        <v>10</v>
      </c>
      <c r="H134" s="78"/>
      <c r="I134" s="202" t="s">
        <v>226</v>
      </c>
      <c r="J134" s="209" t="n">
        <v>5892</v>
      </c>
      <c r="K134" s="301" t="n">
        <v>105</v>
      </c>
      <c r="L134" s="78"/>
    </row>
    <row r="135" customFormat="false" ht="12.75" hidden="false" customHeight="false" outlineLevel="0" collapsed="false">
      <c r="A135" s="78"/>
      <c r="B135" s="200" t="s">
        <v>235</v>
      </c>
      <c r="C135" s="299" t="n">
        <v>0.556</v>
      </c>
      <c r="D135" s="78"/>
      <c r="E135" s="79" t="n">
        <v>0.5</v>
      </c>
      <c r="F135" s="79" t="n">
        <f aca="false">C135-E135</f>
        <v>0.0560000000000001</v>
      </c>
      <c r="G135" s="199" t="n">
        <v>0.705</v>
      </c>
      <c r="H135" s="78"/>
      <c r="I135" s="202" t="s">
        <v>226</v>
      </c>
      <c r="J135" s="209" t="n">
        <v>6757</v>
      </c>
      <c r="K135" s="301" t="n">
        <v>194</v>
      </c>
      <c r="L135" s="78"/>
    </row>
    <row r="136" customFormat="false" ht="12.75" hidden="false" customHeight="false" outlineLevel="0" collapsed="false">
      <c r="A136" s="78"/>
      <c r="B136" s="200" t="s">
        <v>53</v>
      </c>
      <c r="C136" s="299" t="n">
        <v>10</v>
      </c>
      <c r="D136" s="78"/>
      <c r="E136" s="79" t="n">
        <v>10.922</v>
      </c>
      <c r="F136" s="79" t="n">
        <f aca="false">C136-E136</f>
        <v>-0.922000000000001</v>
      </c>
      <c r="G136" s="199" t="n">
        <v>8.5</v>
      </c>
      <c r="H136" s="78"/>
      <c r="I136" s="202" t="s">
        <v>231</v>
      </c>
      <c r="J136" s="78" t="n">
        <v>6598</v>
      </c>
      <c r="K136" s="301" t="n">
        <v>235</v>
      </c>
      <c r="L136" s="78"/>
    </row>
    <row r="137" customFormat="false" ht="12.75" hidden="false" customHeight="false" outlineLevel="0" collapsed="false">
      <c r="A137" s="78"/>
      <c r="B137" s="200" t="s">
        <v>237</v>
      </c>
      <c r="C137" s="299" t="n">
        <v>2</v>
      </c>
      <c r="D137" s="78"/>
      <c r="E137" s="79" t="n">
        <v>2</v>
      </c>
      <c r="F137" s="79" t="n">
        <f aca="false">C137-E137</f>
        <v>0</v>
      </c>
      <c r="G137" s="199" t="n">
        <v>0</v>
      </c>
      <c r="H137" s="78"/>
      <c r="I137" s="202" t="s">
        <v>233</v>
      </c>
      <c r="J137" s="78" t="n">
        <v>6392</v>
      </c>
      <c r="K137" s="301" t="n">
        <v>65</v>
      </c>
      <c r="L137" s="78" t="n">
        <v>1287</v>
      </c>
    </row>
    <row r="138" customFormat="false" ht="12.75" hidden="false" customHeight="false" outlineLevel="0" collapsed="false">
      <c r="A138" s="78"/>
      <c r="B138" s="200" t="s">
        <v>21</v>
      </c>
      <c r="C138" s="299" t="n">
        <v>33</v>
      </c>
      <c r="D138" s="78"/>
      <c r="E138" s="79" t="n">
        <v>42.671</v>
      </c>
      <c r="F138" s="79" t="n">
        <f aca="false">C138-E138</f>
        <v>-9.671</v>
      </c>
      <c r="G138" s="199" t="n">
        <v>30</v>
      </c>
      <c r="H138" s="78"/>
      <c r="I138" s="202" t="s">
        <v>234</v>
      </c>
      <c r="J138" s="78" t="n">
        <v>440</v>
      </c>
      <c r="K138" s="301" t="n">
        <v>444</v>
      </c>
      <c r="L138" s="78" t="n">
        <v>4770</v>
      </c>
    </row>
    <row r="139" customFormat="false" ht="12.75" hidden="false" customHeight="false" outlineLevel="0" collapsed="false">
      <c r="A139" s="78"/>
      <c r="B139" s="304" t="s">
        <v>19</v>
      </c>
      <c r="C139" s="299" t="n">
        <v>65</v>
      </c>
      <c r="D139" s="78" t="n">
        <v>65</v>
      </c>
      <c r="E139" s="79" t="n">
        <v>63.607</v>
      </c>
      <c r="F139" s="79" t="n">
        <f aca="false">C139-E139</f>
        <v>1.393</v>
      </c>
      <c r="G139" s="199" t="n">
        <v>65</v>
      </c>
      <c r="H139" s="78"/>
      <c r="I139" s="202" t="s">
        <v>135</v>
      </c>
      <c r="J139" s="78" t="n">
        <v>6173</v>
      </c>
      <c r="K139" s="302" t="n">
        <v>975</v>
      </c>
      <c r="L139" s="78"/>
    </row>
    <row r="140" customFormat="false" ht="12.75" hidden="false" customHeight="false" outlineLevel="0" collapsed="false">
      <c r="A140" s="78"/>
      <c r="B140" s="200" t="s">
        <v>242</v>
      </c>
      <c r="C140" s="299" t="n">
        <v>0.18</v>
      </c>
      <c r="D140" s="78"/>
      <c r="E140" s="79" t="n">
        <v>0.18</v>
      </c>
      <c r="F140" s="79" t="n">
        <f aca="false">C140-E140</f>
        <v>0</v>
      </c>
      <c r="G140" s="199" t="n">
        <v>0.18</v>
      </c>
      <c r="H140" s="78"/>
      <c r="I140" s="202" t="s">
        <v>236</v>
      </c>
      <c r="J140" s="78"/>
      <c r="K140" s="202" t="n">
        <v>0</v>
      </c>
      <c r="L140" s="78"/>
    </row>
    <row r="141" customFormat="false" ht="12.75" hidden="false" customHeight="false" outlineLevel="0" collapsed="false">
      <c r="A141" s="78"/>
      <c r="B141" s="210" t="s">
        <v>244</v>
      </c>
      <c r="C141" s="305" t="n">
        <v>2.5</v>
      </c>
      <c r="D141" s="78"/>
      <c r="E141" s="79" t="n">
        <v>0</v>
      </c>
      <c r="F141" s="79" t="n">
        <f aca="false">C141-E141</f>
        <v>2.5</v>
      </c>
      <c r="G141" s="199" t="n">
        <v>1.991</v>
      </c>
      <c r="H141" s="78"/>
      <c r="I141" s="202" t="s">
        <v>238</v>
      </c>
      <c r="J141" s="78" t="n">
        <v>4132</v>
      </c>
      <c r="K141" s="301" t="n">
        <v>7500</v>
      </c>
      <c r="L141" s="78"/>
    </row>
    <row r="142" customFormat="false" ht="12.75" hidden="false" customHeight="false" outlineLevel="0" collapsed="false">
      <c r="A142" s="78"/>
      <c r="B142" s="200" t="s">
        <v>23</v>
      </c>
      <c r="C142" s="299" t="n">
        <v>30</v>
      </c>
      <c r="D142" s="78"/>
      <c r="E142" s="79" t="n">
        <v>26.359</v>
      </c>
      <c r="F142" s="79" t="n">
        <f aca="false">C142-E142</f>
        <v>3.641</v>
      </c>
      <c r="G142" s="199" t="n">
        <v>45</v>
      </c>
      <c r="H142" s="78"/>
      <c r="I142" s="202" t="s">
        <v>239</v>
      </c>
      <c r="J142" s="209" t="s">
        <v>240</v>
      </c>
      <c r="K142" s="301" t="n">
        <v>3506</v>
      </c>
      <c r="L142" s="78"/>
    </row>
    <row r="143" customFormat="false" ht="12.75" hidden="false" customHeight="false" outlineLevel="0" collapsed="false">
      <c r="A143" s="78"/>
      <c r="B143" s="200"/>
      <c r="C143" s="200"/>
      <c r="D143" s="78"/>
      <c r="E143" s="79"/>
      <c r="F143" s="79"/>
      <c r="G143" s="199"/>
      <c r="H143" s="78"/>
      <c r="I143" s="202" t="s">
        <v>241</v>
      </c>
      <c r="J143" s="78" t="n">
        <v>3405</v>
      </c>
      <c r="K143" s="202" t="n">
        <v>0</v>
      </c>
      <c r="L143" s="78"/>
    </row>
    <row r="144" customFormat="false" ht="12.75" hidden="false" customHeight="false" outlineLevel="0" collapsed="false">
      <c r="A144" s="78"/>
      <c r="B144" s="200" t="s">
        <v>66</v>
      </c>
      <c r="C144" s="200" t="n">
        <v>0</v>
      </c>
      <c r="D144" s="78"/>
      <c r="E144" s="79" t="n">
        <v>6.142</v>
      </c>
      <c r="F144" s="79" t="n">
        <f aca="false">C144-E144</f>
        <v>-6.142</v>
      </c>
      <c r="G144" s="199" t="n">
        <v>6</v>
      </c>
      <c r="H144" s="78"/>
      <c r="I144" s="202" t="s">
        <v>243</v>
      </c>
      <c r="J144" s="78" t="n">
        <v>6353</v>
      </c>
      <c r="K144" s="301" t="n">
        <v>4000</v>
      </c>
      <c r="L144" s="78" t="s">
        <v>224</v>
      </c>
    </row>
    <row r="145" customFormat="false" ht="12.75" hidden="false" customHeight="false" outlineLevel="0" collapsed="false">
      <c r="A145" s="78"/>
      <c r="B145" s="200" t="s">
        <v>250</v>
      </c>
      <c r="C145" s="306" t="n">
        <v>11</v>
      </c>
      <c r="D145" s="206" t="s">
        <v>414</v>
      </c>
      <c r="E145" s="79" t="n">
        <v>11.156</v>
      </c>
      <c r="F145" s="79" t="n">
        <f aca="false">C145-E145</f>
        <v>-0.156000000000001</v>
      </c>
      <c r="G145" s="199" t="n">
        <v>11.5</v>
      </c>
      <c r="H145" s="78"/>
      <c r="I145" s="202" t="s">
        <v>245</v>
      </c>
      <c r="J145" s="78" t="n">
        <v>6899</v>
      </c>
      <c r="K145" s="301" t="n">
        <v>1</v>
      </c>
      <c r="L145" s="78"/>
    </row>
    <row r="146" customFormat="false" ht="12.75" hidden="false" customHeight="false" outlineLevel="0" collapsed="false">
      <c r="A146" s="78"/>
      <c r="B146" s="200" t="s">
        <v>252</v>
      </c>
      <c r="C146" s="299" t="n">
        <v>0.5</v>
      </c>
      <c r="D146" s="78"/>
      <c r="E146" s="79" t="n">
        <v>0.5</v>
      </c>
      <c r="F146" s="79" t="n">
        <f aca="false">C146-E146</f>
        <v>0</v>
      </c>
      <c r="G146" s="199" t="n">
        <v>0.3</v>
      </c>
      <c r="H146" s="78"/>
      <c r="I146" s="202"/>
      <c r="J146" s="78"/>
      <c r="K146" s="204"/>
      <c r="L146" s="78"/>
    </row>
    <row r="147" customFormat="false" ht="12.75" hidden="false" customHeight="false" outlineLevel="0" collapsed="false">
      <c r="A147" s="78"/>
      <c r="B147" s="200" t="s">
        <v>254</v>
      </c>
      <c r="C147" s="299" t="n">
        <v>0.215</v>
      </c>
      <c r="D147" s="78"/>
      <c r="E147" s="79" t="n">
        <v>0.215</v>
      </c>
      <c r="F147" s="79" t="n">
        <f aca="false">C147-E147</f>
        <v>0</v>
      </c>
      <c r="G147" s="199" t="n">
        <v>0.215</v>
      </c>
      <c r="H147" s="78"/>
      <c r="I147" s="202" t="s">
        <v>247</v>
      </c>
      <c r="J147" s="211" t="s">
        <v>248</v>
      </c>
      <c r="K147" s="301" t="n">
        <v>20</v>
      </c>
      <c r="L147" s="78" t="n">
        <v>2000</v>
      </c>
    </row>
    <row r="148" customFormat="false" ht="12.75" hidden="false" customHeight="false" outlineLevel="0" collapsed="false">
      <c r="A148" s="78"/>
      <c r="B148" s="200" t="s">
        <v>62</v>
      </c>
      <c r="C148" s="299" t="n">
        <v>0.8</v>
      </c>
      <c r="D148" s="78"/>
      <c r="E148" s="79" t="n">
        <v>0.9</v>
      </c>
      <c r="F148" s="79" t="n">
        <f aca="false">C148-E148</f>
        <v>-0.1</v>
      </c>
      <c r="G148" s="199" t="n">
        <v>0.9</v>
      </c>
      <c r="H148" s="78"/>
      <c r="I148" s="202" t="s">
        <v>249</v>
      </c>
      <c r="J148" s="78" t="n">
        <v>7491</v>
      </c>
      <c r="K148" s="301" t="n">
        <v>1000</v>
      </c>
      <c r="L148" s="78"/>
    </row>
    <row r="149" customFormat="false" ht="12.75" hidden="false" customHeight="false" outlineLevel="0" collapsed="false">
      <c r="A149" s="78"/>
      <c r="B149" s="200" t="s">
        <v>259</v>
      </c>
      <c r="C149" s="199" t="n">
        <v>0</v>
      </c>
      <c r="D149" s="78"/>
      <c r="E149" s="79" t="n">
        <v>0</v>
      </c>
      <c r="F149" s="79" t="n">
        <f aca="false">C149-E149</f>
        <v>0</v>
      </c>
      <c r="G149" s="199" t="n">
        <v>0.08</v>
      </c>
      <c r="H149" s="78"/>
      <c r="I149" s="202" t="s">
        <v>251</v>
      </c>
      <c r="J149" s="78" t="n">
        <v>6173</v>
      </c>
      <c r="K149" s="212" t="n">
        <v>0</v>
      </c>
      <c r="L149" s="78"/>
    </row>
    <row r="150" customFormat="false" ht="12.75" hidden="false" customHeight="false" outlineLevel="0" collapsed="false">
      <c r="A150" s="78"/>
      <c r="B150" s="200" t="s">
        <v>261</v>
      </c>
      <c r="C150" s="200" t="n">
        <v>0</v>
      </c>
      <c r="D150" s="78"/>
      <c r="E150" s="79" t="n">
        <v>0</v>
      </c>
      <c r="F150" s="79" t="n">
        <f aca="false">C150-E150</f>
        <v>0</v>
      </c>
      <c r="G150" s="199" t="n">
        <v>0</v>
      </c>
      <c r="H150" s="78"/>
      <c r="I150" s="202" t="s">
        <v>253</v>
      </c>
      <c r="J150" s="78" t="n">
        <v>6210</v>
      </c>
      <c r="K150" s="301" t="n">
        <v>7500</v>
      </c>
      <c r="L150" s="78" t="n">
        <v>7307</v>
      </c>
    </row>
    <row r="151" customFormat="false" ht="12.75" hidden="false" customHeight="false" outlineLevel="0" collapsed="false">
      <c r="A151" s="78"/>
      <c r="B151" s="200" t="s">
        <v>263</v>
      </c>
      <c r="C151" s="299" t="n">
        <v>1</v>
      </c>
      <c r="D151" s="78"/>
      <c r="E151" s="79" t="n">
        <v>1</v>
      </c>
      <c r="F151" s="79" t="n">
        <f aca="false">C151-E151</f>
        <v>0</v>
      </c>
      <c r="G151" s="199" t="n">
        <v>1.5</v>
      </c>
      <c r="H151" s="78"/>
      <c r="I151" s="202" t="s">
        <v>255</v>
      </c>
      <c r="J151" s="78" t="n">
        <v>5097</v>
      </c>
      <c r="K151" s="204" t="n">
        <v>0</v>
      </c>
      <c r="L151" s="78"/>
    </row>
    <row r="152" customFormat="false" ht="12.75" hidden="false" customHeight="false" outlineLevel="0" collapsed="false">
      <c r="A152" s="78"/>
      <c r="B152" s="200" t="s">
        <v>265</v>
      </c>
      <c r="C152" s="299" t="n">
        <v>1.5</v>
      </c>
      <c r="D152" s="78"/>
      <c r="E152" s="79" t="n">
        <v>1.5</v>
      </c>
      <c r="F152" s="79" t="n">
        <f aca="false">C152-E152</f>
        <v>0</v>
      </c>
      <c r="G152" s="199" t="n">
        <v>1</v>
      </c>
      <c r="H152" s="78"/>
      <c r="I152" s="202" t="s">
        <v>256</v>
      </c>
      <c r="J152" s="78" t="s">
        <v>415</v>
      </c>
      <c r="K152" s="301" t="n">
        <v>60</v>
      </c>
      <c r="L152" s="78"/>
    </row>
    <row r="153" customFormat="false" ht="12.75" hidden="false" customHeight="false" outlineLevel="0" collapsed="false">
      <c r="A153" s="78"/>
      <c r="B153" s="200" t="s">
        <v>267</v>
      </c>
      <c r="C153" s="299" t="n">
        <v>1.4</v>
      </c>
      <c r="D153" s="78"/>
      <c r="E153" s="79" t="n">
        <v>1.4</v>
      </c>
      <c r="F153" s="79" t="n">
        <f aca="false">C153-E153</f>
        <v>0</v>
      </c>
      <c r="G153" s="199" t="n">
        <v>1.5</v>
      </c>
      <c r="H153" s="78"/>
      <c r="I153" s="202" t="s">
        <v>260</v>
      </c>
      <c r="J153" s="211" t="s">
        <v>248</v>
      </c>
      <c r="K153" s="301" t="n">
        <v>800</v>
      </c>
      <c r="L153" s="78"/>
    </row>
    <row r="154" customFormat="false" ht="12.75" hidden="false" customHeight="false" outlineLevel="0" collapsed="false">
      <c r="A154" s="78"/>
      <c r="B154" s="200" t="s">
        <v>270</v>
      </c>
      <c r="C154" s="299" t="n">
        <v>20</v>
      </c>
      <c r="D154" s="202"/>
      <c r="E154" s="79" t="n">
        <v>25.217</v>
      </c>
      <c r="F154" s="79" t="n">
        <f aca="false">C154-E154</f>
        <v>-5.217</v>
      </c>
      <c r="G154" s="199" t="n">
        <v>1.4</v>
      </c>
      <c r="H154" s="78"/>
      <c r="I154" s="202"/>
      <c r="J154" s="78"/>
      <c r="K154" s="204"/>
      <c r="L154" s="78"/>
    </row>
    <row r="155" customFormat="false" ht="12.75" hidden="false" customHeight="false" outlineLevel="0" collapsed="false">
      <c r="A155" s="78"/>
      <c r="B155" s="200" t="s">
        <v>272</v>
      </c>
      <c r="C155" s="299" t="n">
        <v>5.46</v>
      </c>
      <c r="D155" s="78"/>
      <c r="E155" s="79" t="n">
        <v>5.975</v>
      </c>
      <c r="F155" s="79" t="n">
        <f aca="false">C155-E155</f>
        <v>-0.515</v>
      </c>
      <c r="G155" s="199" t="n">
        <v>25</v>
      </c>
      <c r="H155" s="78"/>
      <c r="I155" s="202" t="s">
        <v>264</v>
      </c>
      <c r="J155" s="78" t="n">
        <v>5310</v>
      </c>
      <c r="K155" s="301" t="n">
        <v>138</v>
      </c>
      <c r="L155" s="78"/>
    </row>
    <row r="156" customFormat="false" ht="12.75" hidden="false" customHeight="false" outlineLevel="0" collapsed="false">
      <c r="A156" s="78"/>
      <c r="B156" s="200" t="s">
        <v>274</v>
      </c>
      <c r="C156" s="299" t="n">
        <v>15</v>
      </c>
      <c r="D156" s="78"/>
      <c r="E156" s="79" t="n">
        <v>10</v>
      </c>
      <c r="F156" s="79" t="n">
        <f aca="false">C156-E156</f>
        <v>5</v>
      </c>
      <c r="G156" s="199" t="n">
        <v>5.975</v>
      </c>
      <c r="H156" s="78"/>
      <c r="I156" s="202"/>
      <c r="J156" s="78"/>
      <c r="K156" s="302"/>
      <c r="L156" s="78"/>
    </row>
    <row r="157" customFormat="false" ht="12.75" hidden="false" customHeight="false" outlineLevel="0" collapsed="false">
      <c r="A157" s="78"/>
      <c r="B157" s="200" t="s">
        <v>276</v>
      </c>
      <c r="C157" s="299" t="n">
        <v>0.05</v>
      </c>
      <c r="D157" s="78"/>
      <c r="E157" s="79" t="n">
        <v>0.05</v>
      </c>
      <c r="F157" s="79" t="n">
        <f aca="false">C157-E157</f>
        <v>0</v>
      </c>
      <c r="G157" s="199" t="n">
        <v>10</v>
      </c>
      <c r="H157" s="78"/>
      <c r="I157" s="202" t="s">
        <v>268</v>
      </c>
      <c r="J157" s="78" t="s">
        <v>416</v>
      </c>
      <c r="K157" s="301" t="n">
        <v>120</v>
      </c>
      <c r="L157" s="78"/>
    </row>
    <row r="158" customFormat="false" ht="12.75" hidden="false" customHeight="false" outlineLevel="0" collapsed="false">
      <c r="A158" s="78"/>
      <c r="B158" s="200" t="s">
        <v>278</v>
      </c>
      <c r="C158" s="299" t="n">
        <v>0.6</v>
      </c>
      <c r="D158" s="78"/>
      <c r="E158" s="79" t="n">
        <v>0.713</v>
      </c>
      <c r="F158" s="79" t="n">
        <f aca="false">C158-E158</f>
        <v>-0.113</v>
      </c>
      <c r="G158" s="199" t="n">
        <v>0.05</v>
      </c>
      <c r="H158" s="78"/>
      <c r="I158" s="202" t="s">
        <v>268</v>
      </c>
      <c r="J158" s="78" t="n">
        <v>6534</v>
      </c>
      <c r="K158" s="301" t="n">
        <v>2038</v>
      </c>
      <c r="L158" s="78"/>
    </row>
    <row r="159" customFormat="false" ht="12.75" hidden="false" customHeight="false" outlineLevel="0" collapsed="false">
      <c r="A159" s="78"/>
      <c r="B159" s="200" t="s">
        <v>280</v>
      </c>
      <c r="C159" s="299" t="n">
        <v>0.24</v>
      </c>
      <c r="D159" s="78"/>
      <c r="E159" s="79" t="n">
        <v>1.2</v>
      </c>
      <c r="F159" s="79" t="n">
        <f aca="false">C159-E159</f>
        <v>-0.96</v>
      </c>
      <c r="G159" s="199" t="n">
        <v>0.713</v>
      </c>
      <c r="H159" s="78"/>
      <c r="I159" s="202" t="s">
        <v>273</v>
      </c>
      <c r="J159" s="78" t="n">
        <v>6614</v>
      </c>
      <c r="K159" s="204" t="n">
        <v>0</v>
      </c>
      <c r="L159" s="78"/>
    </row>
    <row r="160" customFormat="false" ht="12.75" hidden="false" customHeight="false" outlineLevel="0" collapsed="false">
      <c r="A160" s="78"/>
      <c r="B160" s="200" t="s">
        <v>119</v>
      </c>
      <c r="C160" s="307" t="n">
        <v>5</v>
      </c>
      <c r="D160" s="78"/>
      <c r="E160" s="79" t="n">
        <v>0</v>
      </c>
      <c r="F160" s="79" t="n">
        <f aca="false">C160-E160</f>
        <v>5</v>
      </c>
      <c r="G160" s="199" t="n">
        <v>1.2</v>
      </c>
      <c r="H160" s="78"/>
      <c r="I160" s="202" t="s">
        <v>275</v>
      </c>
      <c r="J160" s="78" t="n">
        <v>6542</v>
      </c>
      <c r="K160" s="302" t="n">
        <v>1</v>
      </c>
      <c r="L160" s="78"/>
    </row>
    <row r="161" customFormat="false" ht="12.75" hidden="false" customHeight="false" outlineLevel="0" collapsed="false">
      <c r="A161" s="78"/>
      <c r="B161" s="200" t="s">
        <v>283</v>
      </c>
      <c r="C161" s="299" t="n">
        <v>10</v>
      </c>
      <c r="D161" s="78"/>
      <c r="E161" s="79" t="n">
        <v>10</v>
      </c>
      <c r="F161" s="79" t="n">
        <f aca="false">C161-E161</f>
        <v>0</v>
      </c>
      <c r="G161" s="199" t="n">
        <v>5</v>
      </c>
      <c r="H161" s="78"/>
      <c r="I161" s="202" t="s">
        <v>277</v>
      </c>
      <c r="J161" s="78" t="n">
        <v>5310</v>
      </c>
      <c r="K161" s="301" t="n">
        <v>184</v>
      </c>
      <c r="L161" s="78"/>
    </row>
    <row r="162" customFormat="false" ht="12.75" hidden="false" customHeight="false" outlineLevel="0" collapsed="false">
      <c r="A162" s="78"/>
      <c r="B162" s="200"/>
      <c r="C162" s="200"/>
      <c r="D162" s="78"/>
      <c r="E162" s="79"/>
      <c r="F162" s="79"/>
      <c r="G162" s="199"/>
      <c r="H162" s="78"/>
      <c r="I162" s="202" t="s">
        <v>279</v>
      </c>
      <c r="J162" s="78" t="n">
        <v>5310</v>
      </c>
      <c r="K162" s="301" t="n">
        <v>1200</v>
      </c>
      <c r="L162" s="78"/>
    </row>
    <row r="163" customFormat="false" ht="12.75" hidden="false" customHeight="false" outlineLevel="0" collapsed="false">
      <c r="A163" s="78"/>
      <c r="B163" s="200" t="s">
        <v>286</v>
      </c>
      <c r="C163" s="299" t="n">
        <v>0.45</v>
      </c>
      <c r="D163" s="78"/>
      <c r="E163" s="79" t="n">
        <v>0.45</v>
      </c>
      <c r="F163" s="79" t="n">
        <f aca="false">C163-E163</f>
        <v>0</v>
      </c>
      <c r="G163" s="199" t="n">
        <v>10</v>
      </c>
      <c r="H163" s="78"/>
      <c r="I163" s="202" t="s">
        <v>281</v>
      </c>
      <c r="J163" s="78"/>
      <c r="K163" s="202" t="n">
        <v>0</v>
      </c>
      <c r="L163" s="78"/>
    </row>
    <row r="164" customFormat="false" ht="12.75" hidden="false" customHeight="false" outlineLevel="0" collapsed="false">
      <c r="A164" s="78"/>
      <c r="B164" s="79" t="s">
        <v>288</v>
      </c>
      <c r="C164" s="79" t="n">
        <v>0</v>
      </c>
      <c r="D164" s="78"/>
      <c r="E164" s="79" t="n">
        <v>0</v>
      </c>
      <c r="F164" s="79" t="n">
        <f aca="false">C164-E164</f>
        <v>0</v>
      </c>
      <c r="G164" s="199" t="n">
        <v>0.45</v>
      </c>
      <c r="H164" s="78"/>
      <c r="I164" s="202" t="s">
        <v>282</v>
      </c>
      <c r="J164" s="78"/>
      <c r="K164" s="202" t="n">
        <v>0</v>
      </c>
      <c r="L164" s="78"/>
    </row>
    <row r="165" customFormat="false" ht="12.75" hidden="false" customHeight="false" outlineLevel="0" collapsed="false">
      <c r="A165" s="78"/>
      <c r="B165" s="200" t="s">
        <v>290</v>
      </c>
      <c r="C165" s="299" t="n">
        <v>20</v>
      </c>
      <c r="D165" s="78"/>
      <c r="E165" s="79" t="n">
        <v>20</v>
      </c>
      <c r="F165" s="79" t="n">
        <f aca="false">C165-E165</f>
        <v>0</v>
      </c>
      <c r="G165" s="199" t="n">
        <v>19</v>
      </c>
      <c r="H165" s="78"/>
      <c r="I165" s="202" t="s">
        <v>284</v>
      </c>
      <c r="J165" s="78"/>
      <c r="K165" s="202" t="n">
        <v>0</v>
      </c>
      <c r="L165" s="78"/>
    </row>
    <row r="166" customFormat="false" ht="12.75" hidden="false" customHeight="false" outlineLevel="0" collapsed="false">
      <c r="A166" s="78"/>
      <c r="B166" s="200" t="s">
        <v>292</v>
      </c>
      <c r="C166" s="299" t="n">
        <v>1.5</v>
      </c>
      <c r="D166" s="78"/>
      <c r="E166" s="79" t="n">
        <v>1.5</v>
      </c>
      <c r="F166" s="79" t="n">
        <f aca="false">C166-E166</f>
        <v>0</v>
      </c>
      <c r="G166" s="199" t="n">
        <v>10</v>
      </c>
      <c r="H166" s="78"/>
      <c r="I166" s="202" t="s">
        <v>285</v>
      </c>
      <c r="J166" s="78"/>
      <c r="K166" s="202" t="n">
        <v>0</v>
      </c>
      <c r="L166" s="78"/>
    </row>
    <row r="167" customFormat="false" ht="12.75" hidden="false" customHeight="false" outlineLevel="0" collapsed="false">
      <c r="A167" s="78"/>
      <c r="B167" s="79" t="s">
        <v>125</v>
      </c>
      <c r="C167" s="308" t="n">
        <v>4.5</v>
      </c>
      <c r="D167" s="309"/>
      <c r="E167" s="79" t="n">
        <v>0</v>
      </c>
      <c r="F167" s="79" t="n">
        <f aca="false">C167-E167</f>
        <v>4.5</v>
      </c>
      <c r="G167" s="199" t="n">
        <v>1.5</v>
      </c>
      <c r="H167" s="78"/>
      <c r="I167" s="202" t="s">
        <v>287</v>
      </c>
      <c r="J167" s="78"/>
      <c r="K167" s="202" t="n">
        <v>0</v>
      </c>
      <c r="L167" s="78"/>
    </row>
    <row r="168" customFormat="false" ht="12.75" hidden="false" customHeight="false" outlineLevel="0" collapsed="false">
      <c r="A168" s="78"/>
      <c r="B168" s="79"/>
      <c r="C168" s="79"/>
      <c r="D168" s="78"/>
      <c r="E168" s="79"/>
      <c r="F168" s="79"/>
      <c r="G168" s="199"/>
      <c r="H168" s="78"/>
      <c r="I168" s="202" t="s">
        <v>289</v>
      </c>
      <c r="J168" s="78" t="n">
        <v>7211</v>
      </c>
      <c r="K168" s="204" t="n">
        <v>0</v>
      </c>
      <c r="L168" s="78" t="n">
        <v>12500</v>
      </c>
    </row>
    <row r="169" customFormat="false" ht="12.75" hidden="false" customHeight="false" outlineLevel="0" collapsed="false">
      <c r="A169" s="78"/>
      <c r="B169" s="79"/>
      <c r="C169" s="79"/>
      <c r="D169" s="78"/>
      <c r="E169" s="79"/>
      <c r="F169" s="79"/>
      <c r="G169" s="199"/>
      <c r="H169" s="78"/>
      <c r="I169" s="202" t="s">
        <v>291</v>
      </c>
      <c r="J169" s="78" t="n">
        <v>6722</v>
      </c>
      <c r="K169" s="301" t="n">
        <v>41</v>
      </c>
      <c r="L169" s="78"/>
    </row>
    <row r="170" customFormat="false" ht="12.75" hidden="false" customHeight="false" outlineLevel="0" collapsed="false">
      <c r="A170" s="78"/>
      <c r="B170" s="200" t="s">
        <v>295</v>
      </c>
      <c r="C170" s="299" t="n">
        <v>4</v>
      </c>
      <c r="D170" s="78"/>
      <c r="E170" s="79" t="n">
        <v>4</v>
      </c>
      <c r="F170" s="79" t="n">
        <f aca="false">C170-E170</f>
        <v>0</v>
      </c>
      <c r="G170" s="199" t="n">
        <v>4.5</v>
      </c>
      <c r="H170" s="78"/>
      <c r="I170" s="202" t="s">
        <v>293</v>
      </c>
      <c r="J170" s="78"/>
      <c r="K170" s="301" t="n">
        <v>630</v>
      </c>
      <c r="L170" s="78"/>
    </row>
    <row r="171" customFormat="false" ht="12.75" hidden="false" customHeight="false" outlineLevel="0" collapsed="false">
      <c r="A171" s="78"/>
      <c r="B171" s="200" t="s">
        <v>297</v>
      </c>
      <c r="C171" s="299" t="n">
        <v>0.08</v>
      </c>
      <c r="D171" s="78"/>
      <c r="E171" s="79" t="n">
        <v>0.061</v>
      </c>
      <c r="F171" s="79" t="n">
        <f aca="false">C171-E171</f>
        <v>0.019</v>
      </c>
      <c r="G171" s="199" t="n">
        <v>4</v>
      </c>
      <c r="H171" s="78"/>
      <c r="I171" s="202" t="s">
        <v>294</v>
      </c>
      <c r="J171" s="78" t="n">
        <v>4063</v>
      </c>
      <c r="K171" s="301" t="n">
        <v>231</v>
      </c>
      <c r="L171" s="78"/>
    </row>
    <row r="172" customFormat="false" ht="12.75" hidden="false" customHeight="false" outlineLevel="0" collapsed="false">
      <c r="A172" s="78"/>
      <c r="B172" s="200" t="s">
        <v>299</v>
      </c>
      <c r="C172" s="299" t="n">
        <v>40</v>
      </c>
      <c r="D172" s="78"/>
      <c r="E172" s="79" t="n">
        <v>41.425</v>
      </c>
      <c r="F172" s="210" t="n">
        <f aca="false">C172-E172</f>
        <v>-1.425</v>
      </c>
      <c r="G172" s="199" t="n">
        <v>0.061</v>
      </c>
      <c r="H172" s="78"/>
      <c r="I172" s="202" t="s">
        <v>117</v>
      </c>
      <c r="J172" s="78" t="n">
        <v>3405</v>
      </c>
      <c r="K172" s="301" t="n">
        <v>2591</v>
      </c>
      <c r="L172" s="78"/>
    </row>
    <row r="173" customFormat="false" ht="12.75" hidden="false" customHeight="false" outlineLevel="0" collapsed="false">
      <c r="A173" s="78"/>
      <c r="B173" s="200" t="s">
        <v>31</v>
      </c>
      <c r="C173" s="299" t="n">
        <v>19</v>
      </c>
      <c r="D173" s="78"/>
      <c r="E173" s="79" t="n">
        <v>18.899</v>
      </c>
      <c r="F173" s="79" t="n">
        <f aca="false">C173-E173</f>
        <v>0.100999999999999</v>
      </c>
      <c r="G173" s="199" t="n">
        <v>40</v>
      </c>
      <c r="H173" s="78"/>
      <c r="I173" s="202" t="s">
        <v>69</v>
      </c>
      <c r="J173" s="78" t="s">
        <v>417</v>
      </c>
      <c r="K173" s="301" t="n">
        <v>7000</v>
      </c>
      <c r="L173" s="78"/>
    </row>
    <row r="174" customFormat="false" ht="12.75" hidden="false" customHeight="false" outlineLevel="0" collapsed="false">
      <c r="A174" s="78"/>
      <c r="B174" s="200" t="s">
        <v>302</v>
      </c>
      <c r="C174" s="299" t="n">
        <v>1</v>
      </c>
      <c r="D174" s="78"/>
      <c r="E174" s="79" t="n">
        <v>1</v>
      </c>
      <c r="F174" s="79" t="n">
        <f aca="false">C174-E174</f>
        <v>0</v>
      </c>
      <c r="G174" s="199" t="n">
        <v>20</v>
      </c>
      <c r="H174" s="78"/>
      <c r="I174" s="202" t="s">
        <v>296</v>
      </c>
      <c r="J174" s="78" t="n">
        <v>9643</v>
      </c>
      <c r="K174" s="301" t="n">
        <v>4300</v>
      </c>
      <c r="L174" s="78"/>
    </row>
    <row r="175" customFormat="false" ht="12.75" hidden="false" customHeight="false" outlineLevel="0" collapsed="false">
      <c r="A175" s="78"/>
      <c r="B175" s="200" t="s">
        <v>185</v>
      </c>
      <c r="C175" s="200" t="n">
        <v>0</v>
      </c>
      <c r="D175" s="78"/>
      <c r="E175" s="79" t="n">
        <v>0</v>
      </c>
      <c r="F175" s="79" t="n">
        <f aca="false">C175-E175</f>
        <v>0</v>
      </c>
      <c r="G175" s="199" t="n">
        <v>1</v>
      </c>
      <c r="H175" s="78"/>
      <c r="I175" s="202" t="s">
        <v>298</v>
      </c>
      <c r="J175" s="78" t="n">
        <v>6788</v>
      </c>
      <c r="K175" s="301" t="n">
        <v>250</v>
      </c>
      <c r="L175" s="78" t="n">
        <v>863</v>
      </c>
    </row>
    <row r="176" customFormat="false" ht="12.75" hidden="false" customHeight="false" outlineLevel="0" collapsed="false">
      <c r="A176" s="78"/>
      <c r="B176" s="200" t="s">
        <v>305</v>
      </c>
      <c r="C176" s="299" t="n">
        <v>1</v>
      </c>
      <c r="D176" s="78"/>
      <c r="E176" s="79" t="n">
        <v>1</v>
      </c>
      <c r="F176" s="79" t="n">
        <f aca="false">C176-E176</f>
        <v>0</v>
      </c>
      <c r="G176" s="199" t="n">
        <v>10</v>
      </c>
      <c r="H176" s="78"/>
      <c r="I176" s="202" t="s">
        <v>300</v>
      </c>
      <c r="J176" s="78" t="n">
        <v>6683</v>
      </c>
      <c r="K176" s="301" t="n">
        <v>2500</v>
      </c>
      <c r="L176" s="78"/>
    </row>
    <row r="177" customFormat="false" ht="12.75" hidden="false" customHeight="false" outlineLevel="0" collapsed="false">
      <c r="A177" s="78"/>
      <c r="B177" s="200" t="s">
        <v>308</v>
      </c>
      <c r="C177" s="299" t="n">
        <v>65</v>
      </c>
      <c r="D177" s="78" t="s">
        <v>413</v>
      </c>
      <c r="E177" s="79" t="n">
        <v>67.478</v>
      </c>
      <c r="F177" s="79" t="n">
        <f aca="false">C177-E177</f>
        <v>-2.47799999999999</v>
      </c>
      <c r="G177" s="199" t="n">
        <v>1</v>
      </c>
      <c r="H177" s="78"/>
      <c r="I177" s="202" t="s">
        <v>301</v>
      </c>
      <c r="J177" s="78" t="n">
        <v>2185</v>
      </c>
      <c r="K177" s="301" t="n">
        <v>35</v>
      </c>
      <c r="L177" s="78"/>
    </row>
    <row r="178" customFormat="false" ht="12.75" hidden="false" customHeight="false" outlineLevel="0" collapsed="false">
      <c r="A178" s="78"/>
      <c r="B178" s="200" t="s">
        <v>310</v>
      </c>
      <c r="C178" s="306" t="n">
        <v>0</v>
      </c>
      <c r="D178" s="78"/>
      <c r="E178" s="79" t="n">
        <v>0.2</v>
      </c>
      <c r="F178" s="79" t="n">
        <f aca="false">C178-E178</f>
        <v>-0.2</v>
      </c>
      <c r="G178" s="199" t="n">
        <v>65</v>
      </c>
      <c r="H178" s="78"/>
      <c r="I178" s="202"/>
      <c r="J178" s="78"/>
      <c r="K178" s="204"/>
      <c r="L178" s="78"/>
    </row>
    <row r="179" customFormat="false" ht="12.75" hidden="false" customHeight="false" outlineLevel="0" collapsed="false">
      <c r="A179" s="78"/>
      <c r="B179" s="200" t="s">
        <v>311</v>
      </c>
      <c r="C179" s="299" t="n">
        <v>0.043</v>
      </c>
      <c r="D179" s="78"/>
      <c r="E179" s="79"/>
      <c r="F179" s="79"/>
      <c r="G179" s="199"/>
      <c r="H179" s="78"/>
      <c r="I179" s="202"/>
      <c r="J179" s="78"/>
      <c r="K179" s="204"/>
      <c r="L179" s="78" t="n">
        <v>10</v>
      </c>
    </row>
    <row r="180" customFormat="false" ht="12.75" hidden="false" customHeight="false" outlineLevel="0" collapsed="false">
      <c r="A180" s="78"/>
      <c r="B180" s="200" t="s">
        <v>313</v>
      </c>
      <c r="C180" s="200" t="n">
        <v>0</v>
      </c>
      <c r="D180" s="78"/>
      <c r="E180" s="79" t="n">
        <v>4.665</v>
      </c>
      <c r="F180" s="79" t="n">
        <f aca="false">C180-E180</f>
        <v>-4.665</v>
      </c>
      <c r="G180" s="199" t="n">
        <v>0.2</v>
      </c>
      <c r="H180" s="78"/>
      <c r="I180" s="202" t="s">
        <v>306</v>
      </c>
      <c r="J180" s="78" t="s">
        <v>418</v>
      </c>
      <c r="K180" s="301" t="n">
        <v>8677</v>
      </c>
      <c r="L180" s="78"/>
    </row>
    <row r="181" customFormat="false" ht="12.75" hidden="false" customHeight="false" outlineLevel="0" collapsed="false">
      <c r="A181" s="78"/>
      <c r="B181" s="200" t="s">
        <v>314</v>
      </c>
      <c r="C181" s="299" t="n">
        <v>0.05</v>
      </c>
      <c r="D181" s="78"/>
      <c r="E181" s="79" t="n">
        <v>0.05</v>
      </c>
      <c r="F181" s="79" t="n">
        <f aca="false">C181-E181</f>
        <v>0</v>
      </c>
      <c r="G181" s="199" t="n">
        <v>4</v>
      </c>
      <c r="H181" s="78"/>
      <c r="I181" s="202" t="s">
        <v>309</v>
      </c>
      <c r="J181" s="78" t="n">
        <v>4132</v>
      </c>
      <c r="K181" s="301" t="n">
        <v>10</v>
      </c>
      <c r="L181" s="78"/>
    </row>
    <row r="182" customFormat="false" ht="12.75" hidden="false" customHeight="false" outlineLevel="0" collapsed="false">
      <c r="A182" s="78"/>
      <c r="B182" s="79" t="s">
        <v>216</v>
      </c>
      <c r="C182" s="79" t="n">
        <v>0</v>
      </c>
      <c r="D182" s="78"/>
      <c r="E182" s="79" t="n">
        <v>0</v>
      </c>
      <c r="F182" s="79" t="n">
        <f aca="false">C182-E182</f>
        <v>0</v>
      </c>
      <c r="G182" s="199" t="n">
        <v>0.05</v>
      </c>
      <c r="H182" s="78"/>
      <c r="I182" s="202" t="s">
        <v>118</v>
      </c>
      <c r="J182" s="78" t="n">
        <v>2540</v>
      </c>
      <c r="K182" s="204" t="n">
        <v>0</v>
      </c>
      <c r="L182" s="78"/>
    </row>
    <row r="183" customFormat="false" ht="12.75" hidden="false" customHeight="false" outlineLevel="0" collapsed="false">
      <c r="A183" s="78"/>
      <c r="B183" s="200" t="s">
        <v>317</v>
      </c>
      <c r="C183" s="200" t="n">
        <v>0</v>
      </c>
      <c r="D183" s="78"/>
      <c r="E183" s="79" t="n">
        <v>0</v>
      </c>
      <c r="F183" s="79" t="n">
        <f aca="false">C183-E183</f>
        <v>0</v>
      </c>
      <c r="G183" s="199" t="n">
        <v>0</v>
      </c>
      <c r="H183" s="78"/>
      <c r="I183" s="202" t="s">
        <v>312</v>
      </c>
      <c r="J183" s="78" t="n">
        <v>3405</v>
      </c>
      <c r="K183" s="301" t="n">
        <v>15</v>
      </c>
      <c r="L183" s="78"/>
    </row>
    <row r="184" customFormat="false" ht="12.75" hidden="false" customHeight="false" outlineLevel="0" collapsed="false">
      <c r="B184" s="0" t="s">
        <v>319</v>
      </c>
      <c r="C184" s="79" t="n">
        <v>0</v>
      </c>
      <c r="D184" s="78" t="s">
        <v>320</v>
      </c>
      <c r="E184" s="79" t="n">
        <v>0</v>
      </c>
      <c r="F184" s="79" t="n">
        <f aca="false">C184-E184</f>
        <v>0</v>
      </c>
      <c r="G184" s="199" t="n">
        <v>12.5</v>
      </c>
      <c r="H184" s="78"/>
      <c r="I184" s="202" t="s">
        <v>312</v>
      </c>
      <c r="J184" s="78" t="n">
        <v>5801</v>
      </c>
      <c r="K184" s="301" t="n">
        <v>1</v>
      </c>
      <c r="L184" s="78"/>
    </row>
    <row r="185" customFormat="false" ht="12.75" hidden="false" customHeight="false" outlineLevel="0" collapsed="false">
      <c r="B185" s="0" t="s">
        <v>322</v>
      </c>
      <c r="C185" s="79" t="n">
        <v>0</v>
      </c>
      <c r="D185" s="78"/>
      <c r="E185" s="79" t="n">
        <v>0</v>
      </c>
      <c r="F185" s="79" t="n">
        <f aca="false">C185-E185</f>
        <v>0</v>
      </c>
      <c r="G185" s="199" t="n">
        <v>0</v>
      </c>
      <c r="H185" s="78"/>
      <c r="I185" s="202" t="s">
        <v>315</v>
      </c>
      <c r="J185" s="78" t="n">
        <v>6589</v>
      </c>
      <c r="K185" s="301" t="n">
        <v>1100</v>
      </c>
      <c r="L185" s="78"/>
    </row>
    <row r="186" customFormat="false" ht="12.75" hidden="false" customHeight="false" outlineLevel="0" collapsed="false">
      <c r="B186" s="0"/>
      <c r="C186" s="213" t="n">
        <f aca="false">SUM(C104:C185)</f>
        <v>468.544</v>
      </c>
      <c r="D186" s="78"/>
      <c r="E186" s="213" t="n">
        <f aca="false">SUM(E104:E185)</f>
        <v>472.433</v>
      </c>
      <c r="F186" s="79" t="n">
        <f aca="false">C185-E185</f>
        <v>0</v>
      </c>
      <c r="G186" s="202"/>
      <c r="H186" s="78"/>
      <c r="I186" s="202"/>
      <c r="J186" s="78"/>
      <c r="K186" s="301"/>
      <c r="L186" s="78"/>
    </row>
    <row r="187" customFormat="false" ht="12.75" hidden="false" customHeight="false" outlineLevel="0" collapsed="false">
      <c r="B187" s="0"/>
      <c r="C187" s="79"/>
      <c r="D187" s="78"/>
      <c r="E187" s="78"/>
      <c r="F187" s="78"/>
      <c r="G187" s="78"/>
      <c r="H187" s="78"/>
      <c r="I187" s="202" t="s">
        <v>316</v>
      </c>
      <c r="J187" s="78" t="n">
        <v>106</v>
      </c>
      <c r="K187" s="301" t="n">
        <v>1068</v>
      </c>
      <c r="L187" s="78"/>
    </row>
    <row r="188" customFormat="false" ht="12.75" hidden="false" customHeight="false" outlineLevel="0" collapsed="false">
      <c r="A188" s="215"/>
      <c r="B188" s="0"/>
      <c r="C188" s="79"/>
      <c r="D188" s="78"/>
      <c r="E188" s="78"/>
      <c r="F188" s="78"/>
      <c r="G188" s="78"/>
      <c r="H188" s="78"/>
      <c r="I188" s="202"/>
      <c r="J188" s="78"/>
      <c r="K188" s="204"/>
      <c r="L188" s="78" t="s">
        <v>224</v>
      </c>
    </row>
    <row r="189" customFormat="false" ht="12.75" hidden="false" customHeight="false" outlineLevel="0" collapsed="false">
      <c r="B189" s="0"/>
      <c r="C189" s="79"/>
      <c r="D189" s="78"/>
      <c r="E189" s="78"/>
      <c r="F189" s="78"/>
      <c r="G189" s="78"/>
      <c r="H189" s="78"/>
      <c r="I189" s="202" t="s">
        <v>321</v>
      </c>
      <c r="J189" s="78" t="n">
        <v>6598</v>
      </c>
      <c r="K189" s="301" t="n">
        <v>4206</v>
      </c>
    </row>
    <row r="190" customFormat="false" ht="12.75" hidden="false" customHeight="false" outlineLevel="0" collapsed="false">
      <c r="B190" s="216" t="s">
        <v>11</v>
      </c>
      <c r="C190" s="200" t="n">
        <v>0</v>
      </c>
      <c r="D190" s="78"/>
      <c r="E190" s="78"/>
      <c r="F190" s="78"/>
      <c r="G190" s="78"/>
      <c r="H190" s="78"/>
      <c r="I190" s="79"/>
      <c r="J190" s="78"/>
      <c r="K190" s="204"/>
    </row>
    <row r="191" customFormat="false" ht="12.75" hidden="false" customHeight="false" outlineLevel="0" collapsed="false">
      <c r="B191" s="216" t="s">
        <v>9</v>
      </c>
      <c r="C191" s="200" t="n">
        <v>0</v>
      </c>
      <c r="D191" s="78" t="n">
        <v>3</v>
      </c>
      <c r="E191" s="78"/>
      <c r="F191" s="78"/>
      <c r="G191" s="78"/>
      <c r="H191" s="78"/>
      <c r="I191" s="78"/>
      <c r="J191" s="78"/>
      <c r="K191" s="214" t="n">
        <f aca="false">SUM(K104:K190)</f>
        <v>89093</v>
      </c>
    </row>
    <row r="192" customFormat="false" ht="12.75" hidden="false" customHeight="false" outlineLevel="0" collapsed="false">
      <c r="B192" s="216" t="s">
        <v>323</v>
      </c>
      <c r="C192" s="200" t="n">
        <v>0</v>
      </c>
      <c r="D192" s="78" t="s">
        <v>324</v>
      </c>
      <c r="E192" s="78"/>
      <c r="F192" s="78"/>
      <c r="G192" s="78"/>
      <c r="H192" s="78"/>
      <c r="I192" s="78"/>
      <c r="J192" s="78"/>
      <c r="K192" s="78"/>
    </row>
    <row r="193" customFormat="false" ht="12.75" hidden="false" customHeight="false" outlineLevel="0" collapsed="false">
      <c r="B193" s="216" t="s">
        <v>15</v>
      </c>
      <c r="C193" s="200" t="n">
        <v>0</v>
      </c>
      <c r="D193" s="78"/>
      <c r="E193" s="78"/>
      <c r="F193" s="78" t="n">
        <v>5</v>
      </c>
      <c r="G193" s="78"/>
      <c r="H193" s="78"/>
      <c r="I193" s="78"/>
      <c r="J193" s="78"/>
      <c r="K193" s="78"/>
    </row>
    <row r="194" customFormat="false" ht="12.75" hidden="false" customHeight="false" outlineLevel="0" collapsed="false">
      <c r="B194" s="216" t="s">
        <v>227</v>
      </c>
      <c r="C194" s="200" t="n">
        <v>0</v>
      </c>
      <c r="D194" s="78" t="s">
        <v>325</v>
      </c>
      <c r="E194" s="78"/>
      <c r="F194" s="78" t="n">
        <v>10</v>
      </c>
      <c r="G194" s="78"/>
      <c r="H194" s="78"/>
      <c r="I194" s="78"/>
      <c r="J194" s="78"/>
      <c r="K194" s="78"/>
    </row>
    <row r="195" customFormat="false" ht="12.75" hidden="false" customHeight="false" outlineLevel="0" collapsed="false">
      <c r="B195" s="216" t="s">
        <v>53</v>
      </c>
      <c r="C195" s="200" t="n">
        <v>0</v>
      </c>
      <c r="D195" s="78"/>
      <c r="E195" s="78"/>
      <c r="F195" s="78"/>
      <c r="G195" s="78"/>
      <c r="H195" s="78"/>
      <c r="I195" s="78"/>
      <c r="J195" s="78"/>
      <c r="K195" s="78"/>
    </row>
    <row r="196" customFormat="false" ht="12.75" hidden="false" customHeight="false" outlineLevel="0" collapsed="false">
      <c r="B196" s="216" t="s">
        <v>21</v>
      </c>
      <c r="C196" s="200" t="n">
        <v>0</v>
      </c>
      <c r="D196" s="78"/>
      <c r="E196" s="78"/>
      <c r="F196" s="78"/>
      <c r="G196" s="78"/>
      <c r="H196" s="78"/>
      <c r="I196" s="78"/>
      <c r="J196" s="78"/>
      <c r="K196" s="78"/>
    </row>
    <row r="197" customFormat="false" ht="12.75" hidden="false" customHeight="false" outlineLevel="0" collapsed="false">
      <c r="B197" s="216" t="s">
        <v>19</v>
      </c>
      <c r="C197" s="200" t="n">
        <v>0</v>
      </c>
      <c r="D197" s="78" t="s">
        <v>324</v>
      </c>
      <c r="E197" s="78"/>
      <c r="F197" s="78" t="n">
        <v>5</v>
      </c>
      <c r="G197" s="78"/>
      <c r="H197" s="78"/>
      <c r="I197" s="79"/>
      <c r="J197" s="78"/>
      <c r="K197" s="78"/>
    </row>
    <row r="198" customFormat="false" ht="12.75" hidden="false" customHeight="false" outlineLevel="0" collapsed="false">
      <c r="A198" s="1" t="s">
        <v>326</v>
      </c>
      <c r="B198" s="216" t="s">
        <v>23</v>
      </c>
      <c r="C198" s="200" t="n">
        <v>0</v>
      </c>
      <c r="D198" s="78" t="s">
        <v>324</v>
      </c>
      <c r="E198" s="78"/>
      <c r="F198" s="78" t="n">
        <v>15</v>
      </c>
      <c r="G198" s="78"/>
      <c r="H198" s="78"/>
      <c r="I198" s="78"/>
      <c r="J198" s="78"/>
    </row>
    <row r="199" customFormat="false" ht="12.75" hidden="false" customHeight="false" outlineLevel="0" collapsed="false">
      <c r="B199" s="0" t="s">
        <v>250</v>
      </c>
      <c r="C199" s="79" t="n">
        <v>0</v>
      </c>
      <c r="D199" s="78" t="s">
        <v>324</v>
      </c>
      <c r="E199" s="78"/>
      <c r="F199" s="78" t="n">
        <v>15</v>
      </c>
      <c r="G199" s="78"/>
      <c r="H199" s="78"/>
      <c r="I199" s="78"/>
      <c r="J199" s="78"/>
    </row>
    <row r="200" customFormat="false" ht="12.75" hidden="false" customHeight="false" outlineLevel="0" collapsed="false">
      <c r="B200" s="216" t="s">
        <v>270</v>
      </c>
      <c r="C200" s="200" t="n">
        <v>0</v>
      </c>
      <c r="D200" s="78"/>
      <c r="E200" s="78"/>
      <c r="F200" s="78" t="n">
        <v>5</v>
      </c>
      <c r="G200" s="78"/>
      <c r="H200" s="78"/>
      <c r="I200" s="78"/>
      <c r="J200" s="78"/>
    </row>
    <row r="201" customFormat="false" ht="12.75" hidden="false" customHeight="false" outlineLevel="0" collapsed="false">
      <c r="B201" s="216" t="s">
        <v>327</v>
      </c>
      <c r="C201" s="200" t="n">
        <v>0</v>
      </c>
      <c r="D201" s="78" t="s">
        <v>328</v>
      </c>
      <c r="E201" s="78"/>
      <c r="F201" s="78"/>
      <c r="G201" s="78"/>
      <c r="H201" s="78"/>
      <c r="I201" s="78"/>
      <c r="J201" s="78"/>
    </row>
    <row r="202" customFormat="false" ht="12.75" hidden="false" customHeight="false" outlineLevel="0" collapsed="false">
      <c r="B202" s="0" t="s">
        <v>299</v>
      </c>
      <c r="C202" s="199" t="n">
        <v>0</v>
      </c>
      <c r="D202" s="78"/>
      <c r="E202" s="78"/>
      <c r="F202" s="78" t="n">
        <f aca="false">SUM(F193:F201)</f>
        <v>55</v>
      </c>
      <c r="G202" s="78"/>
      <c r="H202" s="78"/>
      <c r="I202" s="78"/>
      <c r="J202" s="78"/>
    </row>
    <row r="203" customFormat="false" ht="12.75" hidden="false" customHeight="false" outlineLevel="0" collapsed="false">
      <c r="B203" s="0" t="s">
        <v>31</v>
      </c>
      <c r="C203" s="199" t="n">
        <v>0</v>
      </c>
      <c r="D203" s="78"/>
      <c r="E203" s="78"/>
      <c r="F203" s="78"/>
      <c r="G203" s="78"/>
      <c r="H203" s="78"/>
      <c r="I203" s="78"/>
      <c r="J203" s="78"/>
    </row>
    <row r="204" customFormat="false" ht="12.75" hidden="false" customHeight="false" outlineLevel="0" collapsed="false">
      <c r="B204" s="0" t="s">
        <v>317</v>
      </c>
      <c r="C204" s="199" t="n">
        <v>0</v>
      </c>
      <c r="D204" s="78"/>
      <c r="E204" s="78"/>
      <c r="F204" s="78"/>
      <c r="G204" s="78"/>
      <c r="H204" s="78"/>
      <c r="I204" s="78"/>
      <c r="J204" s="78"/>
    </row>
    <row r="205" customFormat="false" ht="12.75" hidden="false" customHeight="false" outlineLevel="0" collapsed="false">
      <c r="B205" s="0" t="s">
        <v>329</v>
      </c>
      <c r="C205" s="199" t="n">
        <v>0</v>
      </c>
      <c r="D205" s="78"/>
      <c r="E205" s="78"/>
      <c r="F205" s="78"/>
      <c r="G205" s="78"/>
      <c r="H205" s="78"/>
      <c r="I205" s="78"/>
      <c r="J205" s="78"/>
    </row>
    <row r="206" customFormat="false" ht="12.75" hidden="false" customHeight="false" outlineLevel="0" collapsed="false">
      <c r="B206" s="0" t="s">
        <v>330</v>
      </c>
      <c r="C206" s="217" t="n">
        <f aca="false">SUM(C190:C205)</f>
        <v>0</v>
      </c>
      <c r="D206" s="78"/>
      <c r="F206" s="78"/>
      <c r="G206" s="78"/>
      <c r="H206" s="78"/>
      <c r="I206" s="78"/>
      <c r="J206" s="78"/>
    </row>
    <row r="207" customFormat="false" ht="12.75" hidden="false" customHeight="false" outlineLevel="0" collapsed="false">
      <c r="B207" s="48"/>
      <c r="C207" s="48"/>
      <c r="I207" s="78"/>
      <c r="J207" s="78"/>
    </row>
    <row r="208" customFormat="false" ht="12.75" hidden="false" customHeight="false" outlineLevel="0" collapsed="false">
      <c r="B208" s="0"/>
      <c r="C208" s="0" t="n">
        <f aca="false">C186+C206</f>
        <v>468.544</v>
      </c>
      <c r="I208" s="79"/>
      <c r="J208" s="78"/>
    </row>
    <row r="209" customFormat="false" ht="12.75" hidden="false" customHeight="false" outlineLevel="0" collapsed="false">
      <c r="B209" s="0"/>
      <c r="C209" s="0"/>
      <c r="I209" s="79"/>
      <c r="J209" s="78"/>
    </row>
    <row r="210" customFormat="false" ht="12.75" hidden="false" customHeight="false" outlineLevel="0" collapsed="false">
      <c r="B210" s="0"/>
      <c r="C210" s="0" t="n">
        <f aca="false">E186-C208</f>
        <v>3.88899999999995</v>
      </c>
      <c r="G210" s="218" t="s">
        <v>331</v>
      </c>
      <c r="H210" s="219"/>
      <c r="I210" s="78"/>
      <c r="J210" s="78"/>
      <c r="Q210" s="219"/>
      <c r="R210" s="219"/>
      <c r="S210" s="220"/>
    </row>
    <row r="211" customFormat="false" ht="12.75" hidden="false" customHeight="false" outlineLevel="0" collapsed="false">
      <c r="B211" s="0"/>
      <c r="C211" s="0"/>
      <c r="G211" s="221"/>
      <c r="H211" s="222" t="s">
        <v>332</v>
      </c>
      <c r="I211" s="78"/>
      <c r="J211" s="78"/>
      <c r="N211" s="219"/>
      <c r="O211" s="219"/>
      <c r="P211" s="219"/>
      <c r="Q211" s="223"/>
      <c r="R211" s="223"/>
      <c r="S211" s="181"/>
    </row>
    <row r="212" customFormat="false" ht="12" hidden="false" customHeight="false" outlineLevel="0" collapsed="false">
      <c r="G212" s="224"/>
      <c r="H212" s="87"/>
      <c r="I212" s="78"/>
      <c r="J212" s="78"/>
      <c r="N212" s="223"/>
      <c r="O212" s="223"/>
      <c r="P212" s="223"/>
      <c r="Q212" s="87"/>
      <c r="R212" s="87"/>
      <c r="S212" s="184"/>
    </row>
    <row r="213" customFormat="false" ht="12" hidden="false" customHeight="false" outlineLevel="0" collapsed="false">
      <c r="G213" s="224"/>
      <c r="H213" s="87"/>
      <c r="I213" s="78"/>
      <c r="J213" s="78"/>
      <c r="N213" s="87"/>
      <c r="O213" s="87"/>
      <c r="P213" s="87"/>
      <c r="Q213" s="87"/>
      <c r="R213" s="87"/>
      <c r="S213" s="184"/>
    </row>
    <row r="214" customFormat="false" ht="12.75" hidden="false" customHeight="false" outlineLevel="0" collapsed="false">
      <c r="B214" s="0"/>
      <c r="C214" s="225"/>
      <c r="G214" s="224"/>
      <c r="H214" s="87"/>
      <c r="I214" s="78"/>
      <c r="J214" s="78"/>
      <c r="N214" s="87"/>
      <c r="O214" s="87"/>
      <c r="P214" s="87"/>
      <c r="Q214" s="87"/>
      <c r="R214" s="87"/>
      <c r="S214" s="184"/>
    </row>
    <row r="215" customFormat="false" ht="12.75" hidden="false" customHeight="false" outlineLevel="0" collapsed="false">
      <c r="B215" s="0"/>
      <c r="C215" s="225"/>
      <c r="G215" s="224"/>
      <c r="H215" s="87"/>
      <c r="I215" s="78"/>
      <c r="J215" s="78"/>
      <c r="N215" s="87"/>
      <c r="O215" s="87"/>
      <c r="P215" s="87"/>
      <c r="Q215" s="87"/>
      <c r="R215" s="87"/>
      <c r="S215" s="184"/>
    </row>
    <row r="216" customFormat="false" ht="12.75" hidden="false" customHeight="false" outlineLevel="0" collapsed="false">
      <c r="B216" s="0"/>
      <c r="C216" s="225"/>
      <c r="G216" s="224"/>
      <c r="H216" s="87"/>
      <c r="I216" s="78"/>
      <c r="J216" s="78"/>
      <c r="M216" s="219"/>
      <c r="N216" s="87"/>
      <c r="O216" s="87"/>
      <c r="P216" s="87"/>
      <c r="Q216" s="87"/>
      <c r="R216" s="87"/>
      <c r="S216" s="184"/>
    </row>
    <row r="217" customFormat="false" ht="12.75" hidden="false" customHeight="false" outlineLevel="0" collapsed="false">
      <c r="B217" s="0"/>
      <c r="C217" s="225"/>
      <c r="G217" s="224"/>
      <c r="H217" s="87"/>
      <c r="I217" s="78"/>
      <c r="J217" s="78"/>
      <c r="M217" s="223"/>
      <c r="N217" s="87"/>
      <c r="O217" s="87"/>
      <c r="P217" s="87"/>
      <c r="Q217" s="87"/>
      <c r="R217" s="87"/>
      <c r="S217" s="184"/>
    </row>
    <row r="218" customFormat="false" ht="12.75" hidden="false" customHeight="false" outlineLevel="0" collapsed="false">
      <c r="B218" s="0"/>
      <c r="C218" s="225"/>
      <c r="G218" s="224"/>
      <c r="H218" s="87"/>
      <c r="I218" s="78"/>
      <c r="J218" s="78"/>
      <c r="M218" s="87"/>
      <c r="N218" s="87"/>
      <c r="O218" s="87"/>
      <c r="P218" s="87"/>
      <c r="Q218" s="87"/>
      <c r="R218" s="87"/>
      <c r="S218" s="184"/>
    </row>
    <row r="219" customFormat="false" ht="12.75" hidden="false" customHeight="false" outlineLevel="0" collapsed="false">
      <c r="B219" s="0"/>
      <c r="C219" s="225"/>
      <c r="G219" s="224"/>
      <c r="H219" s="87"/>
      <c r="I219" s="78"/>
      <c r="J219" s="78"/>
      <c r="M219" s="87"/>
      <c r="N219" s="87"/>
      <c r="O219" s="87"/>
      <c r="P219" s="87"/>
      <c r="Q219" s="87"/>
      <c r="R219" s="87"/>
      <c r="S219" s="184"/>
    </row>
    <row r="220" customFormat="false" ht="12.75" hidden="false" customHeight="false" outlineLevel="0" collapsed="false">
      <c r="B220" s="0"/>
      <c r="C220" s="225"/>
      <c r="G220" s="224"/>
      <c r="H220" s="87" t="s">
        <v>333</v>
      </c>
      <c r="I220" s="78"/>
      <c r="J220" s="78"/>
      <c r="M220" s="87"/>
      <c r="N220" s="87"/>
      <c r="O220" s="87"/>
      <c r="P220" s="87"/>
      <c r="Q220" s="87"/>
      <c r="R220" s="87"/>
      <c r="S220" s="184"/>
    </row>
    <row r="221" customFormat="false" ht="12.75" hidden="false" customHeight="false" outlineLevel="0" collapsed="false">
      <c r="B221" s="0"/>
      <c r="C221" s="225"/>
      <c r="G221" s="224"/>
      <c r="H221" s="87"/>
      <c r="I221" s="78"/>
      <c r="J221" s="78"/>
      <c r="M221" s="87"/>
      <c r="N221" s="87"/>
      <c r="O221" s="87"/>
      <c r="P221" s="87"/>
      <c r="Q221" s="87"/>
      <c r="R221" s="87"/>
      <c r="S221" s="184"/>
    </row>
    <row r="222" customFormat="false" ht="12.75" hidden="false" customHeight="false" outlineLevel="0" collapsed="false">
      <c r="B222" s="0"/>
      <c r="C222" s="225"/>
      <c r="G222" s="224"/>
      <c r="H222" s="87"/>
      <c r="I222" s="78"/>
      <c r="J222" s="78"/>
      <c r="M222" s="87"/>
      <c r="N222" s="87"/>
      <c r="O222" s="87"/>
      <c r="P222" s="87"/>
      <c r="Q222" s="87"/>
      <c r="R222" s="87"/>
      <c r="S222" s="184"/>
    </row>
    <row r="223" customFormat="false" ht="12.75" hidden="false" customHeight="false" outlineLevel="0" collapsed="false">
      <c r="B223" s="0"/>
      <c r="C223" s="225"/>
      <c r="G223" s="224"/>
      <c r="H223" s="87"/>
      <c r="L223" s="219"/>
      <c r="M223" s="87"/>
      <c r="N223" s="87"/>
      <c r="O223" s="87"/>
      <c r="P223" s="87"/>
      <c r="Q223" s="87"/>
      <c r="R223" s="87"/>
      <c r="S223" s="184"/>
    </row>
    <row r="224" customFormat="false" ht="12.75" hidden="false" customHeight="false" outlineLevel="0" collapsed="false">
      <c r="B224" s="0"/>
      <c r="C224" s="225"/>
      <c r="G224" s="224"/>
      <c r="H224" s="87"/>
      <c r="L224" s="223"/>
      <c r="M224" s="87"/>
      <c r="N224" s="87"/>
      <c r="O224" s="87"/>
      <c r="P224" s="87"/>
      <c r="Q224" s="87"/>
      <c r="R224" s="87"/>
      <c r="S224" s="184"/>
    </row>
    <row r="225" customFormat="false" ht="12.75" hidden="false" customHeight="false" outlineLevel="0" collapsed="false">
      <c r="B225" s="0"/>
      <c r="C225" s="225"/>
      <c r="G225" s="224"/>
      <c r="H225" s="87"/>
      <c r="L225" s="87"/>
      <c r="M225" s="87"/>
      <c r="N225" s="87"/>
      <c r="O225" s="87"/>
      <c r="P225" s="87"/>
      <c r="Q225" s="87"/>
      <c r="R225" s="87"/>
      <c r="S225" s="184"/>
    </row>
    <row r="226" customFormat="false" ht="12.75" hidden="false" customHeight="false" outlineLevel="0" collapsed="false">
      <c r="B226" s="0"/>
      <c r="C226" s="225"/>
      <c r="G226" s="224"/>
      <c r="H226" s="87"/>
      <c r="L226" s="87"/>
      <c r="M226" s="87"/>
      <c r="N226" s="87"/>
      <c r="O226" s="87"/>
      <c r="P226" s="87"/>
      <c r="Q226" s="87"/>
      <c r="R226" s="87"/>
      <c r="S226" s="184"/>
    </row>
    <row r="227" customFormat="false" ht="12.75" hidden="false" customHeight="false" outlineLevel="0" collapsed="false">
      <c r="B227" s="0"/>
      <c r="C227" s="225"/>
      <c r="G227" s="224"/>
      <c r="H227" s="87"/>
      <c r="I227" s="219"/>
      <c r="J227" s="219"/>
      <c r="K227" s="219"/>
      <c r="L227" s="87"/>
      <c r="M227" s="87"/>
      <c r="N227" s="87"/>
      <c r="O227" s="87"/>
      <c r="P227" s="87"/>
      <c r="Q227" s="87"/>
      <c r="R227" s="87"/>
      <c r="S227" s="184"/>
    </row>
    <row r="228" customFormat="false" ht="12.75" hidden="false" customHeight="false" outlineLevel="0" collapsed="false">
      <c r="B228" s="0"/>
      <c r="C228" s="225"/>
      <c r="G228" s="224"/>
      <c r="H228" s="87"/>
      <c r="I228" s="226"/>
      <c r="J228" s="227"/>
      <c r="K228" s="223"/>
      <c r="L228" s="87"/>
      <c r="M228" s="87"/>
      <c r="N228" s="87"/>
      <c r="O228" s="87"/>
      <c r="P228" s="87"/>
      <c r="Q228" s="87"/>
      <c r="R228" s="87"/>
      <c r="S228" s="184"/>
    </row>
    <row r="229" customFormat="false" ht="12.75" hidden="false" customHeight="false" outlineLevel="0" collapsed="false">
      <c r="B229" s="48"/>
      <c r="C229" s="229"/>
      <c r="G229" s="224"/>
      <c r="H229" s="87"/>
      <c r="I229" s="81" t="s">
        <v>334</v>
      </c>
      <c r="J229" s="228" t="n">
        <v>0</v>
      </c>
      <c r="K229" s="87"/>
      <c r="L229" s="87"/>
      <c r="M229" s="87"/>
      <c r="N229" s="87"/>
      <c r="O229" s="87"/>
      <c r="P229" s="87"/>
      <c r="Q229" s="87"/>
      <c r="R229" s="87"/>
      <c r="S229" s="184"/>
    </row>
    <row r="230" customFormat="false" ht="12.75" hidden="false" customHeight="false" outlineLevel="0" collapsed="false">
      <c r="B230" s="0"/>
      <c r="C230" s="225"/>
      <c r="G230" s="224"/>
      <c r="H230" s="87"/>
      <c r="I230" s="87" t="s">
        <v>335</v>
      </c>
      <c r="J230" s="214" t="n">
        <v>0</v>
      </c>
      <c r="K230" s="87"/>
      <c r="L230" s="87"/>
      <c r="M230" s="87"/>
      <c r="N230" s="87"/>
      <c r="O230" s="87"/>
      <c r="P230" s="87"/>
      <c r="Q230" s="87"/>
      <c r="R230" s="87"/>
      <c r="S230" s="184"/>
    </row>
    <row r="231" customFormat="false" ht="12.75" hidden="false" customHeight="false" outlineLevel="0" collapsed="false">
      <c r="B231" s="0"/>
      <c r="C231" s="225"/>
      <c r="G231" s="224"/>
      <c r="H231" s="87"/>
      <c r="I231" s="87" t="s">
        <v>336</v>
      </c>
      <c r="J231" s="214" t="n">
        <v>0</v>
      </c>
      <c r="K231" s="87"/>
      <c r="L231" s="87"/>
      <c r="M231" s="87"/>
      <c r="N231" s="87"/>
      <c r="O231" s="87"/>
      <c r="P231" s="87"/>
      <c r="Q231" s="87"/>
      <c r="R231" s="87"/>
      <c r="S231" s="184"/>
    </row>
    <row r="232" customFormat="false" ht="12.75" hidden="false" customHeight="false" outlineLevel="0" collapsed="false">
      <c r="B232" s="0"/>
      <c r="C232" s="225"/>
      <c r="G232" s="224"/>
      <c r="H232" s="87" t="s">
        <v>341</v>
      </c>
      <c r="I232" s="87" t="s">
        <v>337</v>
      </c>
      <c r="J232" s="214" t="n">
        <v>0</v>
      </c>
      <c r="K232" s="87"/>
      <c r="L232" s="87"/>
      <c r="M232" s="87"/>
      <c r="N232" s="87"/>
      <c r="O232" s="87"/>
      <c r="P232" s="87"/>
      <c r="Q232" s="87"/>
      <c r="R232" s="87"/>
      <c r="S232" s="184"/>
    </row>
    <row r="233" customFormat="false" ht="12.75" hidden="false" customHeight="false" outlineLevel="0" collapsed="false">
      <c r="B233" s="0"/>
      <c r="C233" s="225"/>
      <c r="G233" s="224"/>
      <c r="H233" s="87"/>
      <c r="I233" s="87" t="s">
        <v>338</v>
      </c>
      <c r="J233" s="214" t="n">
        <v>0</v>
      </c>
      <c r="K233" s="87"/>
      <c r="L233" s="87"/>
      <c r="M233" s="87"/>
      <c r="N233" s="87"/>
      <c r="O233" s="87"/>
      <c r="P233" s="87"/>
      <c r="Q233" s="87" t="s">
        <v>343</v>
      </c>
      <c r="R233" s="87"/>
      <c r="S233" s="184"/>
    </row>
    <row r="234" customFormat="false" ht="12.75" hidden="false" customHeight="false" outlineLevel="0" collapsed="false">
      <c r="B234" s="0"/>
      <c r="C234" s="225"/>
      <c r="G234" s="224"/>
      <c r="H234" s="87"/>
      <c r="I234" s="87" t="s">
        <v>339</v>
      </c>
      <c r="J234" s="214" t="n">
        <v>0</v>
      </c>
      <c r="K234" s="87"/>
      <c r="L234" s="87"/>
      <c r="M234" s="87"/>
      <c r="N234" s="87"/>
      <c r="O234" s="87"/>
      <c r="P234" s="214" t="n">
        <v>-31732</v>
      </c>
      <c r="Q234" s="87"/>
      <c r="R234" s="87"/>
      <c r="S234" s="184"/>
    </row>
    <row r="235" customFormat="false" ht="12.75" hidden="false" customHeight="false" outlineLevel="0" collapsed="false">
      <c r="B235" s="0"/>
      <c r="C235" s="225"/>
      <c r="G235" s="224"/>
      <c r="H235" s="87"/>
      <c r="I235" s="87" t="s">
        <v>340</v>
      </c>
      <c r="J235" s="230" t="n">
        <v>0</v>
      </c>
      <c r="K235" s="87"/>
      <c r="L235" s="87"/>
      <c r="M235" s="87"/>
      <c r="N235" s="87"/>
      <c r="O235" s="87"/>
      <c r="P235" s="214"/>
      <c r="Q235" s="87"/>
      <c r="R235" s="87"/>
      <c r="S235" s="184"/>
    </row>
    <row r="236" customFormat="false" ht="12.75" hidden="false" customHeight="false" outlineLevel="0" collapsed="false">
      <c r="B236" s="0"/>
      <c r="C236" s="225"/>
      <c r="G236" s="224"/>
      <c r="H236" s="87"/>
      <c r="I236" s="87"/>
      <c r="J236" s="214" t="n">
        <f aca="false">SUM(J229:J235)</f>
        <v>0</v>
      </c>
      <c r="K236" s="87"/>
      <c r="L236" s="87"/>
      <c r="M236" s="87"/>
      <c r="N236" s="87"/>
      <c r="O236" s="87"/>
      <c r="P236" s="214"/>
      <c r="Q236" s="87" t="s">
        <v>44</v>
      </c>
      <c r="R236" s="87"/>
      <c r="S236" s="184"/>
    </row>
    <row r="237" customFormat="false" ht="12.75" hidden="false" customHeight="false" outlineLevel="0" collapsed="false">
      <c r="B237" s="0"/>
      <c r="C237" s="225"/>
      <c r="G237" s="224"/>
      <c r="H237" s="87"/>
      <c r="I237" s="87"/>
      <c r="J237" s="214"/>
      <c r="K237" s="87"/>
      <c r="L237" s="87"/>
      <c r="M237" s="87"/>
      <c r="N237" s="87" t="s">
        <v>348</v>
      </c>
      <c r="O237" s="87"/>
      <c r="P237" s="214" t="n">
        <f aca="false">K259</f>
        <v>-4368</v>
      </c>
      <c r="Q237" s="87" t="s">
        <v>349</v>
      </c>
      <c r="R237" s="87"/>
      <c r="S237" s="184"/>
    </row>
    <row r="238" customFormat="false" ht="12.75" hidden="false" customHeight="false" outlineLevel="0" collapsed="false">
      <c r="B238" s="0"/>
      <c r="C238" s="225"/>
      <c r="G238" s="224"/>
      <c r="H238" s="87"/>
      <c r="I238" s="87" t="s">
        <v>342</v>
      </c>
      <c r="J238" s="214" t="n">
        <v>0</v>
      </c>
      <c r="K238" s="87"/>
      <c r="L238" s="87"/>
      <c r="M238" s="87"/>
      <c r="N238" s="87"/>
      <c r="O238" s="87"/>
      <c r="P238" s="230" t="n">
        <v>-2500</v>
      </c>
      <c r="Q238" s="87"/>
      <c r="R238" s="87"/>
      <c r="S238" s="184"/>
    </row>
    <row r="239" customFormat="false" ht="12.75" hidden="false" customHeight="false" outlineLevel="0" collapsed="false">
      <c r="B239" s="0"/>
      <c r="C239" s="225"/>
      <c r="G239" s="224"/>
      <c r="H239" s="87"/>
      <c r="I239" s="87" t="s">
        <v>344</v>
      </c>
      <c r="J239" s="214" t="n">
        <v>0</v>
      </c>
      <c r="K239" s="87"/>
      <c r="L239" s="87"/>
      <c r="M239" s="214" t="n">
        <v>525707</v>
      </c>
      <c r="N239" s="87" t="s">
        <v>352</v>
      </c>
      <c r="O239" s="87"/>
      <c r="P239" s="87"/>
      <c r="Q239" s="87" t="s">
        <v>353</v>
      </c>
      <c r="R239" s="87"/>
      <c r="S239" s="184"/>
    </row>
    <row r="240" customFormat="false" ht="12.75" hidden="false" customHeight="false" outlineLevel="0" collapsed="false">
      <c r="B240" s="0"/>
      <c r="C240" s="0"/>
      <c r="G240" s="224"/>
      <c r="H240" s="87"/>
      <c r="I240" s="87" t="s">
        <v>345</v>
      </c>
      <c r="J240" s="214" t="n">
        <v>0</v>
      </c>
      <c r="K240" s="87"/>
      <c r="L240" s="87"/>
      <c r="M240" s="214"/>
      <c r="N240" s="87"/>
      <c r="O240" s="214"/>
      <c r="P240" s="214" t="n">
        <f aca="false">SUM(P234:P238)</f>
        <v>-38600</v>
      </c>
      <c r="Q240" s="87"/>
      <c r="R240" s="87"/>
      <c r="S240" s="184"/>
    </row>
    <row r="241" customFormat="false" ht="12.75" hidden="false" customHeight="false" outlineLevel="0" collapsed="false">
      <c r="B241" s="0"/>
      <c r="C241" s="0"/>
      <c r="G241" s="224"/>
      <c r="H241" s="87"/>
      <c r="I241" s="87" t="s">
        <v>346</v>
      </c>
      <c r="J241" s="214" t="n">
        <v>0</v>
      </c>
      <c r="K241" s="87"/>
      <c r="L241" s="87"/>
      <c r="M241" s="214"/>
      <c r="N241" s="87"/>
      <c r="O241" s="87"/>
      <c r="P241" s="87"/>
      <c r="Q241" s="87"/>
      <c r="R241" s="87"/>
      <c r="S241" s="231" t="n">
        <f aca="false">22000+P242</f>
        <v>15133</v>
      </c>
    </row>
    <row r="242" customFormat="false" ht="12.75" hidden="false" customHeight="false" outlineLevel="0" collapsed="false">
      <c r="B242" s="0"/>
      <c r="C242" s="0"/>
      <c r="G242" s="224"/>
      <c r="H242" s="87"/>
      <c r="I242" s="87" t="s">
        <v>347</v>
      </c>
      <c r="J242" s="214" t="n">
        <v>0</v>
      </c>
      <c r="K242" s="87"/>
      <c r="L242" s="87"/>
      <c r="M242" s="214" t="n">
        <v>493974</v>
      </c>
      <c r="N242" s="87"/>
      <c r="O242" s="87"/>
      <c r="P242" s="232" t="n">
        <f aca="false">P240+M244</f>
        <v>-6867</v>
      </c>
      <c r="Q242" s="87"/>
      <c r="R242" s="87"/>
      <c r="S242" s="184"/>
    </row>
    <row r="243" customFormat="false" ht="12.75" hidden="false" customHeight="false" outlineLevel="0" collapsed="false">
      <c r="B243" s="0"/>
      <c r="C243" s="0"/>
      <c r="G243" s="224"/>
      <c r="H243" s="87"/>
      <c r="I243" s="87" t="s">
        <v>350</v>
      </c>
      <c r="J243" s="214" t="n">
        <v>0</v>
      </c>
      <c r="K243" s="87"/>
      <c r="L243" s="87"/>
      <c r="M243" s="214"/>
      <c r="N243" s="87"/>
      <c r="O243" s="87"/>
      <c r="P243" s="87"/>
      <c r="Q243" s="87"/>
      <c r="R243" s="87"/>
      <c r="S243" s="184"/>
    </row>
    <row r="244" customFormat="false" ht="12.75" hidden="false" customHeight="false" outlineLevel="0" collapsed="false">
      <c r="B244" s="0"/>
      <c r="C244" s="0"/>
      <c r="G244" s="224"/>
      <c r="H244" s="87"/>
      <c r="I244" s="87" t="s">
        <v>351</v>
      </c>
      <c r="J244" s="214" t="n">
        <v>0</v>
      </c>
      <c r="K244" s="87"/>
      <c r="L244" s="87"/>
      <c r="M244" s="214" t="n">
        <f aca="false">M239-M242</f>
        <v>31733</v>
      </c>
      <c r="N244" s="87"/>
      <c r="O244" s="87"/>
      <c r="P244" s="87"/>
      <c r="Q244" s="87"/>
      <c r="R244" s="87"/>
      <c r="S244" s="184"/>
    </row>
    <row r="245" customFormat="false" ht="12.75" hidden="false" customHeight="false" outlineLevel="0" collapsed="false">
      <c r="B245" s="48"/>
      <c r="C245" s="48"/>
      <c r="G245" s="224"/>
      <c r="H245" s="87" t="s">
        <v>355</v>
      </c>
      <c r="I245" s="87" t="s">
        <v>354</v>
      </c>
      <c r="J245" s="214" t="n">
        <v>0</v>
      </c>
      <c r="K245" s="87"/>
      <c r="L245" s="87"/>
      <c r="M245" s="87"/>
      <c r="N245" s="87"/>
      <c r="O245" s="87"/>
      <c r="P245" s="87"/>
      <c r="Q245" s="87"/>
      <c r="R245" s="87"/>
      <c r="S245" s="184"/>
    </row>
    <row r="246" customFormat="false" ht="12.75" hidden="false" customHeight="false" outlineLevel="0" collapsed="false">
      <c r="B246" s="0"/>
      <c r="C246" s="0"/>
      <c r="G246" s="224"/>
      <c r="H246" s="87"/>
      <c r="I246" s="87" t="s">
        <v>234</v>
      </c>
      <c r="J246" s="230" t="n">
        <v>0</v>
      </c>
      <c r="K246" s="87"/>
      <c r="L246" s="87"/>
      <c r="M246" s="87"/>
      <c r="N246" s="87"/>
      <c r="O246" s="87"/>
      <c r="P246" s="87"/>
      <c r="Q246" s="87"/>
      <c r="R246" s="87"/>
      <c r="S246" s="184"/>
    </row>
    <row r="247" customFormat="false" ht="12.75" hidden="false" customHeight="false" outlineLevel="0" collapsed="false">
      <c r="B247" s="0"/>
      <c r="C247" s="0"/>
      <c r="G247" s="224"/>
      <c r="H247" s="87"/>
      <c r="I247" s="87"/>
      <c r="J247" s="214" t="n">
        <f aca="false">SUM(J236:J246)</f>
        <v>0</v>
      </c>
      <c r="K247" s="87"/>
      <c r="L247" s="87"/>
      <c r="M247" s="232" t="n">
        <f aca="false">M244+K259</f>
        <v>27365</v>
      </c>
      <c r="N247" s="87"/>
      <c r="O247" s="87"/>
      <c r="P247" s="87"/>
      <c r="Q247" s="87"/>
      <c r="R247" s="87"/>
      <c r="S247" s="184"/>
    </row>
    <row r="248" customFormat="false" ht="12.75" hidden="false" customHeight="false" outlineLevel="0" collapsed="false">
      <c r="B248" s="0"/>
      <c r="C248" s="0"/>
      <c r="G248" s="224"/>
      <c r="H248" s="236" t="s">
        <v>358</v>
      </c>
      <c r="I248" s="87"/>
      <c r="J248" s="214"/>
      <c r="K248" s="87"/>
      <c r="L248" s="87"/>
      <c r="M248" s="232"/>
      <c r="N248" s="87"/>
      <c r="O248" s="87"/>
      <c r="P248" s="87"/>
      <c r="Q248" s="87"/>
      <c r="R248" s="87"/>
      <c r="S248" s="184"/>
    </row>
    <row r="249" customFormat="false" ht="12.75" hidden="false" customHeight="false" outlineLevel="0" collapsed="false">
      <c r="B249" s="0"/>
      <c r="C249" s="0"/>
      <c r="G249" s="238"/>
      <c r="H249" s="239"/>
      <c r="I249" s="87"/>
      <c r="J249" s="214"/>
      <c r="K249" s="87"/>
      <c r="L249" s="87"/>
      <c r="M249" s="232"/>
      <c r="N249" s="87"/>
      <c r="O249" s="87"/>
      <c r="P249" s="87"/>
      <c r="Q249" s="239"/>
      <c r="R249" s="239"/>
      <c r="S249" s="174"/>
    </row>
    <row r="250" customFormat="false" ht="12.75" hidden="false" customHeight="false" outlineLevel="0" collapsed="false">
      <c r="B250" s="0"/>
      <c r="C250" s="0"/>
      <c r="I250" s="87" t="s">
        <v>356</v>
      </c>
      <c r="J250" s="233" t="n">
        <v>-862</v>
      </c>
      <c r="K250" s="87"/>
      <c r="L250" s="87"/>
      <c r="M250" s="87"/>
      <c r="N250" s="239"/>
      <c r="O250" s="239"/>
      <c r="P250" s="239"/>
    </row>
    <row r="251" customFormat="false" ht="12.75" hidden="false" customHeight="false" outlineLevel="0" collapsed="false">
      <c r="B251" s="48"/>
      <c r="C251" s="48"/>
      <c r="I251" s="234" t="s">
        <v>356</v>
      </c>
      <c r="J251" s="235" t="n">
        <v>-1</v>
      </c>
      <c r="K251" s="87"/>
      <c r="L251" s="87"/>
      <c r="M251" s="87"/>
    </row>
    <row r="252" customFormat="false" ht="12.75" hidden="false" customHeight="false" outlineLevel="0" collapsed="false">
      <c r="B252" s="0"/>
      <c r="C252" s="0"/>
      <c r="I252" s="234" t="s">
        <v>357</v>
      </c>
      <c r="J252" s="235" t="n">
        <v>-1</v>
      </c>
      <c r="K252" s="87"/>
      <c r="L252" s="87"/>
      <c r="M252" s="87"/>
    </row>
    <row r="253" customFormat="false" ht="12.75" hidden="false" customHeight="false" outlineLevel="0" collapsed="false">
      <c r="B253" s="79"/>
      <c r="C253" s="79"/>
      <c r="I253" s="160" t="s">
        <v>359</v>
      </c>
      <c r="J253" s="237" t="n">
        <v>-1500</v>
      </c>
      <c r="K253" s="87"/>
      <c r="L253" s="87"/>
      <c r="M253" s="87"/>
    </row>
    <row r="254" customFormat="false" ht="12.75" hidden="false" customHeight="false" outlineLevel="0" collapsed="false">
      <c r="B254" s="0"/>
      <c r="C254" s="0"/>
      <c r="I254" s="234" t="s">
        <v>360</v>
      </c>
      <c r="J254" s="235" t="n">
        <v>-1</v>
      </c>
      <c r="K254" s="87"/>
      <c r="L254" s="87"/>
      <c r="M254" s="87"/>
    </row>
    <row r="255" customFormat="false" ht="12.75" hidden="false" customHeight="false" outlineLevel="0" collapsed="false">
      <c r="B255" s="0"/>
      <c r="C255" s="0"/>
      <c r="I255" s="234" t="s">
        <v>361</v>
      </c>
      <c r="J255" s="235" t="n">
        <v>-1</v>
      </c>
      <c r="K255" s="87"/>
      <c r="L255" s="87"/>
      <c r="M255" s="239"/>
    </row>
    <row r="256" customFormat="false" ht="12.75" hidden="false" customHeight="false" outlineLevel="0" collapsed="false">
      <c r="B256" s="0"/>
      <c r="C256" s="0"/>
      <c r="I256" s="160" t="s">
        <v>362</v>
      </c>
      <c r="J256" s="237" t="n">
        <v>-1000</v>
      </c>
      <c r="K256" s="87"/>
      <c r="L256" s="87"/>
    </row>
    <row r="257" customFormat="false" ht="12.75" hidden="false" customHeight="false" outlineLevel="0" collapsed="false">
      <c r="B257" s="0"/>
      <c r="C257" s="0"/>
      <c r="I257" s="234" t="s">
        <v>363</v>
      </c>
      <c r="J257" s="235" t="n">
        <v>-1</v>
      </c>
      <c r="K257" s="87"/>
      <c r="L257" s="87"/>
    </row>
    <row r="258" customFormat="false" ht="12.75" hidden="false" customHeight="false" outlineLevel="0" collapsed="false">
      <c r="B258" s="0"/>
      <c r="C258" s="0"/>
      <c r="I258" s="160" t="s">
        <v>364</v>
      </c>
      <c r="J258" s="237" t="n">
        <v>-1000</v>
      </c>
      <c r="K258" s="87"/>
      <c r="L258" s="87"/>
    </row>
    <row r="259" customFormat="false" ht="12.75" hidden="false" customHeight="false" outlineLevel="0" collapsed="false">
      <c r="B259" s="0"/>
      <c r="C259" s="0"/>
      <c r="I259" s="234" t="s">
        <v>365</v>
      </c>
      <c r="J259" s="235" t="n">
        <v>-1</v>
      </c>
      <c r="K259" s="232" t="n">
        <f aca="false">SUM(J250:J259)</f>
        <v>-4368</v>
      </c>
      <c r="L259" s="87"/>
    </row>
    <row r="260" customFormat="false" ht="12.75" hidden="false" customHeight="false" outlineLevel="0" collapsed="false">
      <c r="B260" s="0"/>
      <c r="C260" s="0"/>
      <c r="I260" s="87" t="s">
        <v>366</v>
      </c>
      <c r="J260" s="230" t="n">
        <f aca="false">-M244-K259</f>
        <v>-27365</v>
      </c>
      <c r="K260" s="232"/>
      <c r="L260" s="87"/>
    </row>
    <row r="261" customFormat="false" ht="12.75" hidden="false" customHeight="false" outlineLevel="0" collapsed="false">
      <c r="B261" s="0"/>
      <c r="C261" s="0"/>
      <c r="I261" s="87"/>
      <c r="J261" s="214" t="n">
        <f aca="false">SUM(J247:J260)</f>
        <v>-31733</v>
      </c>
      <c r="K261" s="87"/>
      <c r="L261" s="87"/>
    </row>
    <row r="262" customFormat="false" ht="12.75" hidden="false" customHeight="false" outlineLevel="0" collapsed="false">
      <c r="B262" s="0"/>
      <c r="C262" s="0"/>
      <c r="I262" s="87"/>
      <c r="J262" s="214"/>
      <c r="K262" s="87"/>
      <c r="L262" s="239"/>
    </row>
    <row r="263" customFormat="false" ht="12.75" hidden="false" customHeight="false" outlineLevel="0" collapsed="false">
      <c r="B263" s="0"/>
      <c r="C263" s="0"/>
      <c r="I263" s="87" t="s">
        <v>367</v>
      </c>
      <c r="J263" s="214" t="n">
        <v>3915</v>
      </c>
      <c r="K263" s="87"/>
    </row>
    <row r="264" customFormat="false" ht="12.75" hidden="false" customHeight="false" outlineLevel="0" collapsed="false">
      <c r="B264" s="0"/>
      <c r="C264" s="0"/>
      <c r="I264" s="87"/>
      <c r="J264" s="214"/>
      <c r="K264" s="87"/>
    </row>
    <row r="265" customFormat="false" ht="13.5" hidden="false" customHeight="false" outlineLevel="0" collapsed="false">
      <c r="B265" s="0"/>
      <c r="C265" s="0"/>
      <c r="I265" s="87"/>
      <c r="J265" s="240" t="n">
        <f aca="false">SUM(J261:J264)</f>
        <v>-27818</v>
      </c>
      <c r="K265" s="87"/>
    </row>
    <row r="266" customFormat="false" ht="13.5" hidden="false" customHeight="false" outlineLevel="0" collapsed="false">
      <c r="B266" s="0"/>
      <c r="C266" s="0"/>
      <c r="I266" s="239"/>
      <c r="J266" s="230"/>
      <c r="K266" s="239"/>
    </row>
    <row r="267" customFormat="false" ht="12.75" hidden="false" customHeight="false" outlineLevel="0" collapsed="false">
      <c r="B267" s="0"/>
      <c r="C267" s="0"/>
      <c r="J267" s="214"/>
    </row>
    <row r="268" customFormat="false" ht="12.75" hidden="false" customHeight="false" outlineLevel="0" collapsed="false">
      <c r="B268" s="0"/>
      <c r="C268" s="0"/>
      <c r="J268" s="214"/>
    </row>
    <row r="269" customFormat="false" ht="12.75" hidden="false" customHeight="false" outlineLevel="0" collapsed="false">
      <c r="B269" s="0"/>
      <c r="C269" s="0"/>
      <c r="J269" s="214" t="n">
        <f aca="false">551878-11621</f>
        <v>540257</v>
      </c>
    </row>
    <row r="270" customFormat="false" ht="12.75" hidden="false" customHeight="false" outlineLevel="0" collapsed="false">
      <c r="B270" s="0"/>
      <c r="C270" s="0"/>
      <c r="J270" s="214"/>
    </row>
    <row r="271" customFormat="false" ht="12.75" hidden="false" customHeight="false" outlineLevel="0" collapsed="false">
      <c r="B271" s="241"/>
      <c r="C271" s="241"/>
      <c r="J271" s="214"/>
    </row>
    <row r="272" customFormat="false" ht="12.75" hidden="false" customHeight="false" outlineLevel="0" collapsed="false">
      <c r="B272" s="241"/>
      <c r="C272" s="241"/>
      <c r="J272" s="214"/>
    </row>
    <row r="273" customFormat="false" ht="12.75" hidden="false" customHeight="false" outlineLevel="0" collapsed="false">
      <c r="B273" s="0"/>
      <c r="C273" s="0"/>
      <c r="J273" s="214"/>
    </row>
    <row r="274" customFormat="false" ht="12.75" hidden="false" customHeight="false" outlineLevel="0" collapsed="false">
      <c r="B274" s="0"/>
      <c r="C274" s="0"/>
      <c r="J274" s="214"/>
    </row>
    <row r="275" customFormat="false" ht="12" hidden="false" customHeight="false" outlineLevel="0" collapsed="false">
      <c r="J275" s="214"/>
    </row>
    <row r="276" customFormat="false" ht="12" hidden="false" customHeight="false" outlineLevel="0" collapsed="false">
      <c r="J276" s="214"/>
    </row>
    <row r="277" customFormat="false" ht="12" hidden="false" customHeight="false" outlineLevel="0" collapsed="false">
      <c r="J277" s="214"/>
    </row>
    <row r="278" customFormat="false" ht="12" hidden="false" customHeight="false" outlineLevel="0" collapsed="false">
      <c r="J278" s="214"/>
    </row>
    <row r="279" customFormat="false" ht="12" hidden="false" customHeight="false" outlineLevel="0" collapsed="false">
      <c r="J279" s="214"/>
    </row>
    <row r="280" customFormat="false" ht="12" hidden="false" customHeight="false" outlineLevel="0" collapsed="false">
      <c r="J280" s="214"/>
    </row>
    <row r="281" customFormat="false" ht="12" hidden="false" customHeight="false" outlineLevel="0" collapsed="false">
      <c r="J281" s="214"/>
    </row>
    <row r="282" customFormat="false" ht="12" hidden="false" customHeight="false" outlineLevel="0" collapsed="false">
      <c r="J282" s="214"/>
    </row>
    <row r="283" customFormat="false" ht="12" hidden="false" customHeight="false" outlineLevel="0" collapsed="false">
      <c r="J283" s="214"/>
    </row>
    <row r="284" customFormat="false" ht="12" hidden="false" customHeight="false" outlineLevel="0" collapsed="false">
      <c r="J284" s="214"/>
    </row>
    <row r="285" customFormat="false" ht="12" hidden="false" customHeight="false" outlineLevel="0" collapsed="false">
      <c r="J285" s="214"/>
    </row>
    <row r="286" customFormat="false" ht="12" hidden="false" customHeight="false" outlineLevel="0" collapsed="false">
      <c r="J286" s="214"/>
    </row>
    <row r="287" customFormat="false" ht="12" hidden="false" customHeight="false" outlineLevel="0" collapsed="false">
      <c r="J287" s="214"/>
    </row>
    <row r="288" customFormat="false" ht="12" hidden="false" customHeight="false" outlineLevel="0" collapsed="false">
      <c r="J288" s="214"/>
    </row>
    <row r="289" customFormat="false" ht="12" hidden="false" customHeight="false" outlineLevel="0" collapsed="false">
      <c r="J289" s="214"/>
    </row>
    <row r="290" customFormat="false" ht="12" hidden="false" customHeight="false" outlineLevel="0" collapsed="false">
      <c r="J290" s="214"/>
    </row>
    <row r="291" customFormat="false" ht="12" hidden="false" customHeight="false" outlineLevel="0" collapsed="false">
      <c r="J291" s="214"/>
    </row>
    <row r="292" customFormat="false" ht="12" hidden="false" customHeight="false" outlineLevel="0" collapsed="false">
      <c r="J292" s="214"/>
    </row>
    <row r="293" customFormat="false" ht="12" hidden="false" customHeight="false" outlineLevel="0" collapsed="false">
      <c r="J293" s="214"/>
    </row>
    <row r="294" customFormat="false" ht="12" hidden="false" customHeight="false" outlineLevel="0" collapsed="false">
      <c r="J294" s="214"/>
    </row>
    <row r="295" customFormat="false" ht="12" hidden="false" customHeight="false" outlineLevel="0" collapsed="false">
      <c r="J295" s="214"/>
    </row>
    <row r="296" customFormat="false" ht="12" hidden="false" customHeight="false" outlineLevel="0" collapsed="false">
      <c r="J296" s="214"/>
    </row>
    <row r="297" customFormat="false" ht="12" hidden="false" customHeight="false" outlineLevel="0" collapsed="false">
      <c r="J297" s="214"/>
    </row>
    <row r="298" customFormat="false" ht="12" hidden="false" customHeight="false" outlineLevel="0" collapsed="false">
      <c r="J298" s="214"/>
    </row>
    <row r="299" customFormat="false" ht="12" hidden="false" customHeight="false" outlineLevel="0" collapsed="false">
      <c r="J299" s="214"/>
    </row>
    <row r="300" customFormat="false" ht="12" hidden="false" customHeight="false" outlineLevel="0" collapsed="false">
      <c r="J300" s="214"/>
    </row>
    <row r="301" customFormat="false" ht="12" hidden="false" customHeight="false" outlineLevel="0" collapsed="false">
      <c r="J301" s="214"/>
    </row>
    <row r="302" customFormat="false" ht="12" hidden="false" customHeight="false" outlineLevel="0" collapsed="false">
      <c r="J302" s="214"/>
    </row>
    <row r="303" customFormat="false" ht="12" hidden="false" customHeight="false" outlineLevel="0" collapsed="false">
      <c r="J303" s="214"/>
    </row>
    <row r="304" customFormat="false" ht="12" hidden="false" customHeight="false" outlineLevel="0" collapsed="false">
      <c r="J304" s="214"/>
    </row>
    <row r="305" customFormat="false" ht="12" hidden="false" customHeight="false" outlineLevel="0" collapsed="false">
      <c r="J305" s="214"/>
    </row>
    <row r="306" customFormat="false" ht="12" hidden="false" customHeight="false" outlineLevel="0" collapsed="false">
      <c r="J306" s="214"/>
    </row>
    <row r="307" customFormat="false" ht="12" hidden="false" customHeight="false" outlineLevel="0" collapsed="false">
      <c r="J307" s="214"/>
    </row>
    <row r="308" customFormat="false" ht="12" hidden="false" customHeight="false" outlineLevel="0" collapsed="false">
      <c r="J308" s="214"/>
    </row>
    <row r="309" customFormat="false" ht="12" hidden="false" customHeight="false" outlineLevel="0" collapsed="false">
      <c r="J309" s="214"/>
    </row>
    <row r="310" customFormat="false" ht="12" hidden="false" customHeight="false" outlineLevel="0" collapsed="false">
      <c r="J310" s="214"/>
    </row>
    <row r="311" customFormat="false" ht="12" hidden="false" customHeight="false" outlineLevel="0" collapsed="false">
      <c r="J311" s="214"/>
    </row>
    <row r="312" customFormat="false" ht="12" hidden="false" customHeight="false" outlineLevel="0" collapsed="false">
      <c r="J312" s="214"/>
    </row>
    <row r="313" customFormat="false" ht="12" hidden="false" customHeight="false" outlineLevel="0" collapsed="false">
      <c r="J313" s="214"/>
    </row>
    <row r="314" customFormat="false" ht="12" hidden="false" customHeight="false" outlineLevel="0" collapsed="false">
      <c r="J314" s="214"/>
    </row>
    <row r="315" customFormat="false" ht="12" hidden="false" customHeight="false" outlineLevel="0" collapsed="false">
      <c r="J315" s="214"/>
    </row>
    <row r="316" customFormat="false" ht="12" hidden="false" customHeight="false" outlineLevel="0" collapsed="false">
      <c r="J316" s="214"/>
    </row>
    <row r="317" customFormat="false" ht="12" hidden="false" customHeight="false" outlineLevel="0" collapsed="false">
      <c r="J317" s="214"/>
    </row>
    <row r="318" customFormat="false" ht="12" hidden="false" customHeight="false" outlineLevel="0" collapsed="false">
      <c r="J318" s="214"/>
    </row>
    <row r="319" customFormat="false" ht="12" hidden="false" customHeight="false" outlineLevel="0" collapsed="false">
      <c r="J319" s="214"/>
    </row>
    <row r="320" customFormat="false" ht="12" hidden="false" customHeight="false" outlineLevel="0" collapsed="false">
      <c r="J320" s="214"/>
    </row>
    <row r="321" customFormat="false" ht="12" hidden="false" customHeight="false" outlineLevel="0" collapsed="false">
      <c r="J321" s="214"/>
    </row>
    <row r="322" customFormat="false" ht="12" hidden="false" customHeight="false" outlineLevel="0" collapsed="false">
      <c r="J322" s="214"/>
    </row>
    <row r="323" customFormat="false" ht="12" hidden="false" customHeight="false" outlineLevel="0" collapsed="false">
      <c r="J323" s="214"/>
    </row>
    <row r="324" customFormat="false" ht="12" hidden="false" customHeight="false" outlineLevel="0" collapsed="false">
      <c r="J324" s="214"/>
    </row>
    <row r="325" customFormat="false" ht="12" hidden="false" customHeight="false" outlineLevel="0" collapsed="false">
      <c r="J325" s="214"/>
    </row>
    <row r="326" customFormat="false" ht="12" hidden="false" customHeight="false" outlineLevel="0" collapsed="false">
      <c r="J326" s="214"/>
    </row>
    <row r="327" customFormat="false" ht="12" hidden="false" customHeight="false" outlineLevel="0" collapsed="false">
      <c r="J327" s="214"/>
    </row>
    <row r="328" customFormat="false" ht="12" hidden="false" customHeight="false" outlineLevel="0" collapsed="false">
      <c r="J328" s="214"/>
    </row>
    <row r="329" customFormat="false" ht="12" hidden="false" customHeight="false" outlineLevel="0" collapsed="false">
      <c r="J329" s="214"/>
    </row>
    <row r="330" customFormat="false" ht="12" hidden="false" customHeight="false" outlineLevel="0" collapsed="false">
      <c r="J330" s="214"/>
    </row>
    <row r="331" customFormat="false" ht="12" hidden="false" customHeight="false" outlineLevel="0" collapsed="false">
      <c r="J331" s="214"/>
    </row>
    <row r="332" customFormat="false" ht="12" hidden="false" customHeight="false" outlineLevel="0" collapsed="false">
      <c r="J332" s="214"/>
    </row>
    <row r="333" customFormat="false" ht="12" hidden="false" customHeight="false" outlineLevel="0" collapsed="false">
      <c r="J333" s="214"/>
    </row>
    <row r="334" customFormat="false" ht="12" hidden="false" customHeight="false" outlineLevel="0" collapsed="false">
      <c r="J334" s="214"/>
    </row>
    <row r="335" customFormat="false" ht="12" hidden="false" customHeight="false" outlineLevel="0" collapsed="false">
      <c r="J335" s="214"/>
    </row>
    <row r="336" customFormat="false" ht="12" hidden="false" customHeight="false" outlineLevel="0" collapsed="false">
      <c r="J336" s="214"/>
    </row>
    <row r="337" customFormat="false" ht="12" hidden="false" customHeight="false" outlineLevel="0" collapsed="false">
      <c r="J337" s="214"/>
    </row>
    <row r="338" customFormat="false" ht="12" hidden="false" customHeight="false" outlineLevel="0" collapsed="false">
      <c r="J338" s="214"/>
    </row>
    <row r="339" customFormat="false" ht="12" hidden="false" customHeight="false" outlineLevel="0" collapsed="false">
      <c r="J339" s="214"/>
    </row>
    <row r="340" customFormat="false" ht="12" hidden="false" customHeight="false" outlineLevel="0" collapsed="false">
      <c r="J340" s="214"/>
    </row>
    <row r="341" customFormat="false" ht="12" hidden="false" customHeight="false" outlineLevel="0" collapsed="false">
      <c r="J341" s="214"/>
    </row>
    <row r="342" customFormat="false" ht="12" hidden="false" customHeight="false" outlineLevel="0" collapsed="false">
      <c r="J342" s="214"/>
    </row>
    <row r="343" customFormat="false" ht="12" hidden="false" customHeight="false" outlineLevel="0" collapsed="false">
      <c r="J343" s="214"/>
    </row>
    <row r="344" customFormat="false" ht="12" hidden="false" customHeight="false" outlineLevel="0" collapsed="false">
      <c r="J344" s="214"/>
    </row>
    <row r="345" customFormat="false" ht="12" hidden="false" customHeight="false" outlineLevel="0" collapsed="false">
      <c r="J345" s="214"/>
    </row>
    <row r="346" customFormat="false" ht="12" hidden="false" customHeight="false" outlineLevel="0" collapsed="false">
      <c r="J346" s="214"/>
    </row>
    <row r="347" customFormat="false" ht="12" hidden="false" customHeight="false" outlineLevel="0" collapsed="false">
      <c r="J347" s="214"/>
    </row>
    <row r="348" customFormat="false" ht="12" hidden="false" customHeight="false" outlineLevel="0" collapsed="false">
      <c r="J348" s="214"/>
    </row>
    <row r="349" customFormat="false" ht="12" hidden="false" customHeight="false" outlineLevel="0" collapsed="false">
      <c r="J349" s="214"/>
    </row>
    <row r="350" customFormat="false" ht="12" hidden="false" customHeight="false" outlineLevel="0" collapsed="false">
      <c r="J350" s="214"/>
    </row>
    <row r="351" customFormat="false" ht="12" hidden="false" customHeight="false" outlineLevel="0" collapsed="false">
      <c r="J351" s="214"/>
    </row>
    <row r="352" customFormat="false" ht="12" hidden="false" customHeight="false" outlineLevel="0" collapsed="false">
      <c r="J352" s="214"/>
    </row>
    <row r="353" customFormat="false" ht="12" hidden="false" customHeight="false" outlineLevel="0" collapsed="false">
      <c r="J353" s="214"/>
    </row>
    <row r="354" customFormat="false" ht="12" hidden="false" customHeight="false" outlineLevel="0" collapsed="false">
      <c r="J354" s="214"/>
    </row>
    <row r="355" customFormat="false" ht="12" hidden="false" customHeight="false" outlineLevel="0" collapsed="false">
      <c r="J355" s="214"/>
    </row>
    <row r="356" customFormat="false" ht="12" hidden="false" customHeight="false" outlineLevel="0" collapsed="false">
      <c r="J356" s="214"/>
    </row>
    <row r="357" customFormat="false" ht="12" hidden="false" customHeight="false" outlineLevel="0" collapsed="false">
      <c r="J357" s="214"/>
    </row>
    <row r="358" customFormat="false" ht="12" hidden="false" customHeight="false" outlineLevel="0" collapsed="false">
      <c r="J358" s="214"/>
    </row>
    <row r="359" customFormat="false" ht="12" hidden="false" customHeight="false" outlineLevel="0" collapsed="false">
      <c r="J359" s="214"/>
    </row>
    <row r="360" customFormat="false" ht="12" hidden="false" customHeight="false" outlineLevel="0" collapsed="false">
      <c r="J360" s="214"/>
    </row>
    <row r="361" customFormat="false" ht="12" hidden="false" customHeight="false" outlineLevel="0" collapsed="false">
      <c r="J361" s="214"/>
    </row>
    <row r="362" customFormat="false" ht="12" hidden="false" customHeight="false" outlineLevel="0" collapsed="false">
      <c r="J362" s="214"/>
    </row>
    <row r="363" customFormat="false" ht="12" hidden="false" customHeight="false" outlineLevel="0" collapsed="false">
      <c r="J363" s="214"/>
    </row>
    <row r="364" customFormat="false" ht="12" hidden="false" customHeight="false" outlineLevel="0" collapsed="false">
      <c r="J364" s="214"/>
    </row>
    <row r="365" customFormat="false" ht="12" hidden="false" customHeight="false" outlineLevel="0" collapsed="false">
      <c r="J365" s="214"/>
    </row>
    <row r="366" customFormat="false" ht="12" hidden="false" customHeight="false" outlineLevel="0" collapsed="false">
      <c r="J366" s="214"/>
    </row>
    <row r="367" customFormat="false" ht="12" hidden="false" customHeight="false" outlineLevel="0" collapsed="false">
      <c r="J367" s="214"/>
    </row>
    <row r="368" customFormat="false" ht="12" hidden="false" customHeight="false" outlineLevel="0" collapsed="false">
      <c r="J368" s="214"/>
    </row>
    <row r="369" customFormat="false" ht="12" hidden="false" customHeight="false" outlineLevel="0" collapsed="false">
      <c r="J369" s="214"/>
    </row>
  </sheetData>
  <mergeCells count="18">
    <mergeCell ref="A1:H1"/>
    <mergeCell ref="K6:L6"/>
    <mergeCell ref="A31:D31"/>
    <mergeCell ref="E31:H31"/>
    <mergeCell ref="I31:J31"/>
    <mergeCell ref="E32:F32"/>
    <mergeCell ref="G32:H32"/>
    <mergeCell ref="I36:J36"/>
    <mergeCell ref="A37:D37"/>
    <mergeCell ref="I43:J43"/>
    <mergeCell ref="A46:D46"/>
    <mergeCell ref="G46:L46"/>
    <mergeCell ref="A47:B47"/>
    <mergeCell ref="C47:D47"/>
    <mergeCell ref="E47:F47"/>
    <mergeCell ref="I47:J47"/>
    <mergeCell ref="K47:L47"/>
    <mergeCell ref="A103:C103"/>
  </mergeCells>
  <printOptions headings="false" gridLines="false" gridLinesSet="true" horizontalCentered="true" verticalCentered="true"/>
  <pageMargins left="0.25" right="0.25" top="0.75" bottom="0.25" header="0.511811023622047" footer="0.2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&amp;L&amp;8Tx Desk Logistics - Daren Farmer&amp;R&amp;8&amp;D
&amp;T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380"/>
  <sheetViews>
    <sheetView showFormulas="false" showGridLines="false" showRowColHeaders="true" showZeros="true" rightToLeft="false" tabSelected="false" showOutlineSymbols="true" defaultGridColor="true" view="normal" topLeftCell="A90" colorId="64" zoomScale="80" zoomScaleNormal="80" zoomScalePageLayoutView="100" workbookViewId="0">
      <selection pane="topLeft" activeCell="K180" activeCellId="0" sqref="K180"/>
    </sheetView>
  </sheetViews>
  <sheetFormatPr defaultColWidth="9.13671875" defaultRowHeight="12" customHeight="true" zeroHeight="false" outlineLevelRow="0" outlineLevelCol="0"/>
  <cols>
    <col collapsed="false" customWidth="true" hidden="false" outlineLevel="0" max="2" min="1" style="1" width="12.14"/>
    <col collapsed="false" customWidth="true" hidden="false" outlineLevel="0" max="3" min="3" style="1" width="11.28"/>
    <col collapsed="false" customWidth="true" hidden="false" outlineLevel="0" max="4" min="4" style="1" width="11.85"/>
    <col collapsed="false" customWidth="true" hidden="false" outlineLevel="0" max="5" min="5" style="1" width="11.56"/>
    <col collapsed="false" customWidth="true" hidden="false" outlineLevel="0" max="6" min="6" style="1" width="11.7"/>
    <col collapsed="false" customWidth="true" hidden="false" outlineLevel="0" max="7" min="7" style="1" width="11.85"/>
    <col collapsed="false" customWidth="true" hidden="false" outlineLevel="0" max="8" min="8" style="1" width="11.7"/>
    <col collapsed="false" customWidth="true" hidden="false" outlineLevel="0" max="9" min="9" style="1" width="11.85"/>
    <col collapsed="false" customWidth="true" hidden="false" outlineLevel="0" max="10" min="10" style="1" width="8.7"/>
    <col collapsed="false" customWidth="true" hidden="false" outlineLevel="0" max="11" min="11" style="1" width="11.85"/>
    <col collapsed="false" customWidth="false" hidden="false" outlineLevel="0" max="12" min="12" style="1" width="9.14"/>
    <col collapsed="false" customWidth="true" hidden="false" outlineLevel="0" max="13" min="13" style="1" width="8.56"/>
    <col collapsed="false" customWidth="false" hidden="false" outlineLevel="0" max="14" min="14" style="1" width="9.14"/>
    <col collapsed="false" customWidth="true" hidden="false" outlineLevel="0" max="15" min="15" style="1" width="5.56"/>
    <col collapsed="false" customWidth="false" hidden="false" outlineLevel="0" max="257" min="16" style="1" width="9.14"/>
  </cols>
  <sheetData>
    <row r="1" customFormat="false" ht="16.5" hidden="false" customHeight="fals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  <c r="IP1" s="3"/>
      <c r="IQ1" s="3"/>
      <c r="IR1" s="3"/>
      <c r="IS1" s="3"/>
      <c r="IT1" s="3"/>
      <c r="IU1" s="3"/>
      <c r="IV1" s="3"/>
      <c r="IW1" s="3"/>
    </row>
    <row r="2" customFormat="false" ht="12.75" hidden="false" customHeight="false" outlineLevel="0" collapsed="false">
      <c r="A2" s="4"/>
      <c r="B2" s="5"/>
      <c r="C2" s="5"/>
      <c r="D2" s="6"/>
      <c r="E2" s="6"/>
      <c r="F2" s="6"/>
      <c r="G2" s="5"/>
      <c r="H2" s="7"/>
    </row>
    <row r="3" customFormat="false" ht="13.5" hidden="false" customHeight="false" outlineLevel="0" collapsed="false">
      <c r="A3" s="8"/>
      <c r="B3" s="9"/>
      <c r="C3" s="10"/>
      <c r="D3" s="6"/>
      <c r="E3" s="10"/>
      <c r="F3" s="10"/>
      <c r="G3" s="10"/>
      <c r="H3" s="7"/>
    </row>
    <row r="4" customFormat="false" ht="12.75" hidden="false" customHeight="false" outlineLevel="0" collapsed="false">
      <c r="A4" s="11"/>
      <c r="B4" s="5"/>
      <c r="C4" s="5"/>
      <c r="D4" s="12" t="s">
        <v>419</v>
      </c>
      <c r="E4" s="13"/>
      <c r="F4" s="13"/>
      <c r="G4" s="14"/>
      <c r="H4" s="15"/>
      <c r="L4" s="0"/>
    </row>
    <row r="5" customFormat="false" ht="13.5" hidden="false" customHeight="false" outlineLevel="0" collapsed="false">
      <c r="A5" s="16"/>
      <c r="B5" s="6"/>
      <c r="C5" s="6"/>
      <c r="D5" s="17" t="s">
        <v>2</v>
      </c>
      <c r="E5" s="18" t="s">
        <v>368</v>
      </c>
      <c r="F5" s="18" t="str">
        <f aca="false">D4</f>
        <v>Mar</v>
      </c>
      <c r="G5" s="19" t="str">
        <f aca="false">+F5</f>
        <v>Mar</v>
      </c>
      <c r="H5" s="20" t="str">
        <f aca="false">+F5</f>
        <v>Mar</v>
      </c>
      <c r="L5" s="0"/>
    </row>
    <row r="6" customFormat="false" ht="13.5" hidden="false" customHeight="false" outlineLevel="0" collapsed="false">
      <c r="A6" s="16"/>
      <c r="B6" s="6"/>
      <c r="C6" s="6"/>
      <c r="D6" s="21" t="s">
        <v>4</v>
      </c>
      <c r="E6" s="22" t="s">
        <v>2</v>
      </c>
      <c r="F6" s="22" t="n">
        <v>99</v>
      </c>
      <c r="G6" s="23" t="s">
        <v>5</v>
      </c>
      <c r="H6" s="24" t="s">
        <v>6</v>
      </c>
      <c r="I6" s="25"/>
      <c r="K6" s="26" t="s">
        <v>7</v>
      </c>
      <c r="L6" s="26"/>
    </row>
    <row r="7" customFormat="false" ht="12.75" hidden="false" customHeight="false" outlineLevel="0" collapsed="false">
      <c r="A7" s="27" t="s">
        <v>8</v>
      </c>
      <c r="B7" s="6"/>
      <c r="D7" s="28" t="n">
        <f aca="false">C212+C232</f>
        <v>452.414</v>
      </c>
      <c r="E7" s="29" t="n">
        <f aca="false">(971.314*0.75)-E11-E12</f>
        <v>535.988125</v>
      </c>
      <c r="F7" s="28" t="n">
        <v>496.4</v>
      </c>
      <c r="G7" s="30" t="n">
        <f aca="false">D7*1.1</f>
        <v>497.6554</v>
      </c>
      <c r="H7" s="31" t="n">
        <f aca="false">D7*0.9</f>
        <v>407.1726</v>
      </c>
      <c r="I7" s="32"/>
      <c r="K7" s="33" t="s">
        <v>9</v>
      </c>
      <c r="L7" s="34" t="n">
        <f aca="false">C141</f>
        <v>3</v>
      </c>
      <c r="N7" s="0"/>
      <c r="O7" s="0"/>
    </row>
    <row r="8" customFormat="false" ht="12.75" hidden="false" customHeight="false" outlineLevel="0" collapsed="false">
      <c r="A8" s="27" t="s">
        <v>421</v>
      </c>
      <c r="B8" s="6"/>
      <c r="C8" s="35"/>
      <c r="D8" s="317" t="n">
        <f aca="false">73+80</f>
        <v>153</v>
      </c>
      <c r="E8" s="29" t="n">
        <f aca="false">(1377.53/16)+(1021.561/16)</f>
        <v>149.9431875</v>
      </c>
      <c r="F8" s="37" t="n">
        <v>109.2</v>
      </c>
      <c r="G8" s="38" t="n">
        <f aca="false">73+105</f>
        <v>178</v>
      </c>
      <c r="H8" s="31" t="n">
        <f aca="false">65.7+60</f>
        <v>125.7</v>
      </c>
      <c r="I8" s="25"/>
      <c r="K8" s="39" t="s">
        <v>11</v>
      </c>
      <c r="L8" s="40" t="n">
        <f aca="false">C142+C216</f>
        <v>0</v>
      </c>
      <c r="N8" s="0"/>
      <c r="O8" s="0"/>
    </row>
    <row r="9" customFormat="false" ht="12.75" hidden="false" customHeight="false" outlineLevel="0" collapsed="false">
      <c r="A9" s="27" t="s">
        <v>12</v>
      </c>
      <c r="B9" s="6"/>
      <c r="C9" s="6"/>
      <c r="D9" s="317" t="n">
        <v>20</v>
      </c>
      <c r="E9" s="29" t="n">
        <f aca="false">468.419/16</f>
        <v>29.2761875</v>
      </c>
      <c r="F9" s="37" t="n">
        <v>24.2</v>
      </c>
      <c r="G9" s="38" t="n">
        <v>60</v>
      </c>
      <c r="H9" s="31" t="n">
        <v>20</v>
      </c>
      <c r="I9" s="25"/>
      <c r="K9" s="39" t="s">
        <v>13</v>
      </c>
      <c r="L9" s="41" t="n">
        <f aca="false">C147+C218</f>
        <v>20</v>
      </c>
      <c r="N9" s="0"/>
      <c r="O9" s="0"/>
    </row>
    <row r="10" customFormat="false" ht="12.75" hidden="false" customHeight="false" outlineLevel="0" collapsed="false">
      <c r="A10" s="27" t="s">
        <v>14</v>
      </c>
      <c r="B10" s="6"/>
      <c r="C10" s="6"/>
      <c r="D10" s="317" t="n">
        <v>33.418</v>
      </c>
      <c r="E10" s="29" t="n">
        <f aca="false">(522.842/20)+(34.12/20)+(12.038/20)+((149.835-20)/20)</f>
        <v>34.94175</v>
      </c>
      <c r="F10" s="37" t="n">
        <v>82.1</v>
      </c>
      <c r="G10" s="38" t="n">
        <v>0</v>
      </c>
      <c r="H10" s="31" t="n">
        <v>0</v>
      </c>
      <c r="I10" s="42"/>
      <c r="K10" s="39" t="s">
        <v>15</v>
      </c>
      <c r="L10" s="40" t="n">
        <f aca="false">C149+C219</f>
        <v>0</v>
      </c>
      <c r="N10" s="0"/>
      <c r="O10" s="0"/>
    </row>
    <row r="11" customFormat="false" ht="12.75" hidden="false" customHeight="false" outlineLevel="0" collapsed="false">
      <c r="A11" s="27" t="s">
        <v>16</v>
      </c>
      <c r="B11" s="6"/>
      <c r="C11" s="6"/>
      <c r="D11" s="317" t="n">
        <f aca="false">100+15+0.4</f>
        <v>115.4</v>
      </c>
      <c r="E11" s="29" t="n">
        <f aca="false">+(255.899+1421.511)/16</f>
        <v>104.838125</v>
      </c>
      <c r="F11" s="37" t="n">
        <v>105.4</v>
      </c>
      <c r="G11" s="38" t="n">
        <v>145</v>
      </c>
      <c r="H11" s="31" t="n">
        <v>90</v>
      </c>
      <c r="I11" s="25"/>
      <c r="K11" s="39" t="s">
        <v>17</v>
      </c>
      <c r="L11" s="40" t="n">
        <f aca="false">C157+C220</f>
        <v>0</v>
      </c>
      <c r="N11" s="0"/>
      <c r="O11" s="0"/>
    </row>
    <row r="12" customFormat="false" ht="12.75" hidden="false" customHeight="false" outlineLevel="0" collapsed="false">
      <c r="A12" s="27" t="s">
        <v>18</v>
      </c>
      <c r="B12" s="6"/>
      <c r="C12" s="6"/>
      <c r="D12" s="317" t="n">
        <v>90</v>
      </c>
      <c r="E12" s="29" t="n">
        <f aca="false">+(640.222+799.778)/16-(37.452/16)</f>
        <v>87.65925</v>
      </c>
      <c r="F12" s="37" t="n">
        <v>114</v>
      </c>
      <c r="G12" s="38" t="n">
        <f aca="false">90*1.05</f>
        <v>94.5</v>
      </c>
      <c r="H12" s="31" t="n">
        <f aca="false">90*0.95</f>
        <v>85.5</v>
      </c>
      <c r="I12" s="25"/>
      <c r="K12" s="39" t="s">
        <v>19</v>
      </c>
      <c r="L12" s="40" t="n">
        <f aca="false">C167+C223</f>
        <v>75</v>
      </c>
      <c r="N12" s="0"/>
      <c r="O12" s="0"/>
    </row>
    <row r="13" customFormat="false" ht="12.75" hidden="false" customHeight="false" outlineLevel="0" collapsed="false">
      <c r="A13" s="27" t="s">
        <v>20</v>
      </c>
      <c r="B13" s="6"/>
      <c r="C13" s="6"/>
      <c r="D13" s="317" t="n">
        <v>55</v>
      </c>
      <c r="E13" s="29" t="n">
        <v>66.193</v>
      </c>
      <c r="F13" s="37" t="n">
        <v>68.3</v>
      </c>
      <c r="G13" s="38" t="n">
        <v>180</v>
      </c>
      <c r="H13" s="31" t="n">
        <v>0</v>
      </c>
      <c r="I13" s="25"/>
      <c r="J13" s="0"/>
      <c r="K13" s="39" t="s">
        <v>21</v>
      </c>
      <c r="L13" s="40" t="n">
        <f aca="false">C166+C222</f>
        <v>22.355</v>
      </c>
      <c r="N13" s="0"/>
      <c r="O13" s="0"/>
    </row>
    <row r="14" customFormat="false" ht="12.75" hidden="false" customHeight="false" outlineLevel="0" collapsed="false">
      <c r="A14" s="27" t="s">
        <v>22</v>
      </c>
      <c r="B14" s="6"/>
      <c r="C14" s="6"/>
      <c r="D14" s="37" t="n">
        <f aca="false">B95</f>
        <v>5.358</v>
      </c>
      <c r="E14" s="29" t="n">
        <f aca="false">Feb!D14</f>
        <v>11.058</v>
      </c>
      <c r="F14" s="37" t="n">
        <v>10.2</v>
      </c>
      <c r="G14" s="38" t="n">
        <f aca="false">D14*1.05</f>
        <v>5.6259</v>
      </c>
      <c r="H14" s="31" t="n">
        <f aca="false">D14*0.95</f>
        <v>5.0901</v>
      </c>
      <c r="I14" s="25"/>
      <c r="K14" s="39" t="s">
        <v>23</v>
      </c>
      <c r="L14" s="40" t="n">
        <f aca="false">C170+C224</f>
        <v>40</v>
      </c>
      <c r="N14" s="0"/>
      <c r="O14" s="0"/>
    </row>
    <row r="15" customFormat="false" ht="12.75" hidden="false" customHeight="false" outlineLevel="0" collapsed="false">
      <c r="A15" s="27" t="s">
        <v>370</v>
      </c>
      <c r="B15" s="6"/>
      <c r="C15" s="6"/>
      <c r="D15" s="37" t="n">
        <f aca="false">SUM(D16:D18)</f>
        <v>168</v>
      </c>
      <c r="E15" s="29" t="n">
        <f aca="false">SUM(E16:E18)</f>
        <v>241.433</v>
      </c>
      <c r="F15" s="37" t="n">
        <f aca="false">SUM(F16:F18)</f>
        <v>131</v>
      </c>
      <c r="G15" s="38" t="n">
        <v>1174</v>
      </c>
      <c r="H15" s="31" t="n">
        <v>0</v>
      </c>
      <c r="I15" s="25"/>
      <c r="K15" s="39" t="s">
        <v>25</v>
      </c>
      <c r="L15" s="40" t="n">
        <f aca="false">C181+C226</f>
        <v>15</v>
      </c>
      <c r="N15" s="0"/>
      <c r="O15" s="0"/>
    </row>
    <row r="16" customFormat="false" ht="12.75" hidden="false" customHeight="false" outlineLevel="0" collapsed="false">
      <c r="A16" s="27" t="s">
        <v>371</v>
      </c>
      <c r="B16" s="43"/>
      <c r="C16" s="6"/>
      <c r="D16" s="44" t="n">
        <v>100</v>
      </c>
      <c r="E16" s="29" t="n">
        <v>186.78</v>
      </c>
      <c r="F16" s="37" t="n">
        <v>66</v>
      </c>
      <c r="G16" s="38"/>
      <c r="H16" s="31"/>
      <c r="I16" s="25"/>
      <c r="K16" s="39" t="s">
        <v>27</v>
      </c>
      <c r="L16" s="40" t="n">
        <f aca="false">C138</f>
        <v>0</v>
      </c>
      <c r="N16" s="0"/>
      <c r="O16" s="0"/>
      <c r="P16" s="0"/>
    </row>
    <row r="17" customFormat="false" ht="12.75" hidden="false" customHeight="false" outlineLevel="0" collapsed="false">
      <c r="A17" s="27" t="s">
        <v>372</v>
      </c>
      <c r="B17" s="43"/>
      <c r="C17" s="6"/>
      <c r="D17" s="44" t="n">
        <v>10</v>
      </c>
      <c r="E17" s="29" t="n">
        <v>9.353</v>
      </c>
      <c r="F17" s="37" t="n">
        <v>8</v>
      </c>
      <c r="G17" s="38"/>
      <c r="H17" s="31"/>
      <c r="I17" s="25"/>
      <c r="K17" s="39" t="s">
        <v>29</v>
      </c>
      <c r="L17" s="40" t="n">
        <f aca="false">C198+C228</f>
        <v>40</v>
      </c>
      <c r="N17" s="0"/>
      <c r="O17" s="0"/>
      <c r="P17" s="0"/>
    </row>
    <row r="18" customFormat="false" ht="12.75" hidden="false" customHeight="false" outlineLevel="0" collapsed="false">
      <c r="A18" s="27" t="s">
        <v>373</v>
      </c>
      <c r="B18" s="43"/>
      <c r="C18" s="6"/>
      <c r="D18" s="44" t="n">
        <v>58</v>
      </c>
      <c r="E18" s="29" t="n">
        <v>45.3</v>
      </c>
      <c r="F18" s="37" t="n">
        <v>57</v>
      </c>
      <c r="G18" s="38"/>
      <c r="H18" s="31"/>
      <c r="I18" s="25"/>
      <c r="K18" s="39" t="s">
        <v>31</v>
      </c>
      <c r="L18" s="40" t="n">
        <f aca="false">C199</f>
        <v>17</v>
      </c>
      <c r="N18" s="0"/>
      <c r="O18" s="0"/>
      <c r="P18" s="0"/>
    </row>
    <row r="19" customFormat="false" ht="13.5" hidden="false" customHeight="false" outlineLevel="0" collapsed="false">
      <c r="A19" s="27" t="s">
        <v>26</v>
      </c>
      <c r="B19" s="35"/>
      <c r="C19" s="35"/>
      <c r="D19" s="37" t="n">
        <f aca="false">F96-B95</f>
        <v>220.481</v>
      </c>
      <c r="E19" s="29" t="n">
        <f aca="false">Feb!D19</f>
        <v>233</v>
      </c>
      <c r="F19" s="37" t="n">
        <v>0</v>
      </c>
      <c r="G19" s="38" t="n">
        <v>0</v>
      </c>
      <c r="H19" s="31" t="n">
        <v>0</v>
      </c>
      <c r="I19" s="45"/>
      <c r="K19" s="55" t="s">
        <v>33</v>
      </c>
      <c r="L19" s="56" t="n">
        <f aca="false">C203+C231</f>
        <v>65</v>
      </c>
      <c r="N19" s="0"/>
      <c r="O19" s="0"/>
    </row>
    <row r="20" customFormat="false" ht="12.75" hidden="false" customHeight="false" outlineLevel="0" collapsed="false">
      <c r="A20" s="27" t="s">
        <v>28</v>
      </c>
      <c r="B20" s="6"/>
      <c r="C20" s="6"/>
      <c r="D20" s="46" t="n">
        <f aca="false">SUM(D7:D19)-D15</f>
        <v>1313.071</v>
      </c>
      <c r="E20" s="46" t="n">
        <f aca="false">SUM(E7:E19)-E15</f>
        <v>1494.330625</v>
      </c>
      <c r="F20" s="46" t="n">
        <f aca="false">SUM(F7:F19)-F15</f>
        <v>1140.8</v>
      </c>
      <c r="G20" s="46" t="n">
        <f aca="false">SUM(G7:G19)</f>
        <v>2334.7813</v>
      </c>
      <c r="H20" s="47" t="n">
        <f aca="false">SUM(H7:H19)</f>
        <v>733.4627</v>
      </c>
      <c r="I20" s="32"/>
      <c r="L20" s="0"/>
      <c r="N20" s="0"/>
      <c r="O20" s="48"/>
    </row>
    <row r="21" customFormat="false" ht="12.75" hidden="false" customHeight="false" outlineLevel="0" collapsed="false">
      <c r="A21" s="27" t="s">
        <v>30</v>
      </c>
      <c r="B21" s="6"/>
      <c r="C21" s="6"/>
      <c r="D21" s="49" t="n">
        <f aca="false">D32</f>
        <v>300</v>
      </c>
      <c r="E21" s="50" t="n">
        <v>-64.5161290322581</v>
      </c>
      <c r="F21" s="51" t="n">
        <v>0</v>
      </c>
      <c r="G21" s="52" t="n">
        <v>0</v>
      </c>
      <c r="H21" s="53" t="n">
        <v>0</v>
      </c>
      <c r="I21" s="25"/>
      <c r="L21" s="0"/>
      <c r="N21" s="48"/>
      <c r="O21" s="0"/>
    </row>
    <row r="22" customFormat="false" ht="12.75" hidden="false" customHeight="false" outlineLevel="0" collapsed="false">
      <c r="A22" s="27" t="s">
        <v>32</v>
      </c>
      <c r="B22" s="6"/>
      <c r="C22" s="6"/>
      <c r="D22" s="37" t="n">
        <v>2.5</v>
      </c>
      <c r="E22" s="37" t="n">
        <v>2.5</v>
      </c>
      <c r="F22" s="37" t="n">
        <v>2.5</v>
      </c>
      <c r="G22" s="54" t="n">
        <v>0</v>
      </c>
      <c r="H22" s="53" t="n">
        <v>0</v>
      </c>
      <c r="I22" s="25"/>
      <c r="L22" s="0"/>
      <c r="N22" s="0"/>
    </row>
    <row r="23" customFormat="false" ht="12.75" hidden="false" customHeight="false" outlineLevel="0" collapsed="false">
      <c r="A23" s="16"/>
      <c r="B23" s="6"/>
      <c r="C23" s="57" t="s">
        <v>34</v>
      </c>
      <c r="D23" s="46" t="n">
        <f aca="false">D22+D21+D20</f>
        <v>1615.571</v>
      </c>
      <c r="E23" s="46" t="n">
        <f aca="false">E22+E21+E20</f>
        <v>1432.31449596774</v>
      </c>
      <c r="F23" s="46" t="n">
        <f aca="false">F22+F21+F20</f>
        <v>1143.3</v>
      </c>
      <c r="G23" s="46" t="n">
        <f aca="false">G22+G21+G20</f>
        <v>2334.7813</v>
      </c>
      <c r="H23" s="58" t="n">
        <f aca="false">H22+H21+H20</f>
        <v>733.4627</v>
      </c>
      <c r="I23" s="25"/>
      <c r="L23" s="0"/>
    </row>
    <row r="24" customFormat="false" ht="12.75" hidden="false" customHeight="false" outlineLevel="0" collapsed="false">
      <c r="A24" s="27" t="s">
        <v>35</v>
      </c>
      <c r="B24" s="6"/>
      <c r="C24" s="6"/>
      <c r="D24" s="49" t="n">
        <f aca="false">D44</f>
        <v>1494.069</v>
      </c>
      <c r="E24" s="279" t="n">
        <f aca="false">Feb!D24</f>
        <v>1257.892</v>
      </c>
      <c r="F24" s="279" t="n">
        <v>1660</v>
      </c>
      <c r="G24" s="280" t="n">
        <f aca="false">D24</f>
        <v>1494.069</v>
      </c>
      <c r="H24" s="281" t="n">
        <f aca="false">D24</f>
        <v>1494.069</v>
      </c>
      <c r="I24" s="25"/>
      <c r="L24" s="0"/>
    </row>
    <row r="25" customFormat="false" ht="12.75" hidden="false" customHeight="false" outlineLevel="0" collapsed="false">
      <c r="A25" s="282" t="s">
        <v>37</v>
      </c>
      <c r="B25" s="6"/>
      <c r="C25" s="6"/>
      <c r="D25" s="49" t="n">
        <v>53.755</v>
      </c>
      <c r="E25" s="37" t="n">
        <f aca="false">Feb!D25</f>
        <v>44.4</v>
      </c>
      <c r="F25" s="37"/>
      <c r="G25" s="51"/>
      <c r="H25" s="53"/>
      <c r="I25" s="25"/>
      <c r="L25" s="0"/>
    </row>
    <row r="26" customFormat="false" ht="13.5" hidden="false" customHeight="false" outlineLevel="0" collapsed="false">
      <c r="A26" s="62"/>
      <c r="B26" s="63"/>
      <c r="C26" s="64" t="s">
        <v>36</v>
      </c>
      <c r="D26" s="65" t="n">
        <f aca="false">D24+D25-D23</f>
        <v>-67.7469999999998</v>
      </c>
      <c r="E26" s="65" t="n">
        <f aca="false">E24-E23+E25</f>
        <v>-130.022495967742</v>
      </c>
      <c r="F26" s="65" t="n">
        <f aca="false">F24-F23</f>
        <v>516.7</v>
      </c>
      <c r="G26" s="65" t="n">
        <f aca="false">+G23-G24</f>
        <v>840.7123</v>
      </c>
      <c r="H26" s="65" t="n">
        <f aca="false">+(H23-H24)</f>
        <v>-760.6063</v>
      </c>
      <c r="I26" s="32"/>
      <c r="L26" s="0"/>
    </row>
    <row r="27" customFormat="false" ht="4.5" hidden="false" customHeight="true" outlineLevel="0" collapsed="false">
      <c r="A27" s="66"/>
      <c r="B27" s="6"/>
      <c r="C27" s="67"/>
      <c r="D27" s="68"/>
      <c r="E27" s="69"/>
      <c r="F27" s="69"/>
      <c r="G27" s="70"/>
      <c r="H27" s="70"/>
      <c r="I27" s="32"/>
      <c r="K27" s="78"/>
      <c r="L27" s="79"/>
    </row>
    <row r="28" customFormat="false" ht="12.75" hidden="false" customHeight="false" outlineLevel="0" collapsed="false">
      <c r="A28" s="16"/>
      <c r="C28" s="73" t="s">
        <v>38</v>
      </c>
      <c r="D28" s="72" t="n">
        <v>0</v>
      </c>
      <c r="E28" s="69"/>
      <c r="F28" s="69"/>
      <c r="G28" s="69"/>
      <c r="H28" s="69"/>
      <c r="I28" s="32"/>
      <c r="L28" s="0"/>
    </row>
    <row r="29" customFormat="false" ht="13.5" hidden="false" customHeight="true" outlineLevel="0" collapsed="false">
      <c r="A29" s="74"/>
      <c r="B29" s="75"/>
      <c r="C29" s="76" t="s">
        <v>39</v>
      </c>
      <c r="D29" s="77" t="n">
        <f aca="false">D26+D28</f>
        <v>-67.7469999999998</v>
      </c>
      <c r="E29" s="69"/>
      <c r="F29" s="69"/>
      <c r="G29" s="69"/>
      <c r="H29" s="69"/>
      <c r="I29" s="32"/>
      <c r="J29" s="78"/>
      <c r="L29" s="0"/>
      <c r="M29" s="78"/>
      <c r="N29" s="78"/>
      <c r="O29" s="78"/>
      <c r="P29" s="78"/>
      <c r="Q29" s="78"/>
      <c r="R29" s="78"/>
      <c r="S29" s="78"/>
      <c r="T29" s="78"/>
      <c r="U29" s="78"/>
      <c r="V29" s="78"/>
      <c r="W29" s="78"/>
      <c r="X29" s="78"/>
      <c r="Y29" s="78"/>
      <c r="Z29" s="78"/>
      <c r="AA29" s="78"/>
      <c r="AB29" s="78"/>
      <c r="AC29" s="78"/>
      <c r="AD29" s="78"/>
      <c r="AE29" s="78"/>
      <c r="AF29" s="78"/>
      <c r="AG29" s="78"/>
      <c r="AH29" s="78"/>
      <c r="AI29" s="78"/>
      <c r="AJ29" s="78"/>
      <c r="AK29" s="80"/>
      <c r="AL29" s="80"/>
      <c r="AM29" s="80"/>
      <c r="AN29" s="80"/>
      <c r="AO29" s="80"/>
      <c r="AP29" s="80"/>
      <c r="AQ29" s="80"/>
      <c r="AR29" s="80"/>
      <c r="AS29" s="80"/>
      <c r="AT29" s="80"/>
      <c r="AU29" s="80"/>
      <c r="AV29" s="80"/>
      <c r="AW29" s="80"/>
      <c r="AX29" s="80"/>
      <c r="AY29" s="80"/>
      <c r="AZ29" s="80"/>
      <c r="BA29" s="80"/>
      <c r="BB29" s="80"/>
      <c r="BC29" s="80"/>
      <c r="BD29" s="80"/>
      <c r="BE29" s="80"/>
      <c r="BF29" s="80"/>
      <c r="BG29" s="80"/>
      <c r="BH29" s="80"/>
      <c r="BI29" s="80"/>
      <c r="BJ29" s="80"/>
      <c r="BK29" s="80"/>
      <c r="BL29" s="80"/>
      <c r="BM29" s="80"/>
      <c r="BN29" s="80"/>
      <c r="BO29" s="80"/>
      <c r="BP29" s="80"/>
      <c r="BQ29" s="80"/>
      <c r="BR29" s="80"/>
      <c r="BS29" s="80"/>
      <c r="BT29" s="80"/>
      <c r="BU29" s="80"/>
      <c r="BV29" s="80"/>
      <c r="BW29" s="80"/>
      <c r="BX29" s="80"/>
      <c r="BY29" s="80"/>
      <c r="BZ29" s="80"/>
      <c r="CA29" s="80"/>
      <c r="CB29" s="80"/>
      <c r="CC29" s="80"/>
      <c r="CD29" s="80"/>
      <c r="CE29" s="80"/>
      <c r="CF29" s="80"/>
      <c r="CG29" s="80"/>
      <c r="CH29" s="80"/>
      <c r="CI29" s="80"/>
      <c r="CJ29" s="80"/>
      <c r="CK29" s="80"/>
      <c r="CL29" s="80"/>
      <c r="CM29" s="80"/>
      <c r="CN29" s="80"/>
      <c r="CO29" s="80"/>
      <c r="CP29" s="80"/>
      <c r="CQ29" s="80"/>
      <c r="CR29" s="80"/>
      <c r="CS29" s="80"/>
      <c r="CT29" s="80"/>
      <c r="CU29" s="80"/>
      <c r="CV29" s="80"/>
      <c r="CW29" s="80"/>
      <c r="CX29" s="80"/>
      <c r="CY29" s="80"/>
      <c r="CZ29" s="80"/>
      <c r="DA29" s="80"/>
      <c r="DB29" s="80"/>
      <c r="DC29" s="80"/>
      <c r="DD29" s="80"/>
      <c r="DE29" s="80"/>
      <c r="DF29" s="80"/>
      <c r="DG29" s="80"/>
      <c r="DH29" s="80"/>
      <c r="DI29" s="80"/>
      <c r="DJ29" s="80"/>
      <c r="DK29" s="80"/>
      <c r="DL29" s="80"/>
      <c r="DM29" s="80"/>
      <c r="DN29" s="80"/>
      <c r="DO29" s="80"/>
      <c r="DP29" s="80"/>
      <c r="DQ29" s="80"/>
      <c r="DR29" s="80"/>
      <c r="DS29" s="80"/>
      <c r="DT29" s="80"/>
      <c r="DU29" s="80"/>
      <c r="DV29" s="80"/>
      <c r="DW29" s="80"/>
      <c r="DX29" s="80"/>
      <c r="DY29" s="80"/>
      <c r="DZ29" s="80"/>
      <c r="EA29" s="80"/>
      <c r="EB29" s="80"/>
      <c r="EC29" s="80"/>
      <c r="ED29" s="80"/>
      <c r="EE29" s="80"/>
      <c r="EF29" s="80"/>
      <c r="EG29" s="80"/>
      <c r="EH29" s="80"/>
      <c r="EI29" s="80"/>
      <c r="EJ29" s="80"/>
      <c r="EK29" s="80"/>
      <c r="EL29" s="80"/>
      <c r="EM29" s="80"/>
      <c r="EN29" s="80"/>
      <c r="EO29" s="80"/>
      <c r="EP29" s="80"/>
      <c r="EQ29" s="80"/>
      <c r="ER29" s="80"/>
      <c r="ES29" s="80"/>
      <c r="ET29" s="80"/>
      <c r="EU29" s="80"/>
      <c r="EV29" s="80"/>
      <c r="EW29" s="80"/>
      <c r="EX29" s="80"/>
      <c r="EY29" s="80"/>
      <c r="EZ29" s="80"/>
      <c r="FA29" s="80"/>
      <c r="FB29" s="80"/>
      <c r="FC29" s="80"/>
      <c r="FD29" s="80"/>
      <c r="FE29" s="80"/>
      <c r="FF29" s="80"/>
      <c r="FG29" s="80"/>
      <c r="FH29" s="80"/>
      <c r="FI29" s="80"/>
      <c r="FJ29" s="80"/>
      <c r="FK29" s="80"/>
      <c r="FL29" s="80"/>
      <c r="FM29" s="80"/>
      <c r="FN29" s="80"/>
      <c r="FO29" s="80"/>
      <c r="FP29" s="80"/>
      <c r="FQ29" s="80"/>
      <c r="FR29" s="80"/>
      <c r="FS29" s="80"/>
      <c r="FT29" s="80"/>
      <c r="FU29" s="80"/>
      <c r="FV29" s="80"/>
      <c r="FW29" s="80"/>
      <c r="FX29" s="80"/>
      <c r="FY29" s="80"/>
      <c r="FZ29" s="80"/>
      <c r="GA29" s="80"/>
      <c r="GB29" s="80"/>
      <c r="GC29" s="80"/>
      <c r="GD29" s="80"/>
      <c r="GE29" s="80"/>
      <c r="GF29" s="80"/>
      <c r="GG29" s="80"/>
      <c r="GH29" s="80"/>
      <c r="GI29" s="80"/>
      <c r="GJ29" s="80"/>
      <c r="GK29" s="80"/>
      <c r="GL29" s="80"/>
      <c r="GM29" s="80"/>
      <c r="GN29" s="80"/>
      <c r="GO29" s="80"/>
      <c r="GP29" s="80"/>
      <c r="GQ29" s="80"/>
      <c r="GR29" s="80"/>
      <c r="GS29" s="80"/>
      <c r="GT29" s="80"/>
      <c r="GU29" s="80"/>
      <c r="GV29" s="80"/>
      <c r="GW29" s="80"/>
      <c r="GX29" s="80"/>
      <c r="GY29" s="80"/>
      <c r="GZ29" s="80"/>
      <c r="HA29" s="80"/>
      <c r="HB29" s="80"/>
      <c r="HC29" s="80"/>
      <c r="HD29" s="80"/>
      <c r="HE29" s="80"/>
      <c r="HF29" s="80"/>
      <c r="HG29" s="80"/>
      <c r="HH29" s="80"/>
      <c r="HI29" s="80"/>
      <c r="HJ29" s="80"/>
      <c r="HK29" s="80"/>
      <c r="HL29" s="80"/>
      <c r="HM29" s="80"/>
      <c r="HN29" s="80"/>
      <c r="HO29" s="80"/>
      <c r="HP29" s="80"/>
      <c r="HQ29" s="80"/>
      <c r="HR29" s="80"/>
      <c r="HS29" s="80"/>
      <c r="HT29" s="80"/>
      <c r="HU29" s="80"/>
      <c r="HV29" s="80"/>
      <c r="HW29" s="80"/>
      <c r="HX29" s="80"/>
      <c r="HY29" s="80"/>
      <c r="HZ29" s="80"/>
      <c r="IA29" s="80"/>
      <c r="IB29" s="80"/>
      <c r="IC29" s="80"/>
      <c r="ID29" s="80"/>
      <c r="IE29" s="80"/>
      <c r="IF29" s="80"/>
      <c r="IG29" s="80"/>
      <c r="IH29" s="80"/>
      <c r="II29" s="80"/>
      <c r="IJ29" s="80"/>
      <c r="IK29" s="80"/>
      <c r="IL29" s="80"/>
      <c r="IM29" s="80"/>
      <c r="IN29" s="80"/>
      <c r="IO29" s="80"/>
      <c r="IP29" s="80"/>
      <c r="IQ29" s="80"/>
      <c r="IR29" s="80"/>
      <c r="IS29" s="80"/>
      <c r="IT29" s="80"/>
      <c r="IU29" s="80"/>
      <c r="IV29" s="80"/>
      <c r="IW29" s="80"/>
    </row>
    <row r="30" customFormat="false" ht="8.25" hidden="false" customHeight="true" outlineLevel="0" collapsed="false">
      <c r="A30" s="81"/>
      <c r="B30" s="82"/>
      <c r="C30" s="83"/>
      <c r="D30" s="84"/>
      <c r="E30" s="6"/>
      <c r="F30" s="6"/>
      <c r="G30" s="85"/>
      <c r="H30" s="86"/>
      <c r="I30" s="87"/>
      <c r="K30" s="0"/>
    </row>
    <row r="31" customFormat="false" ht="13.5" hidden="false" customHeight="false" outlineLevel="0" collapsed="false">
      <c r="A31" s="88" t="s">
        <v>376</v>
      </c>
      <c r="B31" s="88"/>
      <c r="C31" s="88"/>
      <c r="D31" s="88"/>
      <c r="E31" s="89" t="s">
        <v>41</v>
      </c>
      <c r="F31" s="89"/>
      <c r="G31" s="89"/>
      <c r="H31" s="89"/>
      <c r="I31" s="90" t="s">
        <v>42</v>
      </c>
      <c r="J31" s="90"/>
      <c r="K31" s="109"/>
      <c r="L31" s="109"/>
    </row>
    <row r="32" customFormat="false" ht="13.5" hidden="false" customHeight="false" outlineLevel="0" collapsed="false">
      <c r="A32" s="27" t="s">
        <v>43</v>
      </c>
      <c r="B32" s="85"/>
      <c r="C32" s="85"/>
      <c r="D32" s="268" t="n">
        <f aca="false">B33/31</f>
        <v>300</v>
      </c>
      <c r="E32" s="92" t="s">
        <v>44</v>
      </c>
      <c r="F32" s="92"/>
      <c r="G32" s="90" t="s">
        <v>45</v>
      </c>
      <c r="H32" s="90"/>
      <c r="I32" s="93" t="s">
        <v>46</v>
      </c>
      <c r="J32" s="94" t="s">
        <v>47</v>
      </c>
      <c r="K32" s="112"/>
      <c r="L32" s="112"/>
    </row>
    <row r="33" customFormat="false" ht="13.5" hidden="false" customHeight="false" outlineLevel="0" collapsed="false">
      <c r="A33" s="16" t="s">
        <v>48</v>
      </c>
      <c r="B33" s="95" t="n">
        <v>9300</v>
      </c>
      <c r="C33" s="0" t="s">
        <v>49</v>
      </c>
      <c r="D33" s="96"/>
      <c r="E33" s="269" t="s">
        <v>422</v>
      </c>
      <c r="F33" s="270" t="n">
        <v>13.5</v>
      </c>
      <c r="G33" s="99" t="s">
        <v>102</v>
      </c>
      <c r="H33" s="100" t="n">
        <v>4</v>
      </c>
      <c r="I33" s="101" t="n">
        <f aca="false">7.5+20+10+20+15+20+5</f>
        <v>97.5</v>
      </c>
      <c r="J33" s="102" t="n">
        <f aca="false">95-10+5</f>
        <v>90</v>
      </c>
      <c r="K33" s="87"/>
      <c r="L33" s="87"/>
    </row>
    <row r="34" customFormat="false" ht="13.5" hidden="false" customHeight="false" outlineLevel="0" collapsed="false">
      <c r="A34" s="16" t="s">
        <v>52</v>
      </c>
      <c r="B34" s="103" t="n">
        <v>0</v>
      </c>
      <c r="C34" s="6"/>
      <c r="D34" s="104"/>
      <c r="E34" s="269" t="s">
        <v>58</v>
      </c>
      <c r="F34" s="98" t="n">
        <v>2</v>
      </c>
      <c r="G34" s="99"/>
      <c r="H34" s="100"/>
      <c r="I34" s="283" t="s">
        <v>55</v>
      </c>
      <c r="J34" s="108" t="n">
        <f aca="false">+I33-J33</f>
        <v>7.5</v>
      </c>
      <c r="K34" s="0"/>
      <c r="L34" s="0"/>
    </row>
    <row r="35" customFormat="false" ht="13.5" hidden="false" customHeight="false" outlineLevel="0" collapsed="false">
      <c r="A35" s="110"/>
      <c r="B35" s="63"/>
      <c r="C35" s="63"/>
      <c r="D35" s="111"/>
      <c r="E35" s="117" t="s">
        <v>423</v>
      </c>
      <c r="F35" s="118" t="n">
        <v>0.45</v>
      </c>
      <c r="G35" s="99"/>
      <c r="H35" s="100"/>
      <c r="I35" s="0"/>
      <c r="J35" s="0"/>
      <c r="K35" s="0"/>
      <c r="L35" s="0"/>
    </row>
    <row r="36" customFormat="false" ht="13.5" hidden="false" customHeight="false" outlineLevel="0" collapsed="false">
      <c r="A36" s="113"/>
      <c r="B36" s="114"/>
      <c r="C36" s="114"/>
      <c r="D36" s="115"/>
      <c r="E36" s="99" t="s">
        <v>133</v>
      </c>
      <c r="F36" s="100" t="n">
        <v>10</v>
      </c>
      <c r="G36" s="99"/>
      <c r="H36" s="100"/>
      <c r="I36" s="90" t="s">
        <v>60</v>
      </c>
      <c r="J36" s="90"/>
      <c r="K36" s="126"/>
      <c r="L36" s="0"/>
    </row>
    <row r="37" customFormat="false" ht="13.5" hidden="false" customHeight="false" outlineLevel="0" collapsed="false">
      <c r="A37" s="116" t="s">
        <v>61</v>
      </c>
      <c r="B37" s="116"/>
      <c r="C37" s="116"/>
      <c r="D37" s="116"/>
      <c r="E37" s="269" t="s">
        <v>424</v>
      </c>
      <c r="F37" s="98" t="n">
        <v>10</v>
      </c>
      <c r="G37" s="119"/>
      <c r="H37" s="120"/>
      <c r="I37" s="93" t="s">
        <v>64</v>
      </c>
      <c r="J37" s="94" t="s">
        <v>65</v>
      </c>
      <c r="K37" s="126"/>
      <c r="L37" s="0"/>
    </row>
    <row r="38" customFormat="false" ht="13.5" hidden="false" customHeight="false" outlineLevel="0" collapsed="false">
      <c r="A38" s="27"/>
      <c r="B38" s="6"/>
      <c r="C38" s="6"/>
      <c r="D38" s="121"/>
      <c r="E38" s="117" t="s">
        <v>109</v>
      </c>
      <c r="F38" s="118" t="n">
        <v>6</v>
      </c>
      <c r="G38" s="119"/>
      <c r="H38" s="120"/>
      <c r="I38" s="284" t="n">
        <v>0</v>
      </c>
      <c r="J38" s="123" t="n">
        <f aca="false">25+10-30+20+10</f>
        <v>35</v>
      </c>
      <c r="K38" s="126"/>
      <c r="L38" s="0"/>
    </row>
    <row r="39" customFormat="false" ht="13.5" hidden="false" customHeight="false" outlineLevel="0" collapsed="false">
      <c r="A39" s="27" t="s">
        <v>67</v>
      </c>
      <c r="B39" s="6"/>
      <c r="C39" s="6"/>
      <c r="D39" s="124" t="n">
        <f aca="false">K208/1000</f>
        <v>89.805</v>
      </c>
      <c r="E39" s="117"/>
      <c r="F39" s="118"/>
      <c r="G39" s="119"/>
      <c r="H39" s="120"/>
      <c r="I39" s="125" t="s">
        <v>68</v>
      </c>
      <c r="J39" s="94" t="s">
        <v>69</v>
      </c>
      <c r="K39" s="0"/>
      <c r="L39" s="0"/>
    </row>
    <row r="40" customFormat="false" ht="13.5" hidden="false" customHeight="false" outlineLevel="0" collapsed="false">
      <c r="A40" s="27" t="s">
        <v>70</v>
      </c>
      <c r="B40" s="6"/>
      <c r="C40" s="6"/>
      <c r="D40" s="121" t="n">
        <f aca="false">L96</f>
        <v>692.758</v>
      </c>
      <c r="E40" s="117"/>
      <c r="F40" s="118"/>
      <c r="G40" s="127"/>
      <c r="H40" s="128"/>
      <c r="I40" s="129" t="n">
        <f aca="false">40+25+30</f>
        <v>95</v>
      </c>
      <c r="J40" s="285" t="n">
        <v>0</v>
      </c>
      <c r="K40" s="0"/>
      <c r="L40" s="0"/>
    </row>
    <row r="41" customFormat="false" ht="13.5" hidden="false" customHeight="false" outlineLevel="0" collapsed="false">
      <c r="A41" s="27" t="s">
        <v>71</v>
      </c>
      <c r="B41" s="6"/>
      <c r="C41" s="6"/>
      <c r="D41" s="318" t="n">
        <v>40</v>
      </c>
      <c r="E41" s="117"/>
      <c r="F41" s="118"/>
      <c r="G41" s="127"/>
      <c r="H41" s="128"/>
      <c r="I41" s="287" t="s">
        <v>72</v>
      </c>
      <c r="J41" s="108" t="n">
        <f aca="false">J34+I38+J38+I40+J40</f>
        <v>137.5</v>
      </c>
      <c r="K41" s="0"/>
      <c r="L41" s="0"/>
    </row>
    <row r="42" customFormat="false" ht="13.5" hidden="false" customHeight="false" outlineLevel="0" collapsed="false">
      <c r="A42" s="27" t="s">
        <v>73</v>
      </c>
      <c r="B42" s="6"/>
      <c r="C42" s="6"/>
      <c r="D42" s="319" t="n">
        <v>671.506</v>
      </c>
      <c r="E42" s="117"/>
      <c r="F42" s="118"/>
      <c r="G42" s="6"/>
      <c r="H42" s="7"/>
      <c r="K42" s="0"/>
      <c r="L42" s="0"/>
    </row>
    <row r="43" customFormat="false" ht="13.5" hidden="false" customHeight="false" outlineLevel="0" collapsed="false">
      <c r="A43" s="27"/>
      <c r="B43" s="6"/>
      <c r="C43" s="6"/>
      <c r="D43" s="121"/>
      <c r="E43" s="117"/>
      <c r="F43" s="118"/>
      <c r="G43" s="6"/>
      <c r="H43" s="7"/>
      <c r="I43" s="90" t="s">
        <v>74</v>
      </c>
      <c r="J43" s="90"/>
      <c r="K43" s="0"/>
      <c r="L43" s="0"/>
    </row>
    <row r="44" customFormat="false" ht="13.5" hidden="false" customHeight="false" outlineLevel="0" collapsed="false">
      <c r="A44" s="62"/>
      <c r="B44" s="134" t="s">
        <v>75</v>
      </c>
      <c r="C44" s="135" t="str">
        <f aca="false">+F5</f>
        <v>Mar</v>
      </c>
      <c r="D44" s="136" t="n">
        <f aca="false">SUM(D39:D42)</f>
        <v>1494.069</v>
      </c>
      <c r="E44" s="137" t="s">
        <v>76</v>
      </c>
      <c r="F44" s="136" t="n">
        <f aca="false">SUM(F33:F42)</f>
        <v>41.95</v>
      </c>
      <c r="G44" s="137" t="s">
        <v>76</v>
      </c>
      <c r="H44" s="136" t="n">
        <f aca="false">SUM(H33:H43)</f>
        <v>4</v>
      </c>
      <c r="I44" s="0"/>
      <c r="J44" s="320" t="n">
        <v>15</v>
      </c>
      <c r="K44" s="0"/>
      <c r="L44" s="0"/>
    </row>
    <row r="45" customFormat="false" ht="12.75" hidden="false" customHeight="false" outlineLevel="0" collapsed="false"/>
    <row r="46" customFormat="false" ht="12.75" hidden="false" customHeight="false" outlineLevel="0" collapsed="false">
      <c r="A46" s="138" t="s">
        <v>77</v>
      </c>
      <c r="B46" s="138"/>
      <c r="C46" s="138"/>
      <c r="D46" s="138"/>
      <c r="E46" s="139"/>
      <c r="F46" s="140"/>
      <c r="G46" s="93" t="s">
        <v>78</v>
      </c>
      <c r="H46" s="93"/>
      <c r="I46" s="93"/>
      <c r="J46" s="93"/>
      <c r="K46" s="93"/>
      <c r="L46" s="93"/>
    </row>
    <row r="47" customFormat="false" ht="12" hidden="false" customHeight="false" outlineLevel="0" collapsed="false">
      <c r="A47" s="141" t="s">
        <v>80</v>
      </c>
      <c r="B47" s="141"/>
      <c r="C47" s="142" t="s">
        <v>81</v>
      </c>
      <c r="D47" s="142"/>
      <c r="E47" s="143" t="s">
        <v>82</v>
      </c>
      <c r="F47" s="143"/>
      <c r="G47" s="144"/>
      <c r="H47" s="142"/>
      <c r="I47" s="142" t="s">
        <v>81</v>
      </c>
      <c r="J47" s="142"/>
      <c r="K47" s="143" t="s">
        <v>82</v>
      </c>
      <c r="L47" s="143"/>
    </row>
    <row r="48" customFormat="false" ht="12" hidden="false" customHeight="false" outlineLevel="0" collapsed="false">
      <c r="A48" s="145" t="s">
        <v>84</v>
      </c>
      <c r="B48" s="321" t="n">
        <v>0.2</v>
      </c>
      <c r="C48" s="147" t="s">
        <v>85</v>
      </c>
      <c r="D48" s="321" t="n">
        <v>10</v>
      </c>
      <c r="E48" s="147" t="s">
        <v>425</v>
      </c>
      <c r="F48" s="321" t="n">
        <v>5</v>
      </c>
      <c r="G48" s="149"/>
      <c r="H48" s="150"/>
      <c r="I48" s="147" t="s">
        <v>87</v>
      </c>
      <c r="J48" s="322" t="n">
        <v>40</v>
      </c>
      <c r="K48" s="147" t="s">
        <v>88</v>
      </c>
      <c r="L48" s="323" t="n">
        <v>20</v>
      </c>
    </row>
    <row r="49" customFormat="false" ht="12" hidden="false" customHeight="false" outlineLevel="0" collapsed="false">
      <c r="A49" s="145" t="s">
        <v>89</v>
      </c>
      <c r="B49" s="321" t="n">
        <v>0.212</v>
      </c>
      <c r="C49" s="147" t="s">
        <v>15</v>
      </c>
      <c r="D49" s="321" t="n">
        <v>5</v>
      </c>
      <c r="E49" s="147" t="s">
        <v>425</v>
      </c>
      <c r="F49" s="323" t="n">
        <v>5</v>
      </c>
      <c r="G49" s="149"/>
      <c r="H49" s="150"/>
      <c r="I49" s="153" t="s">
        <v>91</v>
      </c>
      <c r="J49" s="324" t="n">
        <v>20</v>
      </c>
      <c r="K49" s="147" t="s">
        <v>385</v>
      </c>
      <c r="L49" s="323" t="n">
        <v>10</v>
      </c>
    </row>
    <row r="50" customFormat="false" ht="12" hidden="false" customHeight="false" outlineLevel="0" collapsed="false">
      <c r="A50" s="145" t="s">
        <v>92</v>
      </c>
      <c r="B50" s="321" t="n">
        <v>0.048</v>
      </c>
      <c r="C50" s="147" t="s">
        <v>110</v>
      </c>
      <c r="D50" s="321" t="n">
        <v>60</v>
      </c>
      <c r="E50" s="147" t="s">
        <v>425</v>
      </c>
      <c r="F50" s="323" t="n">
        <v>10</v>
      </c>
      <c r="G50" s="149"/>
      <c r="H50" s="150"/>
      <c r="I50" s="153" t="s">
        <v>94</v>
      </c>
      <c r="J50" s="321" t="n">
        <v>20</v>
      </c>
      <c r="K50" s="147" t="s">
        <v>113</v>
      </c>
      <c r="L50" s="323" t="n">
        <v>15</v>
      </c>
    </row>
    <row r="51" customFormat="false" ht="12" hidden="false" customHeight="false" outlineLevel="0" collapsed="false">
      <c r="A51" s="145" t="s">
        <v>101</v>
      </c>
      <c r="B51" s="321" t="n">
        <v>0.048</v>
      </c>
      <c r="C51" s="147" t="s">
        <v>128</v>
      </c>
      <c r="D51" s="321" t="n">
        <v>2</v>
      </c>
      <c r="E51" s="147" t="s">
        <v>425</v>
      </c>
      <c r="F51" s="323" t="n">
        <v>10</v>
      </c>
      <c r="G51" s="149"/>
      <c r="H51" s="150"/>
      <c r="I51" s="153" t="s">
        <v>99</v>
      </c>
      <c r="J51" s="321" t="n">
        <v>20</v>
      </c>
      <c r="K51" s="147" t="s">
        <v>387</v>
      </c>
      <c r="L51" s="323" t="n">
        <v>20</v>
      </c>
    </row>
    <row r="52" customFormat="false" ht="12" hidden="false" customHeight="false" outlineLevel="0" collapsed="false">
      <c r="A52" s="145" t="s">
        <v>109</v>
      </c>
      <c r="B52" s="325" t="n">
        <f aca="false">5+2.1+2-5</f>
        <v>4.1</v>
      </c>
      <c r="C52" s="147"/>
      <c r="D52" s="146"/>
      <c r="E52" s="147" t="s">
        <v>426</v>
      </c>
      <c r="F52" s="323" t="n">
        <v>10</v>
      </c>
      <c r="G52" s="149"/>
      <c r="H52" s="150"/>
      <c r="I52" s="153" t="s">
        <v>427</v>
      </c>
      <c r="J52" s="321" t="n">
        <v>15</v>
      </c>
      <c r="K52" s="147" t="s">
        <v>428</v>
      </c>
      <c r="L52" s="323" t="n">
        <v>5</v>
      </c>
    </row>
    <row r="53" customFormat="false" ht="12" hidden="false" customHeight="false" outlineLevel="0" collapsed="false">
      <c r="A53" s="145" t="s">
        <v>105</v>
      </c>
      <c r="B53" s="146" t="n">
        <v>0.75</v>
      </c>
      <c r="C53" s="147"/>
      <c r="D53" s="146"/>
      <c r="E53" s="147"/>
      <c r="F53" s="152"/>
      <c r="G53" s="149"/>
      <c r="H53" s="150"/>
      <c r="I53" s="153" t="s">
        <v>112</v>
      </c>
      <c r="J53" s="321" t="n">
        <v>2</v>
      </c>
      <c r="K53" s="147" t="s">
        <v>429</v>
      </c>
      <c r="L53" s="323" t="n">
        <v>15</v>
      </c>
    </row>
    <row r="54" customFormat="false" ht="12" hidden="false" customHeight="false" outlineLevel="0" collapsed="false">
      <c r="A54" s="145"/>
      <c r="B54" s="146"/>
      <c r="C54" s="147"/>
      <c r="D54" s="146"/>
      <c r="E54" s="147"/>
      <c r="F54" s="152"/>
      <c r="G54" s="149"/>
      <c r="H54" s="150"/>
      <c r="I54" s="153" t="s">
        <v>115</v>
      </c>
      <c r="J54" s="321" t="n">
        <v>30</v>
      </c>
      <c r="K54" s="147" t="s">
        <v>430</v>
      </c>
      <c r="L54" s="323" t="n">
        <v>20</v>
      </c>
    </row>
    <row r="55" customFormat="false" ht="12" hidden="false" customHeight="false" outlineLevel="0" collapsed="false">
      <c r="A55" s="145"/>
      <c r="B55" s="146"/>
      <c r="C55" s="147"/>
      <c r="D55" s="146"/>
      <c r="E55" s="147"/>
      <c r="F55" s="152"/>
      <c r="G55" s="149"/>
      <c r="H55" s="150"/>
      <c r="I55" s="153" t="s">
        <v>117</v>
      </c>
      <c r="J55" s="321" t="n">
        <v>5</v>
      </c>
      <c r="K55" s="147" t="s">
        <v>403</v>
      </c>
      <c r="L55" s="323" t="n">
        <v>10</v>
      </c>
    </row>
    <row r="56" customFormat="false" ht="12" hidden="false" customHeight="false" outlineLevel="0" collapsed="false">
      <c r="A56" s="149"/>
      <c r="B56" s="150"/>
      <c r="C56" s="147"/>
      <c r="D56" s="146"/>
      <c r="E56" s="326" t="n">
        <v>36579</v>
      </c>
      <c r="F56" s="327"/>
      <c r="G56" s="149"/>
      <c r="H56" s="150"/>
      <c r="I56" s="153" t="s">
        <v>121</v>
      </c>
      <c r="J56" s="321" t="n">
        <v>20</v>
      </c>
      <c r="K56" s="147" t="s">
        <v>431</v>
      </c>
      <c r="L56" s="323" t="n">
        <v>20</v>
      </c>
    </row>
    <row r="57" customFormat="false" ht="12" hidden="false" customHeight="false" outlineLevel="0" collapsed="false">
      <c r="A57" s="149"/>
      <c r="B57" s="150"/>
      <c r="C57" s="147"/>
      <c r="D57" s="146"/>
      <c r="E57" s="147" t="s">
        <v>425</v>
      </c>
      <c r="F57" s="321" t="n">
        <v>5</v>
      </c>
      <c r="G57" s="149"/>
      <c r="H57" s="150"/>
      <c r="I57" s="153" t="s">
        <v>432</v>
      </c>
      <c r="J57" s="321" t="n">
        <v>31</v>
      </c>
      <c r="K57" s="147" t="s">
        <v>433</v>
      </c>
      <c r="L57" s="323" t="n">
        <v>15</v>
      </c>
    </row>
    <row r="58" customFormat="false" ht="12" hidden="false" customHeight="false" outlineLevel="0" collapsed="false">
      <c r="A58" s="149"/>
      <c r="B58" s="150"/>
      <c r="C58" s="147"/>
      <c r="D58" s="146"/>
      <c r="E58" s="147" t="s">
        <v>434</v>
      </c>
      <c r="F58" s="321" t="n">
        <v>5</v>
      </c>
      <c r="G58" s="149"/>
      <c r="H58" s="150"/>
      <c r="I58" s="153"/>
      <c r="J58" s="146"/>
      <c r="K58" s="147" t="s">
        <v>283</v>
      </c>
      <c r="L58" s="323" t="n">
        <v>10</v>
      </c>
    </row>
    <row r="59" customFormat="false" ht="12" hidden="false" customHeight="false" outlineLevel="0" collapsed="false">
      <c r="A59" s="149"/>
      <c r="B59" s="150"/>
      <c r="C59" s="147"/>
      <c r="D59" s="146"/>
      <c r="E59" s="147" t="s">
        <v>435</v>
      </c>
      <c r="F59" s="328" t="n">
        <v>5</v>
      </c>
      <c r="G59" s="149"/>
      <c r="H59" s="150"/>
      <c r="I59" s="153"/>
      <c r="J59" s="146"/>
      <c r="K59" s="147" t="s">
        <v>95</v>
      </c>
      <c r="L59" s="323" t="n">
        <v>25</v>
      </c>
    </row>
    <row r="60" customFormat="false" ht="12" hidden="false" customHeight="false" outlineLevel="0" collapsed="false">
      <c r="A60" s="162"/>
      <c r="B60" s="163"/>
      <c r="C60" s="147"/>
      <c r="D60" s="146"/>
      <c r="E60" s="147" t="s">
        <v>420</v>
      </c>
      <c r="F60" s="328" t="n">
        <v>1.314</v>
      </c>
      <c r="G60" s="149"/>
      <c r="H60" s="150"/>
      <c r="I60" s="147"/>
      <c r="J60" s="146"/>
      <c r="K60" s="147" t="s">
        <v>108</v>
      </c>
      <c r="L60" s="323" t="n">
        <v>5</v>
      </c>
    </row>
    <row r="61" customFormat="false" ht="12" hidden="false" customHeight="false" outlineLevel="0" collapsed="false">
      <c r="A61" s="162"/>
      <c r="B61" s="163"/>
      <c r="C61" s="147"/>
      <c r="D61" s="146"/>
      <c r="E61" s="147" t="s">
        <v>111</v>
      </c>
      <c r="F61" s="328" t="n">
        <v>20</v>
      </c>
      <c r="G61" s="149"/>
      <c r="H61" s="150"/>
      <c r="I61" s="147"/>
      <c r="J61" s="146"/>
      <c r="K61" s="326" t="n">
        <v>36579</v>
      </c>
      <c r="L61" s="327"/>
    </row>
    <row r="62" customFormat="false" ht="12" hidden="false" customHeight="false" outlineLevel="0" collapsed="false">
      <c r="A62" s="162"/>
      <c r="B62" s="163"/>
      <c r="C62" s="147"/>
      <c r="D62" s="146"/>
      <c r="E62" s="147"/>
      <c r="F62" s="160"/>
      <c r="G62" s="149"/>
      <c r="H62" s="150"/>
      <c r="I62" s="147"/>
      <c r="J62" s="146"/>
      <c r="K62" s="147" t="s">
        <v>88</v>
      </c>
      <c r="L62" s="323" t="n">
        <v>10</v>
      </c>
    </row>
    <row r="63" customFormat="false" ht="12" hidden="false" customHeight="false" outlineLevel="0" collapsed="false">
      <c r="A63" s="162"/>
      <c r="B63" s="163"/>
      <c r="C63" s="147"/>
      <c r="D63" s="146"/>
      <c r="E63" s="326" t="n">
        <v>36580</v>
      </c>
      <c r="F63" s="327"/>
      <c r="G63" s="149"/>
      <c r="H63" s="150"/>
      <c r="I63" s="147"/>
      <c r="J63" s="146"/>
      <c r="K63" s="147" t="s">
        <v>102</v>
      </c>
      <c r="L63" s="323" t="n">
        <v>2.178</v>
      </c>
    </row>
    <row r="64" customFormat="false" ht="12" hidden="false" customHeight="false" outlineLevel="0" collapsed="false">
      <c r="A64" s="162"/>
      <c r="B64" s="163"/>
      <c r="C64" s="147"/>
      <c r="D64" s="146"/>
      <c r="E64" s="147"/>
      <c r="F64" s="160" t="n">
        <v>5</v>
      </c>
      <c r="G64" s="149"/>
      <c r="H64" s="150"/>
      <c r="I64" s="147"/>
      <c r="J64" s="146"/>
      <c r="K64" s="147" t="s">
        <v>387</v>
      </c>
      <c r="L64" s="323" t="n">
        <v>30</v>
      </c>
    </row>
    <row r="65" customFormat="false" ht="12" hidden="false" customHeight="false" outlineLevel="0" collapsed="false">
      <c r="A65" s="162"/>
      <c r="B65" s="163"/>
      <c r="C65" s="147"/>
      <c r="D65" s="146"/>
      <c r="E65" s="147"/>
      <c r="F65" s="160"/>
      <c r="G65" s="149"/>
      <c r="H65" s="150"/>
      <c r="I65" s="147"/>
      <c r="J65" s="146"/>
      <c r="K65" s="147" t="s">
        <v>387</v>
      </c>
      <c r="L65" s="323" t="n">
        <v>30</v>
      </c>
    </row>
    <row r="66" customFormat="false" ht="12" hidden="false" customHeight="false" outlineLevel="0" collapsed="false">
      <c r="A66" s="162"/>
      <c r="B66" s="163"/>
      <c r="C66" s="147"/>
      <c r="D66" s="146"/>
      <c r="E66" s="147"/>
      <c r="F66" s="160"/>
      <c r="G66" s="149"/>
      <c r="H66" s="150"/>
      <c r="I66" s="147"/>
      <c r="J66" s="146"/>
      <c r="K66" s="147" t="s">
        <v>387</v>
      </c>
      <c r="L66" s="323" t="n">
        <v>15</v>
      </c>
    </row>
    <row r="67" customFormat="false" ht="12" hidden="false" customHeight="false" outlineLevel="0" collapsed="false">
      <c r="A67" s="162"/>
      <c r="B67" s="163"/>
      <c r="C67" s="147"/>
      <c r="D67" s="146"/>
      <c r="E67" s="147"/>
      <c r="F67" s="160"/>
      <c r="G67" s="149"/>
      <c r="H67" s="150"/>
      <c r="I67" s="147"/>
      <c r="J67" s="146"/>
      <c r="K67" s="147" t="s">
        <v>426</v>
      </c>
      <c r="L67" s="323" t="n">
        <v>10</v>
      </c>
    </row>
    <row r="68" customFormat="false" ht="12" hidden="false" customHeight="false" outlineLevel="0" collapsed="false">
      <c r="A68" s="162"/>
      <c r="B68" s="163"/>
      <c r="C68" s="147"/>
      <c r="D68" s="146"/>
      <c r="E68" s="147"/>
      <c r="F68" s="160"/>
      <c r="G68" s="149"/>
      <c r="H68" s="150"/>
      <c r="I68" s="147"/>
      <c r="J68" s="146"/>
      <c r="K68" s="147" t="s">
        <v>429</v>
      </c>
      <c r="L68" s="323" t="n">
        <v>10</v>
      </c>
    </row>
    <row r="69" customFormat="false" ht="12" hidden="false" customHeight="false" outlineLevel="0" collapsed="false">
      <c r="A69" s="162"/>
      <c r="B69" s="163"/>
      <c r="C69" s="147"/>
      <c r="D69" s="146"/>
      <c r="E69" s="147"/>
      <c r="F69" s="160"/>
      <c r="G69" s="149"/>
      <c r="H69" s="150"/>
      <c r="I69" s="147"/>
      <c r="J69" s="146"/>
      <c r="K69" s="147" t="s">
        <v>436</v>
      </c>
      <c r="L69" s="323" t="n">
        <v>5</v>
      </c>
    </row>
    <row r="70" customFormat="false" ht="12" hidden="false" customHeight="false" outlineLevel="0" collapsed="false">
      <c r="A70" s="162"/>
      <c r="B70" s="163"/>
      <c r="C70" s="147"/>
      <c r="D70" s="146"/>
      <c r="E70" s="147"/>
      <c r="F70" s="160"/>
      <c r="G70" s="149"/>
      <c r="H70" s="150"/>
      <c r="I70" s="147"/>
      <c r="J70" s="146"/>
      <c r="K70" s="147" t="s">
        <v>398</v>
      </c>
      <c r="L70" s="323" t="n">
        <v>10</v>
      </c>
    </row>
    <row r="71" customFormat="false" ht="12" hidden="false" customHeight="false" outlineLevel="0" collapsed="false">
      <c r="A71" s="162"/>
      <c r="B71" s="163"/>
      <c r="C71" s="147"/>
      <c r="D71" s="146"/>
      <c r="E71" s="147"/>
      <c r="F71" s="160"/>
      <c r="G71" s="149"/>
      <c r="H71" s="150"/>
      <c r="I71" s="147"/>
      <c r="J71" s="146"/>
      <c r="K71" s="147" t="s">
        <v>400</v>
      </c>
      <c r="L71" s="323" t="n">
        <v>50</v>
      </c>
    </row>
    <row r="72" customFormat="false" ht="12" hidden="false" customHeight="false" outlineLevel="0" collapsed="false">
      <c r="A72" s="162"/>
      <c r="B72" s="163"/>
      <c r="C72" s="147"/>
      <c r="D72" s="146"/>
      <c r="E72" s="147"/>
      <c r="F72" s="160"/>
      <c r="G72" s="149"/>
      <c r="H72" s="150"/>
      <c r="I72" s="147"/>
      <c r="J72" s="146"/>
      <c r="K72" s="147" t="s">
        <v>100</v>
      </c>
      <c r="L72" s="323" t="n">
        <v>5</v>
      </c>
    </row>
    <row r="73" customFormat="false" ht="12" hidden="false" customHeight="false" outlineLevel="0" collapsed="false">
      <c r="A73" s="162"/>
      <c r="B73" s="163"/>
      <c r="C73" s="147"/>
      <c r="D73" s="146"/>
      <c r="E73" s="147"/>
      <c r="F73" s="160"/>
      <c r="G73" s="149"/>
      <c r="H73" s="150"/>
      <c r="I73" s="147"/>
      <c r="J73" s="146"/>
      <c r="K73" s="147" t="s">
        <v>351</v>
      </c>
      <c r="L73" s="323" t="n">
        <v>19.6</v>
      </c>
    </row>
    <row r="74" customFormat="false" ht="12" hidden="false" customHeight="false" outlineLevel="0" collapsed="false">
      <c r="A74" s="162"/>
      <c r="B74" s="163"/>
      <c r="C74" s="147"/>
      <c r="D74" s="146"/>
      <c r="E74" s="147"/>
      <c r="F74" s="160"/>
      <c r="G74" s="149"/>
      <c r="H74" s="150"/>
      <c r="I74" s="147"/>
      <c r="J74" s="146"/>
      <c r="K74" s="147" t="s">
        <v>383</v>
      </c>
      <c r="L74" s="323" t="n">
        <v>3.3</v>
      </c>
    </row>
    <row r="75" customFormat="false" ht="12" hidden="false" customHeight="false" outlineLevel="0" collapsed="false">
      <c r="A75" s="162"/>
      <c r="B75" s="163"/>
      <c r="C75" s="147"/>
      <c r="D75" s="146"/>
      <c r="E75" s="147"/>
      <c r="F75" s="160"/>
      <c r="G75" s="149"/>
      <c r="H75" s="150"/>
      <c r="I75" s="147"/>
      <c r="J75" s="146"/>
      <c r="K75" s="147" t="s">
        <v>391</v>
      </c>
      <c r="L75" s="323" t="n">
        <v>0.43</v>
      </c>
    </row>
    <row r="76" customFormat="false" ht="12" hidden="false" customHeight="false" outlineLevel="0" collapsed="false">
      <c r="A76" s="162"/>
      <c r="B76" s="163"/>
      <c r="C76" s="147"/>
      <c r="D76" s="146"/>
      <c r="E76" s="147"/>
      <c r="F76" s="160"/>
      <c r="G76" s="149"/>
      <c r="H76" s="150"/>
      <c r="I76" s="147"/>
      <c r="J76" s="146"/>
      <c r="K76" s="147" t="s">
        <v>111</v>
      </c>
      <c r="L76" s="323" t="n">
        <v>20</v>
      </c>
    </row>
    <row r="77" customFormat="false" ht="12" hidden="false" customHeight="false" outlineLevel="0" collapsed="false">
      <c r="A77" s="162"/>
      <c r="B77" s="163"/>
      <c r="C77" s="147"/>
      <c r="D77" s="146"/>
      <c r="E77" s="147"/>
      <c r="F77" s="160"/>
      <c r="G77" s="149"/>
      <c r="H77" s="150"/>
      <c r="I77" s="147"/>
      <c r="J77" s="146"/>
      <c r="K77" s="326" t="n">
        <v>36580</v>
      </c>
      <c r="L77" s="327"/>
    </row>
    <row r="78" customFormat="false" ht="12" hidden="false" customHeight="false" outlineLevel="0" collapsed="false">
      <c r="A78" s="162"/>
      <c r="B78" s="163"/>
      <c r="C78" s="147"/>
      <c r="D78" s="146"/>
      <c r="E78" s="147"/>
      <c r="F78" s="160"/>
      <c r="G78" s="149"/>
      <c r="H78" s="150"/>
      <c r="I78" s="147"/>
      <c r="J78" s="146"/>
      <c r="K78" s="147"/>
      <c r="L78" s="152" t="n">
        <v>5</v>
      </c>
    </row>
    <row r="79" customFormat="false" ht="12" hidden="false" customHeight="false" outlineLevel="0" collapsed="false">
      <c r="A79" s="162"/>
      <c r="B79" s="163"/>
      <c r="C79" s="147"/>
      <c r="D79" s="146"/>
      <c r="E79" s="147"/>
      <c r="F79" s="160"/>
      <c r="G79" s="149"/>
      <c r="H79" s="150"/>
      <c r="I79" s="147"/>
      <c r="J79" s="146"/>
      <c r="K79" s="147"/>
      <c r="L79" s="152" t="n">
        <v>3</v>
      </c>
    </row>
    <row r="80" customFormat="false" ht="12" hidden="false" customHeight="false" outlineLevel="0" collapsed="false">
      <c r="A80" s="162"/>
      <c r="B80" s="163"/>
      <c r="C80" s="147"/>
      <c r="D80" s="146"/>
      <c r="E80" s="147"/>
      <c r="F80" s="160"/>
      <c r="G80" s="149"/>
      <c r="H80" s="150"/>
      <c r="I80" s="147"/>
      <c r="J80" s="146"/>
      <c r="K80" s="147"/>
      <c r="L80" s="152"/>
    </row>
    <row r="81" customFormat="false" ht="12" hidden="false" customHeight="false" outlineLevel="0" collapsed="false">
      <c r="A81" s="162"/>
      <c r="B81" s="163"/>
      <c r="C81" s="147"/>
      <c r="D81" s="146"/>
      <c r="E81" s="147"/>
      <c r="F81" s="160"/>
      <c r="G81" s="149"/>
      <c r="H81" s="150"/>
      <c r="I81" s="147"/>
      <c r="J81" s="146"/>
      <c r="K81" s="147"/>
      <c r="L81" s="152"/>
    </row>
    <row r="82" customFormat="false" ht="12" hidden="false" customHeight="false" outlineLevel="0" collapsed="false">
      <c r="A82" s="162"/>
      <c r="B82" s="163"/>
      <c r="C82" s="147"/>
      <c r="D82" s="146"/>
      <c r="E82" s="147"/>
      <c r="F82" s="160"/>
      <c r="G82" s="149"/>
      <c r="H82" s="150"/>
      <c r="I82" s="147"/>
      <c r="J82" s="146"/>
      <c r="K82" s="147"/>
      <c r="L82" s="152"/>
    </row>
    <row r="83" customFormat="false" ht="12" hidden="false" customHeight="false" outlineLevel="0" collapsed="false">
      <c r="A83" s="162"/>
      <c r="B83" s="163"/>
      <c r="C83" s="164" t="s">
        <v>129</v>
      </c>
      <c r="D83" s="165"/>
      <c r="E83" s="166"/>
      <c r="F83" s="167"/>
      <c r="G83" s="149"/>
      <c r="H83" s="150"/>
      <c r="I83" s="164" t="s">
        <v>129</v>
      </c>
      <c r="J83" s="168"/>
      <c r="K83" s="169"/>
      <c r="L83" s="170"/>
    </row>
    <row r="84" customFormat="false" ht="12" hidden="false" customHeight="false" outlineLevel="0" collapsed="false">
      <c r="A84" s="162"/>
      <c r="B84" s="163"/>
      <c r="C84" s="147" t="s">
        <v>130</v>
      </c>
      <c r="D84" s="321" t="n">
        <v>18</v>
      </c>
      <c r="E84" s="147"/>
      <c r="F84" s="152"/>
      <c r="G84" s="171"/>
      <c r="H84" s="150"/>
      <c r="I84" s="147" t="s">
        <v>113</v>
      </c>
      <c r="J84" s="321" t="n">
        <v>5</v>
      </c>
      <c r="K84" s="147" t="s">
        <v>405</v>
      </c>
      <c r="L84" s="323" t="n">
        <v>1.25</v>
      </c>
    </row>
    <row r="85" customFormat="false" ht="12" hidden="false" customHeight="false" outlineLevel="0" collapsed="false">
      <c r="A85" s="162"/>
      <c r="B85" s="163"/>
      <c r="C85" s="147" t="s">
        <v>131</v>
      </c>
      <c r="D85" s="321" t="n">
        <v>10</v>
      </c>
      <c r="E85" s="147"/>
      <c r="F85" s="152"/>
      <c r="G85" s="149"/>
      <c r="H85" s="150"/>
      <c r="I85" s="147" t="s">
        <v>132</v>
      </c>
      <c r="J85" s="321" t="n">
        <v>8</v>
      </c>
      <c r="K85" s="147" t="s">
        <v>385</v>
      </c>
      <c r="L85" s="323" t="n">
        <v>10</v>
      </c>
    </row>
    <row r="86" customFormat="false" ht="12" hidden="false" customHeight="false" outlineLevel="0" collapsed="false">
      <c r="A86" s="162"/>
      <c r="B86" s="163"/>
      <c r="C86" s="147" t="s">
        <v>435</v>
      </c>
      <c r="D86" s="321" t="n">
        <v>5</v>
      </c>
      <c r="E86" s="147"/>
      <c r="F86" s="152"/>
      <c r="G86" s="149"/>
      <c r="H86" s="150"/>
      <c r="I86" s="147" t="s">
        <v>111</v>
      </c>
      <c r="J86" s="321" t="n">
        <v>5</v>
      </c>
      <c r="K86" s="147" t="s">
        <v>113</v>
      </c>
      <c r="L86" s="323" t="n">
        <v>8</v>
      </c>
    </row>
    <row r="87" customFormat="false" ht="12" hidden="false" customHeight="false" outlineLevel="0" collapsed="false">
      <c r="A87" s="162"/>
      <c r="B87" s="163"/>
      <c r="C87" s="147" t="s">
        <v>133</v>
      </c>
      <c r="D87" s="146" t="n">
        <v>13.333</v>
      </c>
      <c r="E87" s="147"/>
      <c r="F87" s="152"/>
      <c r="G87" s="149"/>
      <c r="H87" s="150"/>
      <c r="I87" s="147"/>
      <c r="J87" s="146"/>
      <c r="K87" s="147" t="s">
        <v>135</v>
      </c>
      <c r="L87" s="323" t="n">
        <v>9.4</v>
      </c>
    </row>
    <row r="88" customFormat="false" ht="12" hidden="false" customHeight="false" outlineLevel="0" collapsed="false">
      <c r="A88" s="162"/>
      <c r="B88" s="163"/>
      <c r="C88" s="147" t="s">
        <v>133</v>
      </c>
      <c r="D88" s="321" t="n">
        <v>5.834</v>
      </c>
      <c r="E88" s="147"/>
      <c r="F88" s="152"/>
      <c r="G88" s="149"/>
      <c r="H88" s="150"/>
      <c r="I88" s="147"/>
      <c r="J88" s="146"/>
      <c r="K88" s="147" t="s">
        <v>121</v>
      </c>
      <c r="L88" s="323" t="n">
        <v>10</v>
      </c>
    </row>
    <row r="89" customFormat="false" ht="12" hidden="false" customHeight="false" outlineLevel="0" collapsed="false">
      <c r="A89" s="162"/>
      <c r="B89" s="163"/>
      <c r="C89" s="147" t="s">
        <v>437</v>
      </c>
      <c r="D89" s="146" t="n">
        <v>5</v>
      </c>
      <c r="E89" s="147"/>
      <c r="F89" s="152"/>
      <c r="G89" s="149"/>
      <c r="H89" s="150"/>
      <c r="I89" s="147"/>
      <c r="J89" s="146"/>
      <c r="K89" s="147" t="s">
        <v>135</v>
      </c>
      <c r="L89" s="323" t="n">
        <v>9.6</v>
      </c>
    </row>
    <row r="90" customFormat="false" ht="12" hidden="false" customHeight="false" outlineLevel="0" collapsed="false">
      <c r="A90" s="162"/>
      <c r="B90" s="163"/>
      <c r="C90" s="147"/>
      <c r="D90" s="146"/>
      <c r="E90" s="147"/>
      <c r="F90" s="152"/>
      <c r="G90" s="149"/>
      <c r="H90" s="150"/>
      <c r="I90" s="147"/>
      <c r="J90" s="146"/>
      <c r="K90" s="326" t="n">
        <v>36580</v>
      </c>
      <c r="L90" s="327"/>
    </row>
    <row r="91" customFormat="false" ht="12" hidden="false" customHeight="false" outlineLevel="0" collapsed="false">
      <c r="A91" s="162"/>
      <c r="B91" s="163"/>
      <c r="C91" s="147"/>
      <c r="D91" s="146"/>
      <c r="E91" s="147"/>
      <c r="F91" s="152"/>
      <c r="G91" s="149"/>
      <c r="H91" s="150"/>
      <c r="I91" s="147"/>
      <c r="J91" s="146"/>
      <c r="K91" s="147" t="s">
        <v>111</v>
      </c>
      <c r="L91" s="152" t="n">
        <v>5</v>
      </c>
    </row>
    <row r="92" customFormat="false" ht="12" hidden="false" customHeight="false" outlineLevel="0" collapsed="false">
      <c r="A92" s="162"/>
      <c r="B92" s="163"/>
      <c r="C92" s="147"/>
      <c r="D92" s="146"/>
      <c r="E92" s="147"/>
      <c r="F92" s="152"/>
      <c r="G92" s="149"/>
      <c r="H92" s="150"/>
      <c r="I92" s="147"/>
      <c r="J92" s="146"/>
      <c r="K92" s="147"/>
      <c r="L92" s="152"/>
    </row>
    <row r="93" customFormat="false" ht="12" hidden="false" customHeight="false" outlineLevel="0" collapsed="false">
      <c r="A93" s="162"/>
      <c r="B93" s="163"/>
      <c r="C93" s="147"/>
      <c r="D93" s="146"/>
      <c r="E93" s="147"/>
      <c r="F93" s="152"/>
      <c r="G93" s="149"/>
      <c r="H93" s="150"/>
      <c r="I93" s="147"/>
      <c r="J93" s="146"/>
      <c r="K93" s="147"/>
      <c r="L93" s="152"/>
    </row>
    <row r="94" customFormat="false" ht="12" hidden="false" customHeight="false" outlineLevel="0" collapsed="false">
      <c r="A94" s="173"/>
      <c r="B94" s="174"/>
      <c r="C94" s="175" t="s">
        <v>437</v>
      </c>
      <c r="D94" s="174" t="n">
        <v>5</v>
      </c>
      <c r="E94" s="176"/>
      <c r="F94" s="177"/>
      <c r="G94" s="173"/>
      <c r="H94" s="174"/>
      <c r="I94" s="175"/>
      <c r="J94" s="316"/>
      <c r="K94" s="178"/>
      <c r="L94" s="179"/>
    </row>
    <row r="95" customFormat="false" ht="12" hidden="false" customHeight="false" outlineLevel="0" collapsed="false">
      <c r="A95" s="180" t="s">
        <v>137</v>
      </c>
      <c r="B95" s="181" t="n">
        <f aca="false">SUM(B47:B94)</f>
        <v>5.358</v>
      </c>
      <c r="C95" s="182" t="s">
        <v>137</v>
      </c>
      <c r="D95" s="181" t="n">
        <f aca="false">SUM(D47:D94)</f>
        <v>139.167</v>
      </c>
      <c r="E95" s="182" t="s">
        <v>137</v>
      </c>
      <c r="F95" s="183" t="n">
        <f aca="false">SUM(F47:F94)</f>
        <v>81.314</v>
      </c>
      <c r="G95" s="180"/>
      <c r="H95" s="181"/>
      <c r="I95" s="182" t="s">
        <v>137</v>
      </c>
      <c r="J95" s="184" t="n">
        <f aca="false">SUM(J47:J94)</f>
        <v>221</v>
      </c>
      <c r="K95" s="182" t="s">
        <v>137</v>
      </c>
      <c r="L95" s="185" t="n">
        <f aca="false">SUM(L47:L94)</f>
        <v>471.758</v>
      </c>
    </row>
    <row r="96" customFormat="false" ht="12.75" hidden="false" customHeight="false" outlineLevel="0" collapsed="false">
      <c r="A96" s="186"/>
      <c r="B96" s="187"/>
      <c r="C96" s="188"/>
      <c r="D96" s="187"/>
      <c r="E96" s="189" t="s">
        <v>138</v>
      </c>
      <c r="F96" s="190" t="n">
        <f aca="false">+B95+F95+D95</f>
        <v>225.839</v>
      </c>
      <c r="G96" s="186"/>
      <c r="H96" s="187"/>
      <c r="I96" s="188"/>
      <c r="J96" s="187"/>
      <c r="K96" s="189" t="s">
        <v>138</v>
      </c>
      <c r="L96" s="190" t="n">
        <f aca="false">J95+L95</f>
        <v>692.758</v>
      </c>
    </row>
    <row r="97" customFormat="false" ht="12.75" hidden="false" customHeight="false" outlineLevel="0" collapsed="false">
      <c r="G97" s="191"/>
      <c r="H97" s="0"/>
    </row>
    <row r="98" customFormat="false" ht="12.75" hidden="false" customHeight="false" outlineLevel="0" collapsed="false">
      <c r="G98" s="1" t="s">
        <v>438</v>
      </c>
      <c r="H98" s="0"/>
    </row>
    <row r="99" customFormat="false" ht="12.75" hidden="false" customHeight="false" outlineLevel="0" collapsed="false">
      <c r="G99" s="295"/>
      <c r="H99" s="0"/>
    </row>
    <row r="100" customFormat="false" ht="12.75" hidden="true" customHeight="false" outlineLevel="0" collapsed="false">
      <c r="E100" s="0"/>
      <c r="G100" s="1" t="s">
        <v>139</v>
      </c>
      <c r="H100" s="0"/>
    </row>
    <row r="101" customFormat="false" ht="24" hidden="true" customHeight="false" outlineLevel="0" collapsed="false">
      <c r="A101" s="192" t="s">
        <v>140</v>
      </c>
      <c r="B101" s="192" t="s">
        <v>141</v>
      </c>
      <c r="C101" s="192" t="s">
        <v>142</v>
      </c>
      <c r="D101" s="192" t="s">
        <v>143</v>
      </c>
      <c r="E101" s="192" t="s">
        <v>144</v>
      </c>
      <c r="F101" s="192" t="s">
        <v>145</v>
      </c>
      <c r="G101" s="1" t="n">
        <v>1.65</v>
      </c>
      <c r="H101" s="0"/>
    </row>
    <row r="102" customFormat="false" ht="12.75" hidden="true" customHeight="false" outlineLevel="0" collapsed="false">
      <c r="A102" s="0" t="s">
        <v>146</v>
      </c>
      <c r="B102" s="0" t="s">
        <v>147</v>
      </c>
      <c r="C102" s="0" t="n">
        <v>10</v>
      </c>
      <c r="D102" s="0" t="n">
        <v>95</v>
      </c>
      <c r="E102" s="0" t="n">
        <v>0.09</v>
      </c>
      <c r="F102" s="0" t="n">
        <f aca="false">+$G$101*(E102/100)</f>
        <v>0.001485</v>
      </c>
      <c r="G102" s="0"/>
      <c r="H102" s="0"/>
      <c r="I102" s="0"/>
      <c r="J102" s="0"/>
      <c r="K102" s="0"/>
      <c r="L102" s="0"/>
      <c r="M102" s="0"/>
      <c r="N102" s="0"/>
      <c r="O102" s="0"/>
    </row>
    <row r="103" customFormat="false" ht="12.75" hidden="true" customHeight="false" outlineLevel="0" collapsed="false">
      <c r="A103" s="0"/>
      <c r="B103" s="0" t="s">
        <v>148</v>
      </c>
      <c r="C103" s="0" t="n">
        <v>42</v>
      </c>
      <c r="D103" s="0" t="n">
        <v>65</v>
      </c>
      <c r="E103" s="0" t="n">
        <v>0.27</v>
      </c>
      <c r="F103" s="0" t="n">
        <f aca="false">+$G$101*(E103/100)</f>
        <v>0.004455</v>
      </c>
      <c r="G103" s="0"/>
      <c r="H103" s="0"/>
      <c r="I103" s="0"/>
      <c r="J103" s="0"/>
      <c r="K103" s="0"/>
      <c r="L103" s="0"/>
      <c r="M103" s="0"/>
      <c r="N103" s="0"/>
      <c r="O103" s="0"/>
    </row>
    <row r="104" customFormat="false" ht="12.75" hidden="true" customHeight="false" outlineLevel="0" collapsed="false">
      <c r="A104" s="0"/>
      <c r="B104" s="0" t="s">
        <v>149</v>
      </c>
      <c r="C104" s="0" t="n">
        <v>89</v>
      </c>
      <c r="D104" s="0" t="n">
        <v>43.87</v>
      </c>
      <c r="E104" s="0" t="n">
        <v>0.39</v>
      </c>
      <c r="F104" s="0" t="n">
        <f aca="false">+$G$101*(E104/100)</f>
        <v>0.006435</v>
      </c>
      <c r="G104" s="0"/>
      <c r="H104" s="0"/>
      <c r="I104" s="0"/>
      <c r="J104" s="0"/>
      <c r="K104" s="0"/>
      <c r="L104" s="0"/>
      <c r="M104" s="0"/>
      <c r="N104" s="0"/>
      <c r="O104" s="0"/>
    </row>
    <row r="105" customFormat="false" ht="12.75" hidden="true" customHeight="false" outlineLevel="0" collapsed="false">
      <c r="A105" s="0"/>
      <c r="B105" s="0" t="s">
        <v>150</v>
      </c>
      <c r="C105" s="0" t="n">
        <v>2.44</v>
      </c>
      <c r="D105" s="0" t="n">
        <v>1.05</v>
      </c>
      <c r="E105" s="0" t="n">
        <v>0.03</v>
      </c>
      <c r="F105" s="0" t="n">
        <f aca="false">+$G$101*(E105/100)</f>
        <v>0.000495</v>
      </c>
      <c r="G105" s="0"/>
      <c r="H105" s="0"/>
      <c r="I105" s="0"/>
      <c r="J105" s="0"/>
      <c r="K105" s="0"/>
      <c r="L105" s="0"/>
      <c r="M105" s="0"/>
      <c r="N105" s="0"/>
      <c r="O105" s="0"/>
    </row>
    <row r="106" customFormat="false" ht="12.75" hidden="true" customHeight="false" outlineLevel="0" collapsed="false">
      <c r="A106" s="0"/>
      <c r="B106" s="0"/>
      <c r="C106" s="0"/>
      <c r="D106" s="0"/>
      <c r="E106" s="193" t="s">
        <v>138</v>
      </c>
      <c r="F106" s="0" t="n">
        <f aca="false">SUM(F102:F105)</f>
        <v>0.01287</v>
      </c>
      <c r="G106" s="0"/>
      <c r="H106" s="0"/>
      <c r="I106" s="0"/>
      <c r="J106" s="0"/>
      <c r="K106" s="0"/>
      <c r="L106" s="0"/>
      <c r="M106" s="0"/>
      <c r="N106" s="0"/>
      <c r="O106" s="0"/>
    </row>
    <row r="107" customFormat="false" ht="12.75" hidden="true" customHeight="false" outlineLevel="0" collapsed="false">
      <c r="A107" s="0"/>
      <c r="B107" s="0"/>
      <c r="C107" s="0"/>
      <c r="D107" s="0"/>
      <c r="E107" s="193"/>
      <c r="F107" s="0"/>
      <c r="G107" s="0"/>
      <c r="H107" s="0"/>
      <c r="I107" s="0"/>
      <c r="J107" s="0"/>
      <c r="K107" s="0"/>
      <c r="L107" s="0"/>
      <c r="M107" s="0"/>
      <c r="N107" s="0"/>
      <c r="O107" s="0"/>
    </row>
    <row r="108" customFormat="false" ht="12.75" hidden="true" customHeight="false" outlineLevel="0" collapsed="false">
      <c r="A108" s="0" t="s">
        <v>151</v>
      </c>
      <c r="B108" s="0" t="s">
        <v>152</v>
      </c>
      <c r="C108" s="194" t="n">
        <v>0.27</v>
      </c>
      <c r="D108" s="194" t="n">
        <v>96.33</v>
      </c>
      <c r="E108" s="194" t="n">
        <v>0.26</v>
      </c>
      <c r="F108" s="194" t="n">
        <f aca="false">+$G$101*(E108/100)</f>
        <v>0.00429</v>
      </c>
      <c r="G108" s="0"/>
      <c r="H108" s="0"/>
      <c r="I108" s="0"/>
      <c r="J108" s="0"/>
      <c r="K108" s="0"/>
      <c r="L108" s="0"/>
      <c r="M108" s="0"/>
      <c r="N108" s="0"/>
      <c r="O108" s="0"/>
    </row>
    <row r="109" customFormat="false" ht="12.75" hidden="true" customHeight="false" outlineLevel="0" collapsed="false">
      <c r="A109" s="0"/>
      <c r="B109" s="0" t="s">
        <v>153</v>
      </c>
      <c r="C109" s="194" t="n">
        <v>0.36</v>
      </c>
      <c r="D109" s="194" t="n">
        <v>85.77</v>
      </c>
      <c r="E109" s="194" t="n">
        <v>0.31</v>
      </c>
      <c r="F109" s="194" t="n">
        <f aca="false">+$G$101*(E109/100)</f>
        <v>0.005115</v>
      </c>
      <c r="G109" s="0"/>
      <c r="H109" s="0"/>
      <c r="I109" s="0"/>
      <c r="J109" s="0"/>
      <c r="K109" s="0"/>
      <c r="L109" s="0"/>
      <c r="M109" s="0"/>
      <c r="N109" s="0"/>
      <c r="O109" s="0"/>
    </row>
    <row r="110" customFormat="false" ht="12.75" hidden="true" customHeight="false" outlineLevel="0" collapsed="false">
      <c r="A110" s="0"/>
      <c r="B110" s="0" t="s">
        <v>154</v>
      </c>
      <c r="C110" s="194" t="n">
        <v>0.8</v>
      </c>
      <c r="D110" s="194" t="n">
        <v>9.94</v>
      </c>
      <c r="E110" s="194" t="n">
        <v>0.08</v>
      </c>
      <c r="F110" s="194" t="n">
        <f aca="false">+$G$101*(E110/100)</f>
        <v>0.00132</v>
      </c>
      <c r="G110" s="0"/>
      <c r="H110" s="0"/>
      <c r="I110" s="0"/>
      <c r="J110" s="0"/>
      <c r="K110" s="0"/>
      <c r="L110" s="0"/>
      <c r="M110" s="0"/>
      <c r="N110" s="0"/>
      <c r="O110" s="0"/>
    </row>
    <row r="111" customFormat="false" ht="12.75" hidden="true" customHeight="false" outlineLevel="0" collapsed="false">
      <c r="A111" s="0"/>
      <c r="B111" s="0" t="s">
        <v>155</v>
      </c>
      <c r="C111" s="194" t="n">
        <v>1.14</v>
      </c>
      <c r="D111" s="194" t="n">
        <v>6.21</v>
      </c>
      <c r="E111" s="194" t="n">
        <v>0.07</v>
      </c>
      <c r="F111" s="194" t="n">
        <f aca="false">+$G$101*(E111/100)</f>
        <v>0.001155</v>
      </c>
      <c r="G111" s="0"/>
      <c r="H111" s="0"/>
      <c r="I111" s="0"/>
      <c r="J111" s="0"/>
      <c r="K111" s="0"/>
      <c r="L111" s="0"/>
      <c r="M111" s="0"/>
      <c r="N111" s="0"/>
      <c r="O111" s="0"/>
    </row>
    <row r="112" customFormat="false" ht="12.75" hidden="true" customHeight="false" outlineLevel="0" collapsed="false">
      <c r="A112" s="0"/>
      <c r="B112" s="0"/>
      <c r="C112" s="194"/>
      <c r="D112" s="194"/>
      <c r="E112" s="195" t="s">
        <v>156</v>
      </c>
      <c r="F112" s="194" t="n">
        <f aca="false">SUM(F109:F111)</f>
        <v>0.00759</v>
      </c>
      <c r="G112" s="0"/>
      <c r="H112" s="0"/>
      <c r="I112" s="0"/>
      <c r="J112" s="0"/>
      <c r="K112" s="0"/>
      <c r="L112" s="0"/>
      <c r="M112" s="0"/>
      <c r="N112" s="0"/>
      <c r="O112" s="0"/>
    </row>
    <row r="113" customFormat="false" ht="12.75" hidden="true" customHeight="false" outlineLevel="0" collapsed="false">
      <c r="A113" s="0"/>
      <c r="B113" s="0"/>
      <c r="C113" s="194"/>
      <c r="D113" s="194"/>
      <c r="E113" s="195" t="s">
        <v>157</v>
      </c>
      <c r="F113" s="194" t="n">
        <f aca="false">SUM(F108:F111)</f>
        <v>0.01188</v>
      </c>
      <c r="G113" s="0"/>
      <c r="H113" s="0"/>
      <c r="I113" s="0"/>
      <c r="J113" s="0"/>
      <c r="K113" s="0"/>
      <c r="L113" s="0"/>
      <c r="M113" s="0"/>
      <c r="N113" s="0"/>
      <c r="O113" s="0"/>
    </row>
    <row r="114" customFormat="false" ht="12.75" hidden="true" customHeight="false" outlineLevel="0" collapsed="false">
      <c r="A114" s="0"/>
      <c r="B114" s="0"/>
      <c r="C114" s="194"/>
      <c r="D114" s="194"/>
      <c r="E114" s="194"/>
      <c r="F114" s="194"/>
      <c r="G114" s="0"/>
      <c r="H114" s="0"/>
      <c r="I114" s="0"/>
      <c r="J114" s="0"/>
      <c r="K114" s="0"/>
      <c r="L114" s="0"/>
      <c r="M114" s="0"/>
      <c r="N114" s="0"/>
      <c r="O114" s="0"/>
    </row>
    <row r="115" customFormat="false" ht="12.75" hidden="true" customHeight="false" outlineLevel="0" collapsed="false">
      <c r="A115" s="0" t="s">
        <v>158</v>
      </c>
      <c r="B115" s="0" t="s">
        <v>158</v>
      </c>
      <c r="C115" s="194" t="n">
        <v>0.62</v>
      </c>
      <c r="D115" s="194" t="n">
        <v>94.29</v>
      </c>
      <c r="E115" s="194" t="n">
        <v>0.58</v>
      </c>
      <c r="F115" s="194" t="n">
        <f aca="false">+$G$101*(E115/100)</f>
        <v>0.00957</v>
      </c>
      <c r="G115" s="0"/>
      <c r="H115" s="0"/>
      <c r="I115" s="0"/>
      <c r="J115" s="0"/>
      <c r="K115" s="0"/>
      <c r="L115" s="0"/>
      <c r="M115" s="0"/>
      <c r="N115" s="0"/>
      <c r="O115" s="0"/>
    </row>
    <row r="116" customFormat="false" ht="12.75" hidden="true" customHeight="false" outlineLevel="0" collapsed="false">
      <c r="A116" s="0"/>
      <c r="B116" s="0"/>
      <c r="C116" s="194"/>
      <c r="D116" s="194"/>
      <c r="E116" s="194"/>
      <c r="F116" s="194"/>
      <c r="G116" s="0"/>
      <c r="H116" s="0"/>
      <c r="I116" s="0"/>
      <c r="J116" s="0"/>
      <c r="K116" s="0"/>
      <c r="L116" s="0"/>
      <c r="M116" s="0"/>
      <c r="N116" s="0"/>
      <c r="O116" s="0"/>
    </row>
    <row r="117" customFormat="false" ht="12.75" hidden="true" customHeight="false" outlineLevel="0" collapsed="false">
      <c r="A117" s="0" t="s">
        <v>159</v>
      </c>
      <c r="B117" s="0" t="s">
        <v>160</v>
      </c>
      <c r="C117" s="194" t="n">
        <v>0.85</v>
      </c>
      <c r="D117" s="194" t="n">
        <v>100</v>
      </c>
      <c r="E117" s="194" t="n">
        <v>0.85</v>
      </c>
      <c r="F117" s="194" t="n">
        <f aca="false">+$G$101*(E117/100)</f>
        <v>0.014025</v>
      </c>
      <c r="G117" s="0"/>
      <c r="H117" s="0"/>
      <c r="I117" s="0"/>
      <c r="J117" s="0"/>
      <c r="K117" s="0"/>
      <c r="L117" s="0"/>
      <c r="M117" s="0"/>
      <c r="N117" s="0"/>
      <c r="O117" s="0"/>
    </row>
    <row r="118" customFormat="false" ht="12.75" hidden="true" customHeight="false" outlineLevel="0" collapsed="false">
      <c r="A118" s="0"/>
      <c r="B118" s="0"/>
      <c r="C118" s="194"/>
      <c r="D118" s="194"/>
      <c r="E118" s="194"/>
      <c r="F118" s="194"/>
      <c r="G118" s="0"/>
      <c r="H118" s="0"/>
      <c r="I118" s="0"/>
      <c r="J118" s="0"/>
      <c r="K118" s="0"/>
      <c r="L118" s="0"/>
      <c r="M118" s="0"/>
      <c r="N118" s="0"/>
      <c r="O118" s="0"/>
    </row>
    <row r="119" customFormat="false" ht="12.75" hidden="true" customHeight="false" outlineLevel="0" collapsed="false">
      <c r="A119" s="0" t="s">
        <v>161</v>
      </c>
      <c r="B119" s="0" t="s">
        <v>162</v>
      </c>
      <c r="C119" s="194" t="s">
        <v>163</v>
      </c>
      <c r="D119" s="194"/>
      <c r="E119" s="194" t="n">
        <v>0.3546</v>
      </c>
      <c r="F119" s="194" t="n">
        <f aca="false">+$G$101*(E119/100)</f>
        <v>0.0058509</v>
      </c>
      <c r="G119" s="0"/>
      <c r="H119" s="0"/>
      <c r="I119" s="0"/>
      <c r="J119" s="0"/>
      <c r="K119" s="0"/>
      <c r="L119" s="0"/>
      <c r="M119" s="0"/>
      <c r="N119" s="0"/>
      <c r="O119" s="0"/>
    </row>
    <row r="120" customFormat="false" ht="12.75" hidden="true" customHeight="false" outlineLevel="0" collapsed="false">
      <c r="A120" s="0"/>
      <c r="B120" s="0" t="s">
        <v>164</v>
      </c>
      <c r="C120" s="194" t="s">
        <v>165</v>
      </c>
      <c r="D120" s="194"/>
      <c r="E120" s="194" t="n">
        <v>0.557</v>
      </c>
      <c r="F120" s="194" t="n">
        <f aca="false">+$G$101*(E120/100)</f>
        <v>0.0091905</v>
      </c>
      <c r="G120" s="0"/>
      <c r="H120" s="0"/>
      <c r="I120" s="0"/>
    </row>
    <row r="121" customFormat="false" ht="12.75" hidden="true" customHeight="false" outlineLevel="0" collapsed="false">
      <c r="A121" s="0"/>
      <c r="B121" s="0" t="s">
        <v>166</v>
      </c>
      <c r="C121" s="194" t="s">
        <v>167</v>
      </c>
      <c r="D121" s="194"/>
      <c r="E121" s="194" t="n">
        <v>0.628</v>
      </c>
      <c r="F121" s="194" t="n">
        <f aca="false">+$G$101*(E121/100)</f>
        <v>0.010362</v>
      </c>
      <c r="G121" s="0"/>
      <c r="H121" s="0"/>
      <c r="I121" s="0"/>
    </row>
    <row r="122" customFormat="false" ht="12.75" hidden="true" customHeight="false" outlineLevel="0" collapsed="false">
      <c r="A122" s="0"/>
      <c r="B122" s="0"/>
      <c r="C122" s="194"/>
      <c r="D122" s="194"/>
      <c r="E122" s="194"/>
      <c r="F122" s="194"/>
      <c r="G122" s="0"/>
      <c r="H122" s="0"/>
      <c r="I122" s="0"/>
    </row>
    <row r="123" customFormat="false" ht="12.75" hidden="true" customHeight="false" outlineLevel="0" collapsed="false">
      <c r="A123" s="0" t="s">
        <v>168</v>
      </c>
      <c r="B123" s="0" t="s">
        <v>169</v>
      </c>
      <c r="C123" s="194" t="s">
        <v>170</v>
      </c>
      <c r="D123" s="194"/>
      <c r="E123" s="194" t="n">
        <v>0.309</v>
      </c>
      <c r="F123" s="194" t="n">
        <f aca="false">+$G$101*(E123/100)</f>
        <v>0.0050985</v>
      </c>
      <c r="G123" s="0"/>
      <c r="H123" s="0"/>
      <c r="I123" s="0"/>
    </row>
    <row r="124" customFormat="false" ht="12.75" hidden="true" customHeight="false" outlineLevel="0" collapsed="false">
      <c r="A124" s="0"/>
      <c r="B124" s="0"/>
      <c r="C124" s="194"/>
      <c r="D124" s="194"/>
      <c r="E124" s="194"/>
      <c r="F124" s="194"/>
      <c r="G124" s="0"/>
      <c r="H124" s="0"/>
      <c r="I124" s="0"/>
    </row>
    <row r="125" customFormat="false" ht="12.75" hidden="true" customHeight="false" outlineLevel="0" collapsed="false">
      <c r="A125" s="0" t="s">
        <v>171</v>
      </c>
      <c r="B125" s="0" t="s">
        <v>172</v>
      </c>
      <c r="C125" s="194" t="s">
        <v>173</v>
      </c>
      <c r="D125" s="194"/>
      <c r="E125" s="194" t="n">
        <v>0.3748</v>
      </c>
      <c r="F125" s="194" t="n">
        <f aca="false">+$G$101*(E125/100)</f>
        <v>0.0061842</v>
      </c>
      <c r="G125" s="0"/>
      <c r="H125" s="0"/>
      <c r="I125" s="0"/>
    </row>
    <row r="126" customFormat="false" ht="12.75" hidden="true" customHeight="false" outlineLevel="0" collapsed="false">
      <c r="A126" s="0"/>
      <c r="B126" s="0"/>
      <c r="C126" s="0"/>
      <c r="D126" s="0"/>
      <c r="E126" s="0"/>
      <c r="F126" s="0"/>
      <c r="G126" s="0"/>
      <c r="H126" s="0"/>
      <c r="I126" s="0"/>
    </row>
    <row r="127" customFormat="false" ht="12.75" hidden="false" customHeight="false" outlineLevel="0" collapsed="false">
      <c r="B127" s="0"/>
      <c r="C127" s="0"/>
      <c r="D127" s="0"/>
      <c r="E127" s="0"/>
      <c r="F127" s="0"/>
      <c r="G127" s="0"/>
      <c r="H127" s="0"/>
      <c r="I127" s="0"/>
    </row>
    <row r="128" customFormat="false" ht="12.75" hidden="false" customHeight="false" outlineLevel="0" collapsed="false">
      <c r="A128" s="0"/>
      <c r="B128" s="0"/>
      <c r="C128" s="0"/>
      <c r="D128" s="0"/>
      <c r="E128" s="0"/>
      <c r="F128" s="0"/>
      <c r="G128" s="0"/>
      <c r="H128" s="0"/>
      <c r="I128" s="0"/>
    </row>
    <row r="129" customFormat="false" ht="12.75" hidden="false" customHeight="false" outlineLevel="0" collapsed="false">
      <c r="A129" s="0"/>
      <c r="B129" s="0"/>
      <c r="C129" s="0"/>
      <c r="D129" s="0"/>
      <c r="E129" s="0"/>
      <c r="F129" s="0"/>
      <c r="G129" s="0"/>
      <c r="H129" s="0"/>
      <c r="I129" s="0"/>
    </row>
    <row r="130" customFormat="false" ht="12.75" hidden="false" customHeight="false" outlineLevel="0" collapsed="false">
      <c r="A130" s="0"/>
      <c r="B130" s="0"/>
      <c r="C130" s="0"/>
      <c r="D130" s="0"/>
      <c r="E130" s="0"/>
      <c r="F130" s="0"/>
      <c r="G130" s="0"/>
      <c r="H130" s="0"/>
      <c r="I130" s="0"/>
      <c r="N130" s="1" t="s">
        <v>439</v>
      </c>
    </row>
    <row r="131" customFormat="false" ht="12.75" hidden="false" customHeight="false" outlineLevel="0" collapsed="false">
      <c r="A131" s="196" t="s">
        <v>174</v>
      </c>
      <c r="B131" s="196"/>
      <c r="C131" s="196"/>
      <c r="D131" s="0"/>
      <c r="E131" s="197"/>
      <c r="F131" s="0"/>
      <c r="G131" s="198"/>
      <c r="H131" s="0"/>
      <c r="I131" s="296" t="s">
        <v>61</v>
      </c>
      <c r="J131" s="297"/>
      <c r="K131" s="298"/>
      <c r="N131" s="1" t="s">
        <v>176</v>
      </c>
    </row>
    <row r="132" customFormat="false" ht="12.75" hidden="false" customHeight="false" outlineLevel="0" collapsed="false">
      <c r="A132" s="199" t="s">
        <v>177</v>
      </c>
      <c r="B132" s="200" t="s">
        <v>178</v>
      </c>
      <c r="C132" s="329" t="n">
        <v>0.63</v>
      </c>
      <c r="D132" s="78"/>
      <c r="E132" s="200"/>
      <c r="F132" s="79"/>
      <c r="G132" s="199"/>
      <c r="H132" s="79"/>
      <c r="I132" s="199" t="s">
        <v>179</v>
      </c>
      <c r="J132" s="78"/>
      <c r="K132" s="202" t="n">
        <v>0</v>
      </c>
      <c r="L132" s="78"/>
      <c r="N132" s="1" t="s">
        <v>180</v>
      </c>
      <c r="O132" s="1" t="n">
        <v>1024</v>
      </c>
    </row>
    <row r="133" customFormat="false" ht="12.75" hidden="false" customHeight="false" outlineLevel="0" collapsed="false">
      <c r="A133" s="78"/>
      <c r="B133" s="200" t="s">
        <v>181</v>
      </c>
      <c r="C133" s="329" t="n">
        <v>0.001</v>
      </c>
      <c r="D133" s="78"/>
      <c r="E133" s="79"/>
      <c r="F133" s="79"/>
      <c r="G133" s="199"/>
      <c r="H133" s="79"/>
      <c r="I133" s="199" t="s">
        <v>182</v>
      </c>
      <c r="J133" s="78" t="n">
        <v>6688</v>
      </c>
      <c r="K133" s="204" t="n">
        <v>17</v>
      </c>
      <c r="L133" s="78"/>
      <c r="N133" s="1" t="s">
        <v>135</v>
      </c>
      <c r="O133" s="1" t="n">
        <v>1500</v>
      </c>
    </row>
    <row r="134" customFormat="false" ht="12.75" hidden="false" customHeight="false" outlineLevel="0" collapsed="false">
      <c r="A134" s="78"/>
      <c r="B134" s="200" t="s">
        <v>183</v>
      </c>
      <c r="C134" s="329" t="n">
        <v>0.5</v>
      </c>
      <c r="D134" s="78"/>
      <c r="E134" s="79"/>
      <c r="F134" s="79"/>
      <c r="G134" s="199"/>
      <c r="H134" s="79"/>
      <c r="I134" s="199" t="s">
        <v>87</v>
      </c>
      <c r="J134" s="78" t="n">
        <v>6888</v>
      </c>
      <c r="K134" s="330" t="n">
        <v>7000</v>
      </c>
      <c r="L134" s="78"/>
      <c r="N134" s="1" t="s">
        <v>184</v>
      </c>
      <c r="O134" s="1" t="n">
        <v>219</v>
      </c>
    </row>
    <row r="135" customFormat="false" ht="12.75" hidden="false" customHeight="false" outlineLevel="0" collapsed="false">
      <c r="A135" s="78"/>
      <c r="B135" s="200" t="s">
        <v>185</v>
      </c>
      <c r="C135" s="329" t="n">
        <v>10</v>
      </c>
      <c r="D135" s="78" t="n">
        <v>2</v>
      </c>
      <c r="E135" s="79"/>
      <c r="F135" s="79"/>
      <c r="G135" s="199"/>
      <c r="H135" s="79"/>
      <c r="I135" s="199" t="s">
        <v>189</v>
      </c>
      <c r="J135" s="78" t="n">
        <v>900338</v>
      </c>
      <c r="K135" s="204" t="n">
        <v>718</v>
      </c>
      <c r="L135" s="78"/>
      <c r="N135" s="1" t="s">
        <v>186</v>
      </c>
      <c r="O135" s="1" t="n">
        <v>1000</v>
      </c>
    </row>
    <row r="136" customFormat="false" ht="12.75" hidden="false" customHeight="false" outlineLevel="0" collapsed="false">
      <c r="A136" s="199" t="s">
        <v>187</v>
      </c>
      <c r="B136" s="200" t="s">
        <v>188</v>
      </c>
      <c r="C136" s="329" t="n">
        <v>3.6</v>
      </c>
      <c r="D136" s="78"/>
      <c r="E136" s="79"/>
      <c r="F136" s="79"/>
      <c r="G136" s="199"/>
      <c r="H136" s="79"/>
      <c r="I136" s="199" t="s">
        <v>195</v>
      </c>
      <c r="J136" s="78"/>
      <c r="K136" s="204" t="n">
        <v>0</v>
      </c>
      <c r="L136" s="78"/>
      <c r="N136" s="1" t="s">
        <v>190</v>
      </c>
      <c r="O136" s="1" t="n">
        <v>90</v>
      </c>
    </row>
    <row r="137" customFormat="false" ht="12.75" hidden="false" customHeight="false" outlineLevel="0" collapsed="false">
      <c r="A137" s="199"/>
      <c r="B137" s="200"/>
      <c r="C137" s="200"/>
      <c r="D137" s="78"/>
      <c r="E137" s="79"/>
      <c r="F137" s="79"/>
      <c r="G137" s="199"/>
      <c r="H137" s="79"/>
      <c r="I137" s="199" t="s">
        <v>198</v>
      </c>
      <c r="J137" s="78" t="n">
        <v>5333</v>
      </c>
      <c r="K137" s="204" t="n">
        <v>250</v>
      </c>
      <c r="L137" s="78" t="s">
        <v>199</v>
      </c>
    </row>
    <row r="138" customFormat="false" ht="12.75" hidden="false" customHeight="false" outlineLevel="0" collapsed="false">
      <c r="A138" s="78"/>
      <c r="B138" s="200"/>
      <c r="C138" s="199"/>
      <c r="D138" s="78"/>
      <c r="E138" s="79"/>
      <c r="F138" s="79"/>
      <c r="G138" s="199"/>
      <c r="H138" s="79"/>
      <c r="I138" s="202" t="s">
        <v>207</v>
      </c>
      <c r="J138" s="78" t="n">
        <v>6373</v>
      </c>
      <c r="K138" s="330" t="n">
        <v>1</v>
      </c>
      <c r="L138" s="78"/>
      <c r="N138" s="1" t="s">
        <v>123</v>
      </c>
    </row>
    <row r="139" customFormat="false" ht="12.75" hidden="false" customHeight="false" outlineLevel="0" collapsed="false">
      <c r="A139" s="78"/>
      <c r="B139" s="200"/>
      <c r="C139" s="200"/>
      <c r="D139" s="78"/>
      <c r="E139" s="79"/>
      <c r="F139" s="79"/>
      <c r="G139" s="199"/>
      <c r="H139" s="79"/>
      <c r="I139" s="202" t="s">
        <v>201</v>
      </c>
      <c r="J139" s="78" t="n">
        <v>4286</v>
      </c>
      <c r="K139" s="204" t="n">
        <v>39</v>
      </c>
      <c r="L139" s="78"/>
    </row>
    <row r="140" customFormat="false" ht="12.75" hidden="false" customHeight="false" outlineLevel="0" collapsed="false">
      <c r="A140" s="199" t="s">
        <v>196</v>
      </c>
      <c r="B140" s="200" t="s">
        <v>197</v>
      </c>
      <c r="C140" s="329" t="n">
        <v>0.8</v>
      </c>
      <c r="D140" s="79"/>
      <c r="E140" s="79"/>
      <c r="F140" s="79"/>
      <c r="G140" s="199"/>
      <c r="H140" s="79"/>
      <c r="I140" s="202" t="s">
        <v>411</v>
      </c>
      <c r="J140" s="78" t="n">
        <v>6480</v>
      </c>
      <c r="K140" s="330" t="n">
        <v>1</v>
      </c>
      <c r="L140" s="206"/>
    </row>
    <row r="141" customFormat="false" ht="12.75" hidden="false" customHeight="false" outlineLevel="0" collapsed="false">
      <c r="A141" s="79"/>
      <c r="B141" s="200" t="s">
        <v>9</v>
      </c>
      <c r="C141" s="329" t="n">
        <v>3</v>
      </c>
      <c r="D141" s="79"/>
      <c r="E141" s="79"/>
      <c r="F141" s="79"/>
      <c r="G141" s="199"/>
      <c r="H141" s="199"/>
      <c r="I141" s="202" t="s">
        <v>205</v>
      </c>
      <c r="J141" s="78" t="n">
        <v>6551</v>
      </c>
      <c r="K141" s="204" t="n">
        <v>100</v>
      </c>
      <c r="L141" s="78"/>
    </row>
    <row r="142" customFormat="false" ht="12.75" hidden="false" customHeight="false" outlineLevel="0" collapsed="false">
      <c r="A142" s="79"/>
      <c r="B142" s="200" t="s">
        <v>11</v>
      </c>
      <c r="C142" s="199" t="n">
        <v>0</v>
      </c>
      <c r="D142" s="79" t="s">
        <v>82</v>
      </c>
      <c r="E142" s="79"/>
      <c r="F142" s="79"/>
      <c r="G142" s="199"/>
      <c r="H142" s="79"/>
      <c r="I142" s="202" t="s">
        <v>200</v>
      </c>
      <c r="J142" s="78" t="n">
        <v>6835</v>
      </c>
      <c r="K142" s="204" t="n">
        <v>0</v>
      </c>
      <c r="L142" s="78" t="s">
        <v>440</v>
      </c>
    </row>
    <row r="143" customFormat="false" ht="12.75" hidden="false" customHeight="false" outlineLevel="0" collapsed="false">
      <c r="A143" s="79"/>
      <c r="B143" s="200" t="s">
        <v>204</v>
      </c>
      <c r="C143" s="329" t="n">
        <v>0.025</v>
      </c>
      <c r="D143" s="79"/>
      <c r="E143" s="79"/>
      <c r="F143" s="79"/>
      <c r="G143" s="199"/>
      <c r="H143" s="79"/>
      <c r="I143" s="202" t="s">
        <v>202</v>
      </c>
      <c r="J143" s="78" t="n">
        <v>9676</v>
      </c>
      <c r="K143" s="204" t="n">
        <v>0</v>
      </c>
      <c r="L143" s="206"/>
    </row>
    <row r="144" customFormat="false" ht="12.75" hidden="false" customHeight="false" outlineLevel="0" collapsed="false">
      <c r="A144" s="79"/>
      <c r="B144" s="200" t="s">
        <v>206</v>
      </c>
      <c r="C144" s="199" t="n">
        <v>0</v>
      </c>
      <c r="D144" s="79"/>
      <c r="E144" s="79"/>
      <c r="F144" s="79"/>
      <c r="G144" s="199"/>
      <c r="H144" s="79"/>
      <c r="I144" s="202" t="s">
        <v>412</v>
      </c>
      <c r="J144" s="78" t="n">
        <v>4056</v>
      </c>
      <c r="K144" s="330" t="n">
        <f aca="false">599+31</f>
        <v>630</v>
      </c>
      <c r="L144" s="78"/>
    </row>
    <row r="145" customFormat="false" ht="12.75" hidden="false" customHeight="false" outlineLevel="0" collapsed="false">
      <c r="A145" s="79"/>
      <c r="B145" s="200" t="s">
        <v>208</v>
      </c>
      <c r="C145" s="329" t="n">
        <v>8.2</v>
      </c>
      <c r="D145" s="79"/>
      <c r="E145" s="79"/>
      <c r="F145" s="79"/>
      <c r="G145" s="199"/>
      <c r="H145" s="79"/>
      <c r="I145" s="202" t="s">
        <v>412</v>
      </c>
      <c r="J145" s="78" t="n">
        <v>6855</v>
      </c>
      <c r="K145" s="330" t="n">
        <v>1</v>
      </c>
      <c r="L145" s="78"/>
    </row>
    <row r="146" customFormat="false" ht="12.75" hidden="false" customHeight="false" outlineLevel="0" collapsed="false">
      <c r="A146" s="79"/>
      <c r="B146" s="200"/>
      <c r="C146" s="200"/>
      <c r="D146" s="79"/>
      <c r="E146" s="79"/>
      <c r="F146" s="79"/>
      <c r="G146" s="199"/>
      <c r="H146" s="79"/>
      <c r="I146" s="202" t="s">
        <v>209</v>
      </c>
      <c r="J146" s="78" t="n">
        <v>4132</v>
      </c>
      <c r="K146" s="204" t="n">
        <v>157</v>
      </c>
      <c r="L146" s="78"/>
    </row>
    <row r="147" customFormat="false" ht="12.75" hidden="false" customHeight="false" outlineLevel="0" collapsed="false">
      <c r="A147" s="79"/>
      <c r="B147" s="200" t="s">
        <v>211</v>
      </c>
      <c r="C147" s="331" t="n">
        <v>20</v>
      </c>
      <c r="D147" s="79"/>
      <c r="E147" s="79"/>
      <c r="F147" s="79"/>
      <c r="G147" s="199"/>
      <c r="H147" s="79"/>
      <c r="I147" s="202" t="s">
        <v>210</v>
      </c>
      <c r="J147" s="78" t="n">
        <v>4120</v>
      </c>
      <c r="K147" s="204" t="n">
        <v>821</v>
      </c>
      <c r="L147" s="78"/>
    </row>
    <row r="148" customFormat="false" ht="12.75" hidden="false" customHeight="false" outlineLevel="0" collapsed="false">
      <c r="A148" s="79"/>
      <c r="B148" s="200" t="s">
        <v>213</v>
      </c>
      <c r="C148" s="329" t="n">
        <v>3.85</v>
      </c>
      <c r="D148" s="79"/>
      <c r="E148" s="79"/>
      <c r="F148" s="79"/>
      <c r="G148" s="199"/>
      <c r="H148" s="78"/>
      <c r="I148" s="202" t="s">
        <v>99</v>
      </c>
      <c r="J148" s="78" t="n">
        <v>639</v>
      </c>
      <c r="K148" s="204" t="n">
        <v>500</v>
      </c>
      <c r="L148" s="78"/>
    </row>
    <row r="149" customFormat="false" ht="12.75" hidden="false" customHeight="false" outlineLevel="0" collapsed="false">
      <c r="A149" s="79"/>
      <c r="B149" s="200" t="s">
        <v>15</v>
      </c>
      <c r="C149" s="200" t="n">
        <v>0</v>
      </c>
      <c r="D149" s="79"/>
      <c r="E149" s="79"/>
      <c r="F149" s="79"/>
      <c r="G149" s="199"/>
      <c r="H149" s="78"/>
      <c r="I149" s="202" t="s">
        <v>212</v>
      </c>
      <c r="J149" s="78" t="n">
        <v>6840</v>
      </c>
      <c r="K149" s="204" t="n">
        <v>1148</v>
      </c>
      <c r="L149" s="78"/>
    </row>
    <row r="150" customFormat="false" ht="12.75" hidden="false" customHeight="false" outlineLevel="0" collapsed="false">
      <c r="A150" s="79"/>
      <c r="B150" s="200" t="s">
        <v>216</v>
      </c>
      <c r="C150" s="329" t="n">
        <v>0.025</v>
      </c>
      <c r="D150" s="79"/>
      <c r="E150" s="79"/>
      <c r="F150" s="79"/>
      <c r="G150" s="199"/>
      <c r="H150" s="78"/>
      <c r="I150" s="202" t="s">
        <v>215</v>
      </c>
      <c r="J150" s="78" t="n">
        <v>6519</v>
      </c>
      <c r="K150" s="204" t="n">
        <v>2</v>
      </c>
      <c r="L150" s="78"/>
    </row>
    <row r="151" customFormat="false" ht="12.75" hidden="false" customHeight="false" outlineLevel="0" collapsed="false">
      <c r="A151" s="79"/>
      <c r="B151" s="200" t="s">
        <v>97</v>
      </c>
      <c r="C151" s="329" t="n">
        <v>4</v>
      </c>
      <c r="D151" s="79"/>
      <c r="E151" s="79"/>
      <c r="F151" s="79"/>
      <c r="G151" s="199"/>
      <c r="H151" s="78"/>
      <c r="I151" s="202" t="s">
        <v>217</v>
      </c>
      <c r="J151" s="78" t="n">
        <v>5502</v>
      </c>
      <c r="K151" s="204" t="n">
        <v>37</v>
      </c>
      <c r="L151" s="78"/>
    </row>
    <row r="152" customFormat="false" ht="12.75" hidden="false" customHeight="false" outlineLevel="0" collapsed="false">
      <c r="A152" s="79"/>
      <c r="B152" s="200" t="s">
        <v>218</v>
      </c>
      <c r="C152" s="329" t="n">
        <v>0.05</v>
      </c>
      <c r="D152" s="79"/>
      <c r="E152" s="79"/>
      <c r="F152" s="79"/>
      <c r="G152" s="199"/>
      <c r="H152" s="78"/>
      <c r="I152" s="202" t="s">
        <v>219</v>
      </c>
      <c r="J152" s="78" t="n">
        <v>6789</v>
      </c>
      <c r="K152" s="204" t="n">
        <v>12500</v>
      </c>
      <c r="L152" s="78"/>
    </row>
    <row r="153" customFormat="false" ht="12.75" hidden="false" customHeight="false" outlineLevel="0" collapsed="false">
      <c r="A153" s="79"/>
      <c r="B153" s="200" t="s">
        <v>220</v>
      </c>
      <c r="C153" s="329" t="n">
        <v>19</v>
      </c>
      <c r="D153" s="79" t="n">
        <v>1</v>
      </c>
      <c r="E153" s="79"/>
      <c r="F153" s="79"/>
      <c r="G153" s="199"/>
      <c r="H153" s="78"/>
      <c r="I153" s="202" t="s">
        <v>221</v>
      </c>
      <c r="J153" s="78" t="n">
        <v>6545</v>
      </c>
      <c r="K153" s="204" t="n">
        <v>68</v>
      </c>
      <c r="L153" s="78"/>
    </row>
    <row r="154" customFormat="false" ht="12.75" hidden="false" customHeight="false" outlineLevel="0" collapsed="false">
      <c r="A154" s="79"/>
      <c r="B154" s="200" t="s">
        <v>222</v>
      </c>
      <c r="C154" s="329" t="n">
        <v>0.419</v>
      </c>
      <c r="D154" s="78"/>
      <c r="E154" s="79"/>
      <c r="F154" s="79"/>
      <c r="G154" s="199"/>
      <c r="H154" s="78"/>
      <c r="I154" s="202" t="s">
        <v>221</v>
      </c>
      <c r="J154" s="78" t="n">
        <v>275</v>
      </c>
      <c r="K154" s="204" t="n">
        <v>78</v>
      </c>
      <c r="L154" s="78"/>
    </row>
    <row r="155" customFormat="false" ht="12.75" hidden="false" customHeight="false" outlineLevel="0" collapsed="false">
      <c r="A155" s="79"/>
      <c r="B155" s="200"/>
      <c r="C155" s="200"/>
      <c r="D155" s="78"/>
      <c r="E155" s="79"/>
      <c r="F155" s="79"/>
      <c r="G155" s="199"/>
      <c r="H155" s="78"/>
      <c r="I155" s="202" t="s">
        <v>223</v>
      </c>
      <c r="J155" s="78" t="n">
        <v>9812</v>
      </c>
      <c r="K155" s="204" t="n">
        <v>457</v>
      </c>
      <c r="L155" s="78"/>
    </row>
    <row r="156" customFormat="false" ht="12.75" hidden="false" customHeight="false" outlineLevel="0" collapsed="false">
      <c r="A156" s="78"/>
      <c r="B156" s="200" t="s">
        <v>225</v>
      </c>
      <c r="C156" s="329" t="n">
        <v>5</v>
      </c>
      <c r="D156" s="78"/>
      <c r="E156" s="79"/>
      <c r="F156" s="79"/>
      <c r="G156" s="199"/>
      <c r="H156" s="78"/>
      <c r="I156" s="202" t="s">
        <v>226</v>
      </c>
      <c r="J156" s="78" t="n">
        <v>6387</v>
      </c>
      <c r="K156" s="204" t="n">
        <v>400</v>
      </c>
      <c r="L156" s="78"/>
    </row>
    <row r="157" customFormat="false" ht="12.75" hidden="false" customHeight="false" outlineLevel="0" collapsed="false">
      <c r="A157" s="78"/>
      <c r="B157" s="200" t="s">
        <v>227</v>
      </c>
      <c r="C157" s="199" t="n">
        <v>0</v>
      </c>
      <c r="D157" s="78"/>
      <c r="E157" s="79"/>
      <c r="F157" s="79"/>
      <c r="G157" s="199"/>
      <c r="H157" s="78"/>
      <c r="I157" s="202" t="s">
        <v>226</v>
      </c>
      <c r="J157" s="78" t="n">
        <v>6347</v>
      </c>
      <c r="K157" s="204" t="n">
        <v>190</v>
      </c>
      <c r="L157" s="78"/>
    </row>
    <row r="158" customFormat="false" ht="12.75" hidden="false" customHeight="false" outlineLevel="0" collapsed="false">
      <c r="A158" s="78"/>
      <c r="B158" s="200" t="s">
        <v>228</v>
      </c>
      <c r="C158" s="329" t="n">
        <v>10</v>
      </c>
      <c r="D158" s="78"/>
      <c r="E158" s="79"/>
      <c r="F158" s="79"/>
      <c r="G158" s="199"/>
      <c r="H158" s="78"/>
      <c r="I158" s="202" t="s">
        <v>226</v>
      </c>
      <c r="J158" s="78" t="n">
        <v>5892</v>
      </c>
      <c r="K158" s="204" t="n">
        <v>105</v>
      </c>
      <c r="L158" s="78"/>
    </row>
    <row r="159" customFormat="false" ht="12.75" hidden="false" customHeight="false" outlineLevel="0" collapsed="false">
      <c r="A159" s="78"/>
      <c r="B159" s="200" t="s">
        <v>229</v>
      </c>
      <c r="C159" s="329" t="n">
        <v>0.1</v>
      </c>
      <c r="D159" s="78"/>
      <c r="E159" s="79"/>
      <c r="F159" s="79"/>
      <c r="G159" s="199"/>
      <c r="H159" s="78"/>
      <c r="I159" s="202" t="s">
        <v>226</v>
      </c>
      <c r="J159" s="78" t="n">
        <v>6757</v>
      </c>
      <c r="K159" s="204" t="n">
        <v>200</v>
      </c>
      <c r="L159" s="78"/>
    </row>
    <row r="160" customFormat="false" ht="12.75" hidden="false" customHeight="false" outlineLevel="0" collapsed="false">
      <c r="A160" s="78"/>
      <c r="B160" s="332" t="s">
        <v>58</v>
      </c>
      <c r="C160" s="200" t="n">
        <v>0</v>
      </c>
      <c r="D160" s="78"/>
      <c r="E160" s="79"/>
      <c r="F160" s="79"/>
      <c r="G160" s="199"/>
      <c r="H160" s="78"/>
      <c r="I160" s="202" t="s">
        <v>231</v>
      </c>
      <c r="J160" s="78" t="n">
        <v>6598</v>
      </c>
      <c r="K160" s="204" t="n">
        <v>204</v>
      </c>
      <c r="L160" s="78"/>
    </row>
    <row r="161" customFormat="false" ht="12.75" hidden="false" customHeight="false" outlineLevel="0" collapsed="false">
      <c r="A161" s="78"/>
      <c r="B161" s="200" t="s">
        <v>232</v>
      </c>
      <c r="C161" s="329" t="n">
        <v>0.02</v>
      </c>
      <c r="D161" s="78"/>
      <c r="E161" s="79"/>
      <c r="F161" s="79"/>
      <c r="G161" s="199"/>
      <c r="H161" s="78"/>
      <c r="I161" s="202" t="s">
        <v>233</v>
      </c>
      <c r="J161" s="78" t="n">
        <v>6392</v>
      </c>
      <c r="K161" s="330" t="n">
        <v>65</v>
      </c>
      <c r="L161" s="78"/>
    </row>
    <row r="162" customFormat="false" ht="12.75" hidden="false" customHeight="false" outlineLevel="0" collapsed="false">
      <c r="A162" s="78"/>
      <c r="B162" s="200"/>
      <c r="C162" s="199"/>
      <c r="D162" s="78"/>
      <c r="E162" s="79"/>
      <c r="F162" s="79"/>
      <c r="G162" s="199"/>
      <c r="H162" s="78"/>
      <c r="I162" s="199" t="s">
        <v>410</v>
      </c>
      <c r="J162" s="78" t="n">
        <v>3405</v>
      </c>
      <c r="K162" s="204" t="n">
        <v>2429</v>
      </c>
      <c r="L162" s="78"/>
    </row>
    <row r="163" customFormat="false" ht="12.75" hidden="false" customHeight="false" outlineLevel="0" collapsed="false">
      <c r="A163" s="78"/>
      <c r="B163" s="200" t="s">
        <v>235</v>
      </c>
      <c r="C163" s="329" t="n">
        <v>0.556</v>
      </c>
      <c r="D163" s="78"/>
      <c r="E163" s="79"/>
      <c r="F163" s="79"/>
      <c r="G163" s="199"/>
      <c r="H163" s="78"/>
      <c r="I163" s="202" t="s">
        <v>234</v>
      </c>
      <c r="J163" s="78" t="n">
        <v>440</v>
      </c>
      <c r="K163" s="204" t="n">
        <v>444</v>
      </c>
      <c r="L163" s="78"/>
    </row>
    <row r="164" customFormat="false" ht="12.75" hidden="false" customHeight="false" outlineLevel="0" collapsed="false">
      <c r="A164" s="78"/>
      <c r="B164" s="200" t="s">
        <v>53</v>
      </c>
      <c r="C164" s="329" t="n">
        <v>10</v>
      </c>
      <c r="D164" s="78"/>
      <c r="E164" s="79"/>
      <c r="F164" s="79"/>
      <c r="G164" s="199"/>
      <c r="H164" s="78"/>
      <c r="I164" s="202" t="s">
        <v>135</v>
      </c>
      <c r="J164" s="78" t="n">
        <v>6173</v>
      </c>
      <c r="K164" s="330" t="n">
        <v>529</v>
      </c>
      <c r="L164" s="78"/>
    </row>
    <row r="165" customFormat="false" ht="12.75" hidden="false" customHeight="false" outlineLevel="0" collapsed="false">
      <c r="A165" s="78"/>
      <c r="B165" s="200" t="s">
        <v>237</v>
      </c>
      <c r="C165" s="329" t="n">
        <v>2</v>
      </c>
      <c r="D165" s="78"/>
      <c r="E165" s="79"/>
      <c r="F165" s="79"/>
      <c r="G165" s="199"/>
      <c r="H165" s="78"/>
      <c r="I165" s="202" t="s">
        <v>236</v>
      </c>
      <c r="J165" s="78"/>
      <c r="K165" s="202" t="n">
        <v>0</v>
      </c>
      <c r="L165" s="78"/>
    </row>
    <row r="166" customFormat="false" ht="12.75" hidden="false" customHeight="false" outlineLevel="0" collapsed="false">
      <c r="A166" s="78"/>
      <c r="B166" s="200" t="s">
        <v>21</v>
      </c>
      <c r="C166" s="333" t="n">
        <v>22.355</v>
      </c>
      <c r="D166" s="78" t="s">
        <v>413</v>
      </c>
      <c r="E166" s="79" t="s">
        <v>441</v>
      </c>
      <c r="F166" s="79"/>
      <c r="G166" s="199"/>
      <c r="H166" s="78"/>
      <c r="I166" s="202" t="s">
        <v>238</v>
      </c>
      <c r="J166" s="78" t="n">
        <v>4132</v>
      </c>
      <c r="K166" s="204" t="n">
        <v>7500</v>
      </c>
      <c r="L166" s="78"/>
    </row>
    <row r="167" customFormat="false" ht="12.75" hidden="false" customHeight="false" outlineLevel="0" collapsed="false">
      <c r="A167" s="78"/>
      <c r="B167" s="304" t="s">
        <v>19</v>
      </c>
      <c r="C167" s="329" t="n">
        <v>75</v>
      </c>
      <c r="D167" s="78" t="n">
        <v>65</v>
      </c>
      <c r="E167" s="79"/>
      <c r="F167" s="79"/>
      <c r="G167" s="199"/>
      <c r="H167" s="78"/>
      <c r="I167" s="202" t="s">
        <v>239</v>
      </c>
      <c r="J167" s="209" t="s">
        <v>240</v>
      </c>
      <c r="K167" s="204" t="n">
        <v>3073</v>
      </c>
      <c r="L167" s="78"/>
    </row>
    <row r="168" customFormat="false" ht="12.75" hidden="false" customHeight="false" outlineLevel="0" collapsed="false">
      <c r="A168" s="78"/>
      <c r="B168" s="200" t="s">
        <v>242</v>
      </c>
      <c r="C168" s="329" t="n">
        <v>0.18</v>
      </c>
      <c r="D168" s="78"/>
      <c r="E168" s="79"/>
      <c r="F168" s="79"/>
      <c r="G168" s="199"/>
      <c r="H168" s="78"/>
      <c r="I168" s="202" t="s">
        <v>241</v>
      </c>
      <c r="J168" s="78" t="n">
        <v>3405</v>
      </c>
      <c r="K168" s="202" t="n">
        <v>0</v>
      </c>
      <c r="L168" s="78"/>
    </row>
    <row r="169" customFormat="false" ht="12.75" hidden="false" customHeight="false" outlineLevel="0" collapsed="false">
      <c r="A169" s="78"/>
      <c r="B169" s="210" t="s">
        <v>244</v>
      </c>
      <c r="C169" s="334" t="n">
        <v>2.5</v>
      </c>
      <c r="D169" s="78"/>
      <c r="E169" s="79"/>
      <c r="F169" s="79"/>
      <c r="G169" s="199"/>
      <c r="H169" s="78"/>
      <c r="I169" s="202" t="s">
        <v>243</v>
      </c>
      <c r="J169" s="78" t="n">
        <v>6353</v>
      </c>
      <c r="K169" s="204" t="n">
        <v>4000</v>
      </c>
      <c r="L169" s="78"/>
    </row>
    <row r="170" customFormat="false" ht="12.75" hidden="false" customHeight="false" outlineLevel="0" collapsed="false">
      <c r="A170" s="78"/>
      <c r="B170" s="200" t="s">
        <v>23</v>
      </c>
      <c r="C170" s="329" t="n">
        <v>40</v>
      </c>
      <c r="D170" s="78"/>
      <c r="E170" s="79"/>
      <c r="F170" s="79"/>
      <c r="G170" s="199"/>
      <c r="H170" s="78"/>
      <c r="I170" s="202" t="s">
        <v>245</v>
      </c>
      <c r="J170" s="78" t="n">
        <v>6899</v>
      </c>
      <c r="K170" s="330" t="n">
        <v>400</v>
      </c>
      <c r="L170" s="78"/>
    </row>
    <row r="171" customFormat="false" ht="12.75" hidden="false" customHeight="false" outlineLevel="0" collapsed="false">
      <c r="A171" s="78"/>
      <c r="B171" s="200" t="s">
        <v>66</v>
      </c>
      <c r="C171" s="200" t="n">
        <v>0</v>
      </c>
      <c r="D171" s="78"/>
      <c r="E171" s="79"/>
      <c r="F171" s="79"/>
      <c r="G171" s="199"/>
      <c r="H171" s="78"/>
      <c r="I171" s="202" t="s">
        <v>247</v>
      </c>
      <c r="J171" s="211" t="s">
        <v>248</v>
      </c>
      <c r="K171" s="204" t="n">
        <v>20</v>
      </c>
      <c r="L171" s="78"/>
    </row>
    <row r="172" customFormat="false" ht="12.75" hidden="false" customHeight="false" outlineLevel="0" collapsed="false">
      <c r="A172" s="78"/>
      <c r="B172" s="200" t="s">
        <v>250</v>
      </c>
      <c r="C172" s="329" t="n">
        <v>11</v>
      </c>
      <c r="D172" s="206"/>
      <c r="E172" s="79"/>
      <c r="F172" s="79"/>
      <c r="G172" s="199"/>
      <c r="H172" s="78"/>
      <c r="I172" s="202" t="s">
        <v>249</v>
      </c>
      <c r="J172" s="78" t="n">
        <v>7491</v>
      </c>
      <c r="K172" s="204" t="n">
        <v>1000</v>
      </c>
      <c r="L172" s="78"/>
    </row>
    <row r="173" customFormat="false" ht="12.75" hidden="false" customHeight="false" outlineLevel="0" collapsed="false">
      <c r="A173" s="78"/>
      <c r="B173" s="200" t="s">
        <v>252</v>
      </c>
      <c r="C173" s="329" t="n">
        <v>0.5</v>
      </c>
      <c r="D173" s="78"/>
      <c r="E173" s="79"/>
      <c r="F173" s="79"/>
      <c r="G173" s="199"/>
      <c r="H173" s="78"/>
      <c r="I173" s="202" t="s">
        <v>251</v>
      </c>
      <c r="J173" s="78" t="n">
        <v>6173</v>
      </c>
      <c r="K173" s="204" t="n">
        <v>0</v>
      </c>
      <c r="L173" s="78"/>
    </row>
    <row r="174" customFormat="false" ht="12.75" hidden="false" customHeight="false" outlineLevel="0" collapsed="false">
      <c r="A174" s="78"/>
      <c r="B174" s="200" t="s">
        <v>254</v>
      </c>
      <c r="C174" s="329" t="n">
        <v>0.215</v>
      </c>
      <c r="D174" s="78"/>
      <c r="E174" s="79"/>
      <c r="F174" s="79"/>
      <c r="G174" s="199"/>
      <c r="H174" s="78"/>
      <c r="I174" s="202" t="s">
        <v>253</v>
      </c>
      <c r="J174" s="78" t="n">
        <v>6210</v>
      </c>
      <c r="K174" s="204" t="n">
        <v>7500</v>
      </c>
      <c r="L174" s="78"/>
    </row>
    <row r="175" customFormat="false" ht="12.75" hidden="false" customHeight="false" outlineLevel="0" collapsed="false">
      <c r="A175" s="78"/>
      <c r="B175" s="200" t="s">
        <v>62</v>
      </c>
      <c r="C175" s="329" t="n">
        <v>0.8</v>
      </c>
      <c r="D175" s="78"/>
      <c r="E175" s="79"/>
      <c r="F175" s="79"/>
      <c r="G175" s="199"/>
      <c r="H175" s="78"/>
      <c r="I175" s="202" t="s">
        <v>255</v>
      </c>
      <c r="J175" s="78" t="n">
        <v>5097</v>
      </c>
      <c r="K175" s="204" t="n">
        <v>0</v>
      </c>
      <c r="L175" s="78"/>
    </row>
    <row r="176" customFormat="false" ht="12.75" hidden="false" customHeight="false" outlineLevel="0" collapsed="false">
      <c r="A176" s="78"/>
      <c r="B176" s="200" t="s">
        <v>259</v>
      </c>
      <c r="C176" s="199" t="n">
        <v>0</v>
      </c>
      <c r="D176" s="78"/>
      <c r="E176" s="79"/>
      <c r="F176" s="79"/>
      <c r="G176" s="199"/>
      <c r="H176" s="78"/>
      <c r="I176" s="202" t="s">
        <v>256</v>
      </c>
      <c r="J176" s="78" t="s">
        <v>415</v>
      </c>
      <c r="K176" s="204" t="n">
        <v>60</v>
      </c>
      <c r="L176" s="78"/>
    </row>
    <row r="177" customFormat="false" ht="12.75" hidden="false" customHeight="false" outlineLevel="0" collapsed="false">
      <c r="A177" s="78"/>
      <c r="B177" s="200" t="s">
        <v>261</v>
      </c>
      <c r="C177" s="200" t="n">
        <v>0</v>
      </c>
      <c r="D177" s="78"/>
      <c r="E177" s="79"/>
      <c r="F177" s="79"/>
      <c r="G177" s="199"/>
      <c r="H177" s="78"/>
      <c r="I177" s="202" t="s">
        <v>260</v>
      </c>
      <c r="J177" s="211" t="s">
        <v>248</v>
      </c>
      <c r="K177" s="204" t="n">
        <v>800</v>
      </c>
      <c r="L177" s="78"/>
    </row>
    <row r="178" customFormat="false" ht="12.75" hidden="false" customHeight="false" outlineLevel="0" collapsed="false">
      <c r="A178" s="78"/>
      <c r="B178" s="200" t="s">
        <v>263</v>
      </c>
      <c r="C178" s="329" t="n">
        <v>1</v>
      </c>
      <c r="D178" s="78"/>
      <c r="E178" s="79"/>
      <c r="F178" s="79"/>
      <c r="G178" s="199"/>
      <c r="H178" s="78"/>
      <c r="I178" s="202" t="s">
        <v>273</v>
      </c>
      <c r="J178" s="78" t="n">
        <v>6614</v>
      </c>
      <c r="K178" s="204" t="n">
        <v>0</v>
      </c>
      <c r="L178" s="78"/>
    </row>
    <row r="179" customFormat="false" ht="12.75" hidden="false" customHeight="false" outlineLevel="0" collapsed="false">
      <c r="A179" s="78"/>
      <c r="B179" s="200" t="s">
        <v>265</v>
      </c>
      <c r="C179" s="329" t="n">
        <v>1.5</v>
      </c>
      <c r="D179" s="78"/>
      <c r="E179" s="79"/>
      <c r="F179" s="79"/>
      <c r="G179" s="199"/>
      <c r="H179" s="78"/>
      <c r="I179" s="202" t="s">
        <v>264</v>
      </c>
      <c r="J179" s="78" t="n">
        <v>5310</v>
      </c>
      <c r="K179" s="204" t="n">
        <v>138</v>
      </c>
      <c r="L179" s="78"/>
    </row>
    <row r="180" customFormat="false" ht="12.75" hidden="false" customHeight="false" outlineLevel="0" collapsed="false">
      <c r="A180" s="78"/>
      <c r="B180" s="200" t="s">
        <v>267</v>
      </c>
      <c r="C180" s="329" t="n">
        <v>1.4</v>
      </c>
      <c r="D180" s="78"/>
      <c r="E180" s="79"/>
      <c r="F180" s="79"/>
      <c r="G180" s="199"/>
      <c r="H180" s="78"/>
      <c r="I180" s="202" t="s">
        <v>275</v>
      </c>
      <c r="J180" s="78" t="n">
        <v>6542</v>
      </c>
      <c r="K180" s="204" t="n">
        <v>0</v>
      </c>
      <c r="L180" s="78"/>
    </row>
    <row r="181" customFormat="false" ht="12.75" hidden="false" customHeight="false" outlineLevel="0" collapsed="false">
      <c r="A181" s="78"/>
      <c r="B181" s="200" t="s">
        <v>270</v>
      </c>
      <c r="C181" s="329" t="n">
        <v>15</v>
      </c>
      <c r="D181" s="202"/>
      <c r="E181" s="79"/>
      <c r="F181" s="79"/>
      <c r="G181" s="199"/>
      <c r="H181" s="78"/>
      <c r="I181" s="202" t="s">
        <v>268</v>
      </c>
      <c r="J181" s="78" t="s">
        <v>416</v>
      </c>
      <c r="K181" s="204" t="n">
        <v>120</v>
      </c>
      <c r="L181" s="78"/>
    </row>
    <row r="182" customFormat="false" ht="12.75" hidden="false" customHeight="false" outlineLevel="0" collapsed="false">
      <c r="A182" s="78"/>
      <c r="B182" s="200" t="s">
        <v>272</v>
      </c>
      <c r="C182" s="329" t="n">
        <v>5.975</v>
      </c>
      <c r="D182" s="78"/>
      <c r="E182" s="79"/>
      <c r="F182" s="79"/>
      <c r="G182" s="199"/>
      <c r="H182" s="78"/>
      <c r="I182" s="202" t="s">
        <v>268</v>
      </c>
      <c r="J182" s="78" t="n">
        <v>6534</v>
      </c>
      <c r="K182" s="330" t="n">
        <v>2038</v>
      </c>
      <c r="L182" s="78"/>
    </row>
    <row r="183" customFormat="false" ht="12.75" hidden="false" customHeight="false" outlineLevel="0" collapsed="false">
      <c r="A183" s="78"/>
      <c r="B183" s="200" t="s">
        <v>274</v>
      </c>
      <c r="C183" s="329" t="n">
        <v>10</v>
      </c>
      <c r="D183" s="78"/>
      <c r="E183" s="79"/>
      <c r="F183" s="79"/>
      <c r="G183" s="199"/>
      <c r="H183" s="78"/>
      <c r="I183" s="202" t="s">
        <v>277</v>
      </c>
      <c r="J183" s="78" t="n">
        <v>5310</v>
      </c>
      <c r="K183" s="204" t="n">
        <v>184</v>
      </c>
      <c r="L183" s="78"/>
    </row>
    <row r="184" customFormat="false" ht="12.75" hidden="false" customHeight="false" outlineLevel="0" collapsed="false">
      <c r="A184" s="78"/>
      <c r="B184" s="200" t="s">
        <v>276</v>
      </c>
      <c r="C184" s="329" t="n">
        <v>0.05</v>
      </c>
      <c r="D184" s="78"/>
      <c r="E184" s="79"/>
      <c r="F184" s="79"/>
      <c r="G184" s="199"/>
      <c r="H184" s="78"/>
      <c r="I184" s="202" t="s">
        <v>279</v>
      </c>
      <c r="J184" s="78" t="n">
        <v>5310</v>
      </c>
      <c r="K184" s="204" t="n">
        <v>1200</v>
      </c>
      <c r="L184" s="78"/>
    </row>
    <row r="185" customFormat="false" ht="12.75" hidden="false" customHeight="false" outlineLevel="0" collapsed="false">
      <c r="A185" s="78"/>
      <c r="B185" s="200" t="s">
        <v>278</v>
      </c>
      <c r="C185" s="329" t="n">
        <v>0.6</v>
      </c>
      <c r="D185" s="78"/>
      <c r="E185" s="79"/>
      <c r="F185" s="79"/>
      <c r="G185" s="199"/>
      <c r="H185" s="78"/>
      <c r="I185" s="202" t="s">
        <v>285</v>
      </c>
      <c r="J185" s="78"/>
      <c r="K185" s="202" t="n">
        <v>0</v>
      </c>
      <c r="L185" s="78"/>
    </row>
    <row r="186" customFormat="false" ht="12.75" hidden="false" customHeight="false" outlineLevel="0" collapsed="false">
      <c r="A186" s="78"/>
      <c r="B186" s="200" t="s">
        <v>280</v>
      </c>
      <c r="C186" s="329" t="n">
        <v>0.24</v>
      </c>
      <c r="D186" s="78"/>
      <c r="E186" s="79"/>
      <c r="F186" s="79"/>
      <c r="G186" s="199"/>
      <c r="H186" s="78"/>
      <c r="I186" s="202" t="s">
        <v>284</v>
      </c>
      <c r="J186" s="78"/>
      <c r="K186" s="202" t="n">
        <v>0</v>
      </c>
      <c r="L186" s="78"/>
    </row>
    <row r="187" customFormat="false" ht="12.75" hidden="false" customHeight="false" outlineLevel="0" collapsed="false">
      <c r="A187" s="78"/>
      <c r="B187" s="200" t="s">
        <v>119</v>
      </c>
      <c r="C187" s="329" t="n">
        <v>5</v>
      </c>
      <c r="D187" s="78"/>
      <c r="E187" s="79"/>
      <c r="F187" s="79"/>
      <c r="G187" s="199"/>
      <c r="H187" s="78"/>
      <c r="I187" s="202" t="s">
        <v>287</v>
      </c>
      <c r="J187" s="78"/>
      <c r="K187" s="202" t="n">
        <v>0</v>
      </c>
      <c r="L187" s="78"/>
    </row>
    <row r="188" customFormat="false" ht="12.75" hidden="false" customHeight="false" outlineLevel="0" collapsed="false">
      <c r="A188" s="78"/>
      <c r="B188" s="335" t="s">
        <v>283</v>
      </c>
      <c r="C188" s="200" t="n">
        <v>0</v>
      </c>
      <c r="D188" s="78"/>
      <c r="E188" s="79"/>
      <c r="F188" s="79"/>
      <c r="G188" s="199"/>
      <c r="H188" s="78"/>
      <c r="I188" s="202" t="s">
        <v>281</v>
      </c>
      <c r="J188" s="78"/>
      <c r="K188" s="202" t="n">
        <v>0</v>
      </c>
      <c r="L188" s="78"/>
    </row>
    <row r="189" customFormat="false" ht="12.75" hidden="false" customHeight="false" outlineLevel="0" collapsed="false">
      <c r="A189" s="78"/>
      <c r="B189" s="200"/>
      <c r="C189" s="200"/>
      <c r="D189" s="78"/>
      <c r="E189" s="79"/>
      <c r="F189" s="79"/>
      <c r="G189" s="199"/>
      <c r="H189" s="78"/>
      <c r="I189" s="202" t="s">
        <v>282</v>
      </c>
      <c r="J189" s="78"/>
      <c r="K189" s="202" t="n">
        <v>0</v>
      </c>
      <c r="L189" s="78"/>
    </row>
    <row r="190" customFormat="false" ht="12.75" hidden="false" customHeight="false" outlineLevel="0" collapsed="false">
      <c r="A190" s="78"/>
      <c r="B190" s="200" t="s">
        <v>286</v>
      </c>
      <c r="C190" s="329" t="n">
        <v>0.45</v>
      </c>
      <c r="D190" s="78"/>
      <c r="E190" s="79"/>
      <c r="F190" s="79"/>
      <c r="G190" s="199"/>
      <c r="H190" s="78"/>
      <c r="I190" s="202" t="s">
        <v>291</v>
      </c>
      <c r="J190" s="78" t="n">
        <v>6722</v>
      </c>
      <c r="K190" s="330" t="n">
        <v>30</v>
      </c>
      <c r="L190" s="78"/>
    </row>
    <row r="191" customFormat="false" ht="12.75" hidden="false" customHeight="false" outlineLevel="0" collapsed="false">
      <c r="A191" s="78"/>
      <c r="B191" s="79" t="s">
        <v>288</v>
      </c>
      <c r="C191" s="79" t="n">
        <v>0</v>
      </c>
      <c r="D191" s="78"/>
      <c r="E191" s="79"/>
      <c r="F191" s="79"/>
      <c r="G191" s="199"/>
      <c r="H191" s="78"/>
      <c r="I191" s="202" t="s">
        <v>289</v>
      </c>
      <c r="J191" s="78" t="n">
        <v>7211</v>
      </c>
      <c r="K191" s="204" t="n">
        <v>0</v>
      </c>
      <c r="L191" s="78"/>
    </row>
    <row r="192" customFormat="false" ht="12.75" hidden="false" customHeight="false" outlineLevel="0" collapsed="false">
      <c r="A192" s="78"/>
      <c r="B192" s="200" t="s">
        <v>290</v>
      </c>
      <c r="C192" s="329" t="n">
        <v>20</v>
      </c>
      <c r="D192" s="78"/>
      <c r="E192" s="79"/>
      <c r="F192" s="79"/>
      <c r="G192" s="199"/>
      <c r="H192" s="78"/>
      <c r="I192" s="202" t="s">
        <v>293</v>
      </c>
      <c r="J192" s="78"/>
      <c r="K192" s="204" t="n">
        <v>630</v>
      </c>
      <c r="L192" s="78"/>
    </row>
    <row r="193" customFormat="false" ht="12.75" hidden="false" customHeight="false" outlineLevel="0" collapsed="false">
      <c r="A193" s="78"/>
      <c r="B193" s="200" t="s">
        <v>194</v>
      </c>
      <c r="C193" s="329" t="n">
        <v>2.4</v>
      </c>
      <c r="D193" s="78"/>
      <c r="E193" s="79"/>
      <c r="F193" s="79"/>
      <c r="G193" s="199"/>
      <c r="H193" s="78"/>
      <c r="I193" s="202" t="s">
        <v>294</v>
      </c>
      <c r="J193" s="78" t="n">
        <v>4063</v>
      </c>
      <c r="K193" s="204" t="n">
        <v>231</v>
      </c>
      <c r="L193" s="78"/>
    </row>
    <row r="194" customFormat="false" ht="12.75" hidden="false" customHeight="false" outlineLevel="0" collapsed="false">
      <c r="A194" s="78"/>
      <c r="B194" s="200" t="s">
        <v>292</v>
      </c>
      <c r="C194" s="329" t="n">
        <v>1.5</v>
      </c>
      <c r="D194" s="78"/>
      <c r="E194" s="79"/>
      <c r="F194" s="79"/>
      <c r="G194" s="199"/>
      <c r="H194" s="78"/>
      <c r="I194" s="202" t="s">
        <v>117</v>
      </c>
      <c r="J194" s="78" t="n">
        <v>3405</v>
      </c>
      <c r="K194" s="330" t="n">
        <v>2591</v>
      </c>
      <c r="L194" s="78"/>
    </row>
    <row r="195" customFormat="false" ht="12.75" hidden="false" customHeight="false" outlineLevel="0" collapsed="false">
      <c r="A195" s="78"/>
      <c r="B195" s="79" t="s">
        <v>125</v>
      </c>
      <c r="C195" s="336" t="n">
        <v>4.5</v>
      </c>
      <c r="D195" s="78"/>
      <c r="E195" s="79"/>
      <c r="F195" s="79"/>
      <c r="G195" s="199"/>
      <c r="H195" s="78"/>
      <c r="I195" s="202" t="s">
        <v>69</v>
      </c>
      <c r="J195" s="78" t="s">
        <v>417</v>
      </c>
      <c r="K195" s="330" t="n">
        <v>7000</v>
      </c>
      <c r="L195" s="78"/>
    </row>
    <row r="196" customFormat="false" ht="12.75" hidden="false" customHeight="false" outlineLevel="0" collapsed="false">
      <c r="A196" s="78"/>
      <c r="B196" s="200" t="s">
        <v>295</v>
      </c>
      <c r="C196" s="329" t="n">
        <v>4</v>
      </c>
      <c r="D196" s="78"/>
      <c r="E196" s="79"/>
      <c r="F196" s="79"/>
      <c r="G196" s="199"/>
      <c r="H196" s="78"/>
      <c r="I196" s="202" t="s">
        <v>296</v>
      </c>
      <c r="J196" s="78" t="n">
        <v>9643</v>
      </c>
      <c r="K196" s="204" t="n">
        <v>4300</v>
      </c>
      <c r="L196" s="78"/>
    </row>
    <row r="197" customFormat="false" ht="12.75" hidden="false" customHeight="false" outlineLevel="0" collapsed="false">
      <c r="A197" s="78"/>
      <c r="B197" s="200" t="s">
        <v>297</v>
      </c>
      <c r="C197" s="329" t="n">
        <v>0.08</v>
      </c>
      <c r="D197" s="78"/>
      <c r="E197" s="79"/>
      <c r="F197" s="79"/>
      <c r="G197" s="199"/>
      <c r="H197" s="78"/>
      <c r="I197" s="202" t="s">
        <v>298</v>
      </c>
      <c r="J197" s="78" t="n">
        <v>6788</v>
      </c>
      <c r="K197" s="204" t="n">
        <v>250</v>
      </c>
      <c r="L197" s="78"/>
    </row>
    <row r="198" customFormat="false" ht="12.75" hidden="false" customHeight="false" outlineLevel="0" collapsed="false">
      <c r="A198" s="78"/>
      <c r="B198" s="200" t="s">
        <v>299</v>
      </c>
      <c r="C198" s="329" t="n">
        <v>40</v>
      </c>
      <c r="D198" s="78"/>
      <c r="E198" s="79"/>
      <c r="F198" s="79"/>
      <c r="G198" s="199"/>
      <c r="H198" s="78"/>
      <c r="I198" s="202" t="s">
        <v>300</v>
      </c>
      <c r="J198" s="78" t="n">
        <v>6683</v>
      </c>
      <c r="K198" s="330" t="n">
        <v>2500</v>
      </c>
      <c r="L198" s="78"/>
    </row>
    <row r="199" customFormat="false" ht="12.75" hidden="false" customHeight="false" outlineLevel="0" collapsed="false">
      <c r="A199" s="78"/>
      <c r="B199" s="200" t="s">
        <v>31</v>
      </c>
      <c r="C199" s="329" t="n">
        <v>17</v>
      </c>
      <c r="D199" s="78"/>
      <c r="E199" s="79"/>
      <c r="F199" s="79"/>
      <c r="G199" s="199"/>
      <c r="H199" s="78"/>
      <c r="I199" s="202" t="s">
        <v>301</v>
      </c>
      <c r="J199" s="78" t="n">
        <v>2185</v>
      </c>
      <c r="K199" s="204" t="n">
        <v>35</v>
      </c>
      <c r="L199" s="78"/>
    </row>
    <row r="200" customFormat="false" ht="12.75" hidden="false" customHeight="false" outlineLevel="0" collapsed="false">
      <c r="A200" s="78"/>
      <c r="B200" s="200" t="s">
        <v>302</v>
      </c>
      <c r="C200" s="329" t="n">
        <v>1</v>
      </c>
      <c r="D200" s="78"/>
      <c r="E200" s="79"/>
      <c r="F200" s="210"/>
      <c r="G200" s="199"/>
      <c r="H200" s="78"/>
      <c r="I200" s="202" t="s">
        <v>306</v>
      </c>
      <c r="J200" s="78" t="s">
        <v>418</v>
      </c>
      <c r="K200" s="204" t="n">
        <v>8677</v>
      </c>
      <c r="L200" s="78"/>
    </row>
    <row r="201" customFormat="false" ht="12.75" hidden="false" customHeight="false" outlineLevel="0" collapsed="false">
      <c r="A201" s="78"/>
      <c r="B201" s="200" t="s">
        <v>185</v>
      </c>
      <c r="C201" s="200" t="n">
        <v>0</v>
      </c>
      <c r="D201" s="78"/>
      <c r="E201" s="79"/>
      <c r="F201" s="79"/>
      <c r="G201" s="199"/>
      <c r="H201" s="78"/>
      <c r="I201" s="202" t="s">
        <v>309</v>
      </c>
      <c r="J201" s="78" t="n">
        <v>4132</v>
      </c>
      <c r="K201" s="204" t="n">
        <v>9</v>
      </c>
      <c r="L201" s="78"/>
    </row>
    <row r="202" customFormat="false" ht="12.75" hidden="false" customHeight="false" outlineLevel="0" collapsed="false">
      <c r="A202" s="78"/>
      <c r="B202" s="200" t="s">
        <v>305</v>
      </c>
      <c r="C202" s="329" t="n">
        <v>1</v>
      </c>
      <c r="D202" s="78"/>
      <c r="E202" s="79"/>
      <c r="F202" s="79"/>
      <c r="G202" s="199"/>
      <c r="H202" s="78"/>
      <c r="I202" s="202" t="s">
        <v>118</v>
      </c>
      <c r="J202" s="78" t="n">
        <v>2540</v>
      </c>
      <c r="K202" s="204" t="n">
        <v>10</v>
      </c>
      <c r="L202" s="78"/>
    </row>
    <row r="203" customFormat="false" ht="12.75" hidden="false" customHeight="false" outlineLevel="0" collapsed="false">
      <c r="A203" s="78"/>
      <c r="B203" s="200" t="s">
        <v>308</v>
      </c>
      <c r="C203" s="329" t="n">
        <v>65</v>
      </c>
      <c r="D203" s="78"/>
      <c r="E203" s="79"/>
      <c r="F203" s="79"/>
      <c r="G203" s="199"/>
      <c r="H203" s="78"/>
      <c r="I203" s="202" t="s">
        <v>312</v>
      </c>
      <c r="J203" s="78" t="n">
        <v>9643</v>
      </c>
      <c r="K203" s="204" t="n">
        <v>15</v>
      </c>
      <c r="L203" s="78"/>
    </row>
    <row r="204" customFormat="false" ht="12.75" hidden="false" customHeight="false" outlineLevel="0" collapsed="false">
      <c r="A204" s="78"/>
      <c r="B204" s="200" t="s">
        <v>310</v>
      </c>
      <c r="C204" s="329" t="n">
        <v>0.3</v>
      </c>
      <c r="D204" s="78"/>
      <c r="E204" s="79"/>
      <c r="F204" s="79"/>
      <c r="G204" s="199"/>
      <c r="H204" s="78"/>
      <c r="I204" s="202" t="s">
        <v>312</v>
      </c>
      <c r="J204" s="78" t="n">
        <v>5801</v>
      </c>
      <c r="K204" s="204" t="n">
        <v>29</v>
      </c>
      <c r="L204" s="78"/>
    </row>
    <row r="205" customFormat="false" ht="12.75" hidden="false" customHeight="false" outlineLevel="0" collapsed="false">
      <c r="A205" s="78"/>
      <c r="B205" s="200" t="s">
        <v>311</v>
      </c>
      <c r="C205" s="329" t="n">
        <v>0.043</v>
      </c>
      <c r="D205" s="78"/>
      <c r="E205" s="79"/>
      <c r="F205" s="79"/>
      <c r="G205" s="199"/>
      <c r="H205" s="78"/>
      <c r="I205" s="202" t="s">
        <v>315</v>
      </c>
      <c r="J205" s="78" t="n">
        <v>6589</v>
      </c>
      <c r="K205" s="204" t="n">
        <v>1100</v>
      </c>
      <c r="L205" s="206" t="s">
        <v>442</v>
      </c>
    </row>
    <row r="206" customFormat="false" ht="12.75" hidden="false" customHeight="false" outlineLevel="0" collapsed="false">
      <c r="A206" s="78"/>
      <c r="B206" s="200" t="s">
        <v>313</v>
      </c>
      <c r="C206" s="200" t="n">
        <v>0</v>
      </c>
      <c r="D206" s="78"/>
      <c r="E206" s="79"/>
      <c r="F206" s="79"/>
      <c r="G206" s="199"/>
      <c r="H206" s="78"/>
      <c r="I206" s="202" t="s">
        <v>316</v>
      </c>
      <c r="J206" s="78" t="n">
        <v>106</v>
      </c>
      <c r="K206" s="204" t="n">
        <v>1068</v>
      </c>
      <c r="L206" s="78"/>
    </row>
    <row r="207" customFormat="false" ht="12.75" hidden="false" customHeight="false" outlineLevel="0" collapsed="false">
      <c r="A207" s="78"/>
      <c r="B207" s="200" t="s">
        <v>314</v>
      </c>
      <c r="C207" s="329" t="n">
        <v>0.05</v>
      </c>
      <c r="D207" s="78"/>
      <c r="E207" s="79"/>
      <c r="F207" s="79"/>
      <c r="G207" s="199"/>
      <c r="H207" s="78"/>
      <c r="I207" s="202" t="s">
        <v>321</v>
      </c>
      <c r="J207" s="78" t="n">
        <v>6598</v>
      </c>
      <c r="K207" s="204" t="n">
        <v>4206</v>
      </c>
      <c r="L207" s="78"/>
    </row>
    <row r="208" customFormat="false" ht="12.75" hidden="false" customHeight="false" outlineLevel="0" collapsed="false">
      <c r="A208" s="78"/>
      <c r="B208" s="79" t="s">
        <v>216</v>
      </c>
      <c r="C208" s="79" t="n">
        <v>0</v>
      </c>
      <c r="D208" s="78"/>
      <c r="E208" s="79"/>
      <c r="F208" s="79"/>
      <c r="G208" s="199"/>
      <c r="H208" s="78"/>
      <c r="I208" s="199"/>
      <c r="J208" s="78"/>
      <c r="K208" s="337" t="n">
        <f aca="false">SUM(K132:K207)</f>
        <v>89805</v>
      </c>
    </row>
    <row r="209" customFormat="false" ht="12.75" hidden="false" customHeight="false" outlineLevel="0" collapsed="false">
      <c r="A209" s="78"/>
      <c r="B209" s="200" t="s">
        <v>317</v>
      </c>
      <c r="C209" s="200" t="n">
        <v>0</v>
      </c>
      <c r="D209" s="78"/>
      <c r="E209" s="79"/>
      <c r="F209" s="79"/>
      <c r="G209" s="199"/>
      <c r="H209" s="78"/>
      <c r="I209" s="199"/>
      <c r="J209" s="78"/>
      <c r="K209" s="204"/>
      <c r="L209" s="78"/>
    </row>
    <row r="210" customFormat="false" ht="12.75" hidden="false" customHeight="false" outlineLevel="0" collapsed="false">
      <c r="A210" s="78"/>
      <c r="B210" s="0" t="s">
        <v>319</v>
      </c>
      <c r="C210" s="79" t="n">
        <v>0</v>
      </c>
      <c r="D210" s="78"/>
      <c r="E210" s="79"/>
      <c r="F210" s="79"/>
      <c r="G210" s="199"/>
      <c r="H210" s="78"/>
      <c r="I210" s="202"/>
      <c r="J210" s="78"/>
      <c r="K210" s="202"/>
      <c r="L210" s="78"/>
    </row>
    <row r="211" customFormat="false" ht="12.75" hidden="false" customHeight="false" outlineLevel="0" collapsed="false">
      <c r="A211" s="78"/>
      <c r="B211" s="0" t="s">
        <v>322</v>
      </c>
      <c r="C211" s="79" t="n">
        <v>0</v>
      </c>
      <c r="D211" s="78"/>
      <c r="E211" s="79"/>
      <c r="F211" s="79"/>
      <c r="G211" s="199"/>
      <c r="H211" s="78"/>
      <c r="I211" s="202"/>
      <c r="J211" s="78"/>
      <c r="L211" s="78"/>
    </row>
    <row r="212" customFormat="false" ht="12.75" hidden="false" customHeight="false" outlineLevel="0" collapsed="false">
      <c r="A212" s="78"/>
      <c r="B212" s="0"/>
      <c r="C212" s="213" t="n">
        <f aca="false">SUM(C132:C211)</f>
        <v>452.414</v>
      </c>
      <c r="D212" s="78"/>
      <c r="E212" s="79"/>
      <c r="F212" s="79"/>
      <c r="G212" s="199"/>
      <c r="H212" s="78"/>
      <c r="I212" s="202"/>
      <c r="J212" s="78"/>
      <c r="K212" s="204"/>
      <c r="L212" s="78"/>
    </row>
    <row r="213" customFormat="false" ht="12.75" hidden="false" customHeight="false" outlineLevel="0" collapsed="false">
      <c r="B213" s="0"/>
      <c r="C213" s="79"/>
      <c r="D213" s="78"/>
      <c r="E213" s="79"/>
      <c r="F213" s="79"/>
      <c r="G213" s="199"/>
      <c r="H213" s="78"/>
      <c r="I213" s="202"/>
      <c r="J213" s="78"/>
      <c r="K213" s="202"/>
      <c r="L213" s="78"/>
    </row>
    <row r="214" customFormat="false" ht="12.75" hidden="false" customHeight="false" outlineLevel="0" collapsed="false">
      <c r="B214" s="0"/>
      <c r="C214" s="79"/>
      <c r="D214" s="78"/>
      <c r="E214" s="213"/>
      <c r="F214" s="79"/>
      <c r="G214" s="202"/>
      <c r="H214" s="78"/>
      <c r="I214" s="202"/>
      <c r="J214" s="78"/>
      <c r="K214" s="204"/>
      <c r="L214" s="78"/>
    </row>
    <row r="215" customFormat="false" ht="12.75" hidden="false" customHeight="false" outlineLevel="0" collapsed="false">
      <c r="B215" s="0"/>
      <c r="C215" s="79"/>
      <c r="D215" s="78"/>
      <c r="E215" s="78"/>
      <c r="F215" s="78"/>
      <c r="G215" s="78"/>
      <c r="H215" s="78"/>
      <c r="I215" s="202"/>
      <c r="J215" s="78"/>
      <c r="K215" s="204"/>
      <c r="L215" s="78"/>
    </row>
    <row r="216" customFormat="false" ht="12.75" hidden="false" customHeight="false" outlineLevel="0" collapsed="false">
      <c r="B216" s="216" t="s">
        <v>11</v>
      </c>
      <c r="C216" s="200" t="n">
        <v>0</v>
      </c>
      <c r="D216" s="78"/>
      <c r="E216" s="78"/>
      <c r="F216" s="78"/>
      <c r="G216" s="78"/>
      <c r="H216" s="78"/>
      <c r="I216" s="202"/>
      <c r="J216" s="78"/>
      <c r="K216" s="204"/>
      <c r="L216" s="78"/>
    </row>
    <row r="217" customFormat="false" ht="12.75" hidden="false" customHeight="false" outlineLevel="0" collapsed="false">
      <c r="A217" s="215"/>
      <c r="B217" s="216" t="s">
        <v>9</v>
      </c>
      <c r="C217" s="200" t="n">
        <v>0</v>
      </c>
      <c r="D217" s="78"/>
      <c r="E217" s="78"/>
      <c r="F217" s="78"/>
      <c r="G217" s="78"/>
      <c r="H217" s="78"/>
      <c r="I217" s="202"/>
      <c r="J217" s="78"/>
      <c r="K217" s="204"/>
      <c r="L217" s="78"/>
    </row>
    <row r="218" customFormat="false" ht="12.75" hidden="false" customHeight="false" outlineLevel="0" collapsed="false">
      <c r="B218" s="216" t="s">
        <v>323</v>
      </c>
      <c r="C218" s="200" t="n">
        <v>0</v>
      </c>
      <c r="D218" s="78"/>
      <c r="E218" s="78"/>
      <c r="F218" s="78"/>
      <c r="G218" s="78"/>
      <c r="H218" s="78"/>
      <c r="I218" s="79"/>
      <c r="J218" s="78"/>
      <c r="K218" s="204"/>
      <c r="L218" s="78"/>
    </row>
    <row r="219" customFormat="false" ht="12.75" hidden="false" customHeight="false" outlineLevel="0" collapsed="false">
      <c r="B219" s="216" t="s">
        <v>15</v>
      </c>
      <c r="C219" s="200" t="n">
        <v>0</v>
      </c>
      <c r="D219" s="78" t="n">
        <v>3</v>
      </c>
      <c r="E219" s="78"/>
      <c r="F219" s="78"/>
      <c r="G219" s="78"/>
      <c r="H219" s="78"/>
      <c r="I219" s="78"/>
      <c r="J219" s="78"/>
    </row>
    <row r="220" customFormat="false" ht="12.75" hidden="false" customHeight="false" outlineLevel="0" collapsed="false">
      <c r="B220" s="216" t="s">
        <v>227</v>
      </c>
      <c r="C220" s="200" t="n">
        <v>0</v>
      </c>
      <c r="D220" s="78" t="s">
        <v>324</v>
      </c>
      <c r="E220" s="78"/>
      <c r="F220" s="78"/>
      <c r="G220" s="78"/>
      <c r="H220" s="78"/>
      <c r="I220" s="78"/>
      <c r="J220" s="78"/>
      <c r="K220" s="78"/>
    </row>
    <row r="221" customFormat="false" ht="12.75" hidden="false" customHeight="false" outlineLevel="0" collapsed="false">
      <c r="B221" s="216" t="s">
        <v>53</v>
      </c>
      <c r="C221" s="200" t="n">
        <v>0</v>
      </c>
      <c r="D221" s="78"/>
      <c r="E221" s="78"/>
      <c r="F221" s="78" t="n">
        <v>5</v>
      </c>
      <c r="G221" s="78"/>
      <c r="H221" s="78"/>
      <c r="I221" s="78"/>
      <c r="J221" s="78"/>
      <c r="K221" s="78"/>
    </row>
    <row r="222" customFormat="false" ht="12.75" hidden="false" customHeight="false" outlineLevel="0" collapsed="false">
      <c r="B222" s="216" t="s">
        <v>21</v>
      </c>
      <c r="C222" s="200" t="n">
        <v>0</v>
      </c>
      <c r="D222" s="78" t="s">
        <v>325</v>
      </c>
      <c r="E222" s="78"/>
      <c r="F222" s="78" t="n">
        <v>10</v>
      </c>
      <c r="G222" s="78"/>
      <c r="H222" s="78"/>
      <c r="I222" s="78"/>
      <c r="J222" s="78"/>
      <c r="K222" s="78"/>
    </row>
    <row r="223" customFormat="false" ht="12.75" hidden="false" customHeight="false" outlineLevel="0" collapsed="false">
      <c r="B223" s="216" t="s">
        <v>19</v>
      </c>
      <c r="C223" s="200" t="n">
        <v>0</v>
      </c>
      <c r="D223" s="78"/>
      <c r="E223" s="78"/>
      <c r="F223" s="78"/>
      <c r="G223" s="78"/>
      <c r="H223" s="78"/>
      <c r="I223" s="78"/>
      <c r="J223" s="78"/>
      <c r="K223" s="78"/>
    </row>
    <row r="224" customFormat="false" ht="12.75" hidden="false" customHeight="false" outlineLevel="0" collapsed="false">
      <c r="B224" s="216" t="s">
        <v>23</v>
      </c>
      <c r="C224" s="200" t="n">
        <v>0</v>
      </c>
      <c r="D224" s="78"/>
      <c r="E224" s="78"/>
      <c r="F224" s="78"/>
      <c r="G224" s="78"/>
      <c r="H224" s="78"/>
      <c r="I224" s="78"/>
      <c r="J224" s="78"/>
      <c r="K224" s="78"/>
    </row>
    <row r="225" customFormat="false" ht="12.75" hidden="false" customHeight="false" outlineLevel="0" collapsed="false">
      <c r="B225" s="0" t="s">
        <v>250</v>
      </c>
      <c r="C225" s="79" t="n">
        <v>0</v>
      </c>
      <c r="D225" s="78" t="s">
        <v>324</v>
      </c>
      <c r="E225" s="78"/>
      <c r="F225" s="78" t="n">
        <v>5</v>
      </c>
      <c r="G225" s="78"/>
      <c r="H225" s="78"/>
      <c r="I225" s="79"/>
      <c r="J225" s="78"/>
      <c r="K225" s="78"/>
    </row>
    <row r="226" customFormat="false" ht="12.75" hidden="false" customHeight="false" outlineLevel="0" collapsed="false">
      <c r="B226" s="216" t="s">
        <v>270</v>
      </c>
      <c r="C226" s="200" t="n">
        <v>0</v>
      </c>
      <c r="D226" s="78" t="s">
        <v>324</v>
      </c>
      <c r="E226" s="78"/>
      <c r="F226" s="78" t="n">
        <v>15</v>
      </c>
      <c r="G226" s="78"/>
      <c r="H226" s="78"/>
      <c r="I226" s="78"/>
      <c r="J226" s="78"/>
    </row>
    <row r="227" customFormat="false" ht="12.75" hidden="false" customHeight="false" outlineLevel="0" collapsed="false">
      <c r="A227" s="1" t="s">
        <v>326</v>
      </c>
      <c r="B227" s="216" t="s">
        <v>327</v>
      </c>
      <c r="C227" s="200" t="n">
        <v>0</v>
      </c>
      <c r="D227" s="78" t="s">
        <v>324</v>
      </c>
      <c r="E227" s="78"/>
      <c r="F227" s="78" t="n">
        <v>15</v>
      </c>
      <c r="G227" s="78"/>
      <c r="H227" s="78"/>
      <c r="I227" s="78"/>
      <c r="J227" s="78"/>
    </row>
    <row r="228" customFormat="false" ht="12.75" hidden="false" customHeight="false" outlineLevel="0" collapsed="false">
      <c r="B228" s="0" t="s">
        <v>299</v>
      </c>
      <c r="C228" s="199" t="n">
        <v>0</v>
      </c>
      <c r="D228" s="78"/>
      <c r="E228" s="78"/>
      <c r="F228" s="78" t="n">
        <v>5</v>
      </c>
      <c r="G228" s="78"/>
      <c r="H228" s="78"/>
      <c r="I228" s="78"/>
      <c r="J228" s="78"/>
    </row>
    <row r="229" customFormat="false" ht="12.75" hidden="false" customHeight="false" outlineLevel="0" collapsed="false">
      <c r="B229" s="0" t="s">
        <v>31</v>
      </c>
      <c r="C229" s="199" t="n">
        <v>0</v>
      </c>
      <c r="D229" s="78" t="s">
        <v>328</v>
      </c>
      <c r="E229" s="78"/>
      <c r="F229" s="78"/>
      <c r="G229" s="78"/>
      <c r="H229" s="78"/>
      <c r="I229" s="78"/>
      <c r="J229" s="78"/>
    </row>
    <row r="230" customFormat="false" ht="12.75" hidden="false" customHeight="false" outlineLevel="0" collapsed="false">
      <c r="B230" s="0" t="s">
        <v>317</v>
      </c>
      <c r="C230" s="199" t="n">
        <v>0</v>
      </c>
      <c r="D230" s="78"/>
      <c r="E230" s="78"/>
      <c r="F230" s="78" t="n">
        <f aca="false">SUM(F221:F229)</f>
        <v>55</v>
      </c>
      <c r="G230" s="78"/>
      <c r="H230" s="78"/>
      <c r="I230" s="78"/>
      <c r="J230" s="78"/>
    </row>
    <row r="231" customFormat="false" ht="12.75" hidden="false" customHeight="false" outlineLevel="0" collapsed="false">
      <c r="B231" s="0" t="s">
        <v>329</v>
      </c>
      <c r="C231" s="199" t="n">
        <v>0</v>
      </c>
      <c r="D231" s="78"/>
      <c r="E231" s="78"/>
      <c r="F231" s="78"/>
      <c r="G231" s="78"/>
      <c r="H231" s="78"/>
      <c r="I231" s="78"/>
      <c r="J231" s="78"/>
    </row>
    <row r="232" customFormat="false" ht="12.75" hidden="false" customHeight="false" outlineLevel="0" collapsed="false">
      <c r="B232" s="0" t="s">
        <v>330</v>
      </c>
      <c r="C232" s="217" t="n">
        <f aca="false">SUM(C216:C231)</f>
        <v>0</v>
      </c>
      <c r="D232" s="78"/>
      <c r="E232" s="78"/>
      <c r="F232" s="78"/>
      <c r="G232" s="78"/>
      <c r="H232" s="78"/>
      <c r="I232" s="78"/>
      <c r="J232" s="78"/>
    </row>
    <row r="233" customFormat="false" ht="12.75" hidden="false" customHeight="false" outlineLevel="0" collapsed="false">
      <c r="B233" s="48"/>
      <c r="C233" s="48"/>
      <c r="D233" s="78"/>
      <c r="E233" s="78"/>
      <c r="F233" s="78"/>
      <c r="G233" s="78"/>
      <c r="H233" s="78"/>
      <c r="I233" s="78"/>
      <c r="J233" s="78"/>
    </row>
    <row r="234" customFormat="false" ht="12.75" hidden="false" customHeight="false" outlineLevel="0" collapsed="false">
      <c r="B234" s="0"/>
      <c r="C234" s="0" t="n">
        <f aca="false">C212+C232</f>
        <v>452.414</v>
      </c>
      <c r="D234" s="78"/>
      <c r="F234" s="78"/>
      <c r="G234" s="78"/>
      <c r="H234" s="78"/>
      <c r="I234" s="78"/>
      <c r="J234" s="78"/>
    </row>
    <row r="235" customFormat="false" ht="12.75" hidden="false" customHeight="false" outlineLevel="0" collapsed="false">
      <c r="B235" s="0"/>
      <c r="C235" s="0"/>
      <c r="H235" s="78"/>
      <c r="I235" s="78"/>
      <c r="J235" s="78"/>
    </row>
    <row r="236" customFormat="false" ht="12.75" hidden="false" customHeight="false" outlineLevel="0" collapsed="false">
      <c r="B236" s="0"/>
      <c r="C236" s="0" t="n">
        <f aca="false">E214-C234</f>
        <v>-452.414</v>
      </c>
      <c r="I236" s="79"/>
      <c r="J236" s="78"/>
    </row>
    <row r="237" customFormat="false" ht="12.75" hidden="false" customHeight="false" outlineLevel="0" collapsed="false">
      <c r="B237" s="0"/>
      <c r="C237" s="0"/>
      <c r="I237" s="79"/>
      <c r="J237" s="78"/>
    </row>
    <row r="238" customFormat="false" ht="12" hidden="false" customHeight="false" outlineLevel="0" collapsed="false">
      <c r="G238" s="218" t="s">
        <v>331</v>
      </c>
      <c r="H238" s="219"/>
      <c r="I238" s="219"/>
      <c r="J238" s="219"/>
      <c r="K238" s="219"/>
      <c r="N238" s="219"/>
      <c r="O238" s="219"/>
      <c r="P238" s="219"/>
      <c r="Q238" s="219"/>
      <c r="R238" s="219"/>
      <c r="S238" s="220"/>
    </row>
    <row r="239" customFormat="false" ht="12.75" hidden="false" customHeight="false" outlineLevel="0" collapsed="false">
      <c r="G239" s="221"/>
      <c r="H239" s="222" t="s">
        <v>332</v>
      </c>
      <c r="I239" s="226"/>
      <c r="J239" s="227"/>
      <c r="K239" s="223"/>
      <c r="L239" s="219"/>
      <c r="M239" s="219"/>
      <c r="N239" s="223"/>
      <c r="O239" s="223"/>
      <c r="P239" s="223"/>
      <c r="Q239" s="223"/>
      <c r="R239" s="87"/>
      <c r="S239" s="181"/>
    </row>
    <row r="240" customFormat="false" ht="12.75" hidden="false" customHeight="false" outlineLevel="0" collapsed="false">
      <c r="B240" s="0"/>
      <c r="C240" s="225"/>
      <c r="G240" s="224"/>
      <c r="H240" s="87"/>
      <c r="I240" s="81" t="s">
        <v>334</v>
      </c>
      <c r="J240" s="228" t="n">
        <v>0</v>
      </c>
      <c r="K240" s="87"/>
      <c r="L240" s="223"/>
      <c r="M240" s="223"/>
      <c r="N240" s="87"/>
      <c r="O240" s="87"/>
      <c r="P240" s="87"/>
      <c r="Q240" s="87"/>
      <c r="R240" s="87"/>
      <c r="S240" s="184"/>
    </row>
    <row r="241" customFormat="false" ht="12.75" hidden="false" customHeight="false" outlineLevel="0" collapsed="false">
      <c r="B241" s="0"/>
      <c r="C241" s="225"/>
      <c r="G241" s="224"/>
      <c r="H241" s="87"/>
      <c r="I241" s="87" t="s">
        <v>335</v>
      </c>
      <c r="J241" s="214" t="n">
        <v>0</v>
      </c>
      <c r="K241" s="87"/>
      <c r="L241" s="87"/>
      <c r="M241" s="87"/>
      <c r="N241" s="87"/>
      <c r="O241" s="87"/>
      <c r="P241" s="87"/>
      <c r="Q241" s="87"/>
      <c r="R241" s="87"/>
      <c r="S241" s="184"/>
    </row>
    <row r="242" customFormat="false" ht="12.75" hidden="false" customHeight="false" outlineLevel="0" collapsed="false">
      <c r="B242" s="0"/>
      <c r="C242" s="225"/>
      <c r="G242" s="224"/>
      <c r="H242" s="87"/>
      <c r="I242" s="87" t="s">
        <v>336</v>
      </c>
      <c r="J242" s="214" t="n">
        <v>0</v>
      </c>
      <c r="K242" s="87"/>
      <c r="L242" s="87"/>
      <c r="M242" s="87"/>
      <c r="N242" s="87"/>
      <c r="O242" s="87"/>
      <c r="P242" s="87"/>
      <c r="Q242" s="87"/>
      <c r="R242" s="87"/>
      <c r="S242" s="184"/>
    </row>
    <row r="243" customFormat="false" ht="12.75" hidden="false" customHeight="false" outlineLevel="0" collapsed="false">
      <c r="B243" s="0"/>
      <c r="C243" s="225"/>
      <c r="G243" s="224"/>
      <c r="H243" s="87"/>
      <c r="I243" s="87" t="s">
        <v>337</v>
      </c>
      <c r="J243" s="214" t="n">
        <v>0</v>
      </c>
      <c r="K243" s="87"/>
      <c r="L243" s="87"/>
      <c r="M243" s="87"/>
      <c r="N243" s="87"/>
      <c r="O243" s="87"/>
      <c r="P243" s="87"/>
      <c r="Q243" s="87"/>
      <c r="R243" s="87"/>
      <c r="S243" s="184"/>
    </row>
    <row r="244" customFormat="false" ht="12.75" hidden="false" customHeight="false" outlineLevel="0" collapsed="false">
      <c r="B244" s="0"/>
      <c r="C244" s="225"/>
      <c r="G244" s="224"/>
      <c r="H244" s="87"/>
      <c r="I244" s="87" t="s">
        <v>338</v>
      </c>
      <c r="J244" s="214" t="n">
        <v>0</v>
      </c>
      <c r="K244" s="87"/>
      <c r="L244" s="87"/>
      <c r="M244" s="87"/>
      <c r="N244" s="87"/>
      <c r="O244" s="87"/>
      <c r="P244" s="87"/>
      <c r="Q244" s="87"/>
      <c r="R244" s="87"/>
      <c r="S244" s="184"/>
    </row>
    <row r="245" customFormat="false" ht="12.75" hidden="false" customHeight="false" outlineLevel="0" collapsed="false">
      <c r="B245" s="0"/>
      <c r="C245" s="225"/>
      <c r="G245" s="224"/>
      <c r="H245" s="87"/>
      <c r="I245" s="87" t="s">
        <v>339</v>
      </c>
      <c r="J245" s="214" t="n">
        <v>0</v>
      </c>
      <c r="K245" s="87"/>
      <c r="L245" s="87"/>
      <c r="M245" s="87"/>
      <c r="N245" s="87"/>
      <c r="O245" s="87"/>
      <c r="P245" s="87"/>
      <c r="Q245" s="87"/>
      <c r="R245" s="87"/>
      <c r="S245" s="184"/>
    </row>
    <row r="246" customFormat="false" ht="12.75" hidden="false" customHeight="false" outlineLevel="0" collapsed="false">
      <c r="B246" s="0"/>
      <c r="C246" s="225"/>
      <c r="G246" s="224"/>
      <c r="H246" s="87"/>
      <c r="I246" s="87" t="s">
        <v>340</v>
      </c>
      <c r="J246" s="230" t="n">
        <v>0</v>
      </c>
      <c r="K246" s="87"/>
      <c r="L246" s="87"/>
      <c r="M246" s="87"/>
      <c r="N246" s="87"/>
      <c r="O246" s="87"/>
      <c r="P246" s="87"/>
      <c r="Q246" s="87"/>
      <c r="R246" s="87"/>
      <c r="S246" s="184"/>
    </row>
    <row r="247" customFormat="false" ht="12.75" hidden="false" customHeight="false" outlineLevel="0" collapsed="false">
      <c r="B247" s="0"/>
      <c r="C247" s="225"/>
      <c r="G247" s="224"/>
      <c r="H247" s="87"/>
      <c r="I247" s="87"/>
      <c r="J247" s="214" t="n">
        <f aca="false">SUM(J240:J246)</f>
        <v>0</v>
      </c>
      <c r="K247" s="87"/>
      <c r="L247" s="87"/>
      <c r="M247" s="87"/>
      <c r="N247" s="87"/>
      <c r="O247" s="87"/>
      <c r="P247" s="87"/>
      <c r="Q247" s="87"/>
      <c r="R247" s="87"/>
      <c r="S247" s="184"/>
    </row>
    <row r="248" customFormat="false" ht="12.75" hidden="false" customHeight="false" outlineLevel="0" collapsed="false">
      <c r="B248" s="0"/>
      <c r="C248" s="225"/>
      <c r="G248" s="224"/>
      <c r="H248" s="87" t="s">
        <v>333</v>
      </c>
      <c r="I248" s="87"/>
      <c r="J248" s="214"/>
      <c r="K248" s="87"/>
      <c r="L248" s="87"/>
      <c r="M248" s="87"/>
      <c r="N248" s="87"/>
      <c r="O248" s="87"/>
      <c r="P248" s="87"/>
      <c r="Q248" s="87"/>
      <c r="R248" s="87"/>
      <c r="S248" s="184"/>
    </row>
    <row r="249" customFormat="false" ht="12.75" hidden="false" customHeight="false" outlineLevel="0" collapsed="false">
      <c r="B249" s="0"/>
      <c r="C249" s="225"/>
      <c r="G249" s="224"/>
      <c r="H249" s="87"/>
      <c r="I249" s="87" t="s">
        <v>342</v>
      </c>
      <c r="J249" s="214" t="n">
        <v>0</v>
      </c>
      <c r="K249" s="87"/>
      <c r="L249" s="87"/>
      <c r="M249" s="87"/>
      <c r="N249" s="87"/>
      <c r="O249" s="87"/>
      <c r="P249" s="87"/>
      <c r="Q249" s="87"/>
      <c r="R249" s="87"/>
      <c r="S249" s="184"/>
    </row>
    <row r="250" customFormat="false" ht="12.75" hidden="false" customHeight="false" outlineLevel="0" collapsed="false">
      <c r="B250" s="0"/>
      <c r="C250" s="225"/>
      <c r="G250" s="224"/>
      <c r="H250" s="87"/>
      <c r="I250" s="87" t="s">
        <v>344</v>
      </c>
      <c r="J250" s="214" t="n">
        <v>0</v>
      </c>
      <c r="K250" s="87"/>
      <c r="L250" s="87"/>
      <c r="M250" s="87"/>
      <c r="N250" s="87"/>
      <c r="O250" s="87"/>
      <c r="P250" s="87"/>
      <c r="Q250" s="87"/>
      <c r="R250" s="87"/>
      <c r="S250" s="184"/>
    </row>
    <row r="251" customFormat="false" ht="12.75" hidden="false" customHeight="false" outlineLevel="0" collapsed="false">
      <c r="B251" s="0"/>
      <c r="C251" s="225"/>
      <c r="G251" s="224"/>
      <c r="H251" s="87"/>
      <c r="I251" s="87" t="s">
        <v>345</v>
      </c>
      <c r="J251" s="214" t="n">
        <v>0</v>
      </c>
      <c r="K251" s="87"/>
      <c r="L251" s="87"/>
      <c r="M251" s="87"/>
      <c r="N251" s="87"/>
      <c r="O251" s="87"/>
      <c r="P251" s="87"/>
      <c r="Q251" s="87"/>
      <c r="R251" s="87"/>
      <c r="S251" s="184"/>
    </row>
    <row r="252" customFormat="false" ht="12.75" hidden="false" customHeight="false" outlineLevel="0" collapsed="false">
      <c r="B252" s="0"/>
      <c r="C252" s="225"/>
      <c r="G252" s="224"/>
      <c r="H252" s="87"/>
      <c r="I252" s="87" t="s">
        <v>346</v>
      </c>
      <c r="J252" s="214" t="n">
        <v>0</v>
      </c>
      <c r="K252" s="87"/>
      <c r="L252" s="87"/>
      <c r="M252" s="87"/>
      <c r="N252" s="87"/>
      <c r="O252" s="87"/>
      <c r="P252" s="87"/>
      <c r="Q252" s="87"/>
      <c r="R252" s="87"/>
      <c r="S252" s="184"/>
    </row>
    <row r="253" customFormat="false" ht="12.75" hidden="false" customHeight="false" outlineLevel="0" collapsed="false">
      <c r="B253" s="0"/>
      <c r="C253" s="225"/>
      <c r="G253" s="224"/>
      <c r="H253" s="87"/>
      <c r="I253" s="87" t="s">
        <v>347</v>
      </c>
      <c r="J253" s="214" t="n">
        <v>0</v>
      </c>
      <c r="K253" s="87"/>
      <c r="L253" s="87"/>
      <c r="M253" s="87"/>
      <c r="N253" s="87"/>
      <c r="O253" s="87"/>
      <c r="P253" s="87"/>
      <c r="Q253" s="87"/>
      <c r="R253" s="87"/>
      <c r="S253" s="184"/>
    </row>
    <row r="254" customFormat="false" ht="12.75" hidden="false" customHeight="false" outlineLevel="0" collapsed="false">
      <c r="B254" s="0"/>
      <c r="C254" s="225"/>
      <c r="G254" s="224"/>
      <c r="H254" s="87"/>
      <c r="I254" s="87" t="s">
        <v>350</v>
      </c>
      <c r="J254" s="214" t="n">
        <v>0</v>
      </c>
      <c r="K254" s="87"/>
      <c r="L254" s="87"/>
      <c r="M254" s="87"/>
      <c r="N254" s="87"/>
      <c r="O254" s="87"/>
      <c r="P254" s="87"/>
      <c r="Q254" s="87"/>
      <c r="R254" s="87"/>
      <c r="S254" s="184"/>
    </row>
    <row r="255" customFormat="false" ht="12.75" hidden="false" customHeight="false" outlineLevel="0" collapsed="false">
      <c r="B255" s="48"/>
      <c r="C255" s="229"/>
      <c r="G255" s="224"/>
      <c r="H255" s="87"/>
      <c r="I255" s="87" t="s">
        <v>351</v>
      </c>
      <c r="J255" s="214" t="n">
        <v>0</v>
      </c>
      <c r="K255" s="87"/>
      <c r="L255" s="87"/>
      <c r="M255" s="87"/>
      <c r="N255" s="87"/>
      <c r="O255" s="87"/>
      <c r="P255" s="87"/>
      <c r="Q255" s="87"/>
      <c r="R255" s="87"/>
      <c r="S255" s="184"/>
    </row>
    <row r="256" customFormat="false" ht="12.75" hidden="false" customHeight="false" outlineLevel="0" collapsed="false">
      <c r="B256" s="0"/>
      <c r="C256" s="225"/>
      <c r="G256" s="224"/>
      <c r="H256" s="87"/>
      <c r="I256" s="87" t="s">
        <v>354</v>
      </c>
      <c r="J256" s="214" t="n">
        <v>0</v>
      </c>
      <c r="K256" s="87"/>
      <c r="L256" s="87"/>
      <c r="M256" s="87"/>
      <c r="N256" s="87"/>
      <c r="O256" s="87"/>
      <c r="P256" s="87"/>
      <c r="Q256" s="87"/>
      <c r="R256" s="87"/>
      <c r="S256" s="184"/>
    </row>
    <row r="257" customFormat="false" ht="12.75" hidden="false" customHeight="false" outlineLevel="0" collapsed="false">
      <c r="B257" s="0"/>
      <c r="C257" s="225"/>
      <c r="G257" s="224"/>
      <c r="H257" s="87"/>
      <c r="I257" s="87" t="s">
        <v>234</v>
      </c>
      <c r="J257" s="230" t="n">
        <v>0</v>
      </c>
      <c r="K257" s="87"/>
      <c r="L257" s="87"/>
      <c r="M257" s="87"/>
      <c r="N257" s="87"/>
      <c r="O257" s="87"/>
      <c r="P257" s="87"/>
      <c r="Q257" s="87"/>
      <c r="R257" s="87"/>
      <c r="S257" s="184"/>
    </row>
    <row r="258" customFormat="false" ht="12.75" hidden="false" customHeight="false" outlineLevel="0" collapsed="false">
      <c r="B258" s="0"/>
      <c r="C258" s="225"/>
      <c r="G258" s="224"/>
      <c r="H258" s="87"/>
      <c r="I258" s="87"/>
      <c r="J258" s="214" t="n">
        <f aca="false">SUM(J247:J257)</f>
        <v>0</v>
      </c>
      <c r="K258" s="87"/>
      <c r="L258" s="87"/>
      <c r="M258" s="87"/>
      <c r="N258" s="87"/>
      <c r="O258" s="87"/>
      <c r="P258" s="87"/>
      <c r="Q258" s="87"/>
      <c r="R258" s="87"/>
      <c r="S258" s="184"/>
    </row>
    <row r="259" customFormat="false" ht="12.75" hidden="false" customHeight="false" outlineLevel="0" collapsed="false">
      <c r="B259" s="0"/>
      <c r="C259" s="225"/>
      <c r="G259" s="224"/>
      <c r="H259" s="87"/>
      <c r="I259" s="87"/>
      <c r="J259" s="214"/>
      <c r="K259" s="87"/>
      <c r="L259" s="87"/>
      <c r="M259" s="87"/>
      <c r="N259" s="87"/>
      <c r="O259" s="87"/>
      <c r="P259" s="87"/>
      <c r="Q259" s="87"/>
      <c r="R259" s="87"/>
      <c r="S259" s="184"/>
    </row>
    <row r="260" customFormat="false" ht="12.75" hidden="false" customHeight="false" outlineLevel="0" collapsed="false">
      <c r="B260" s="0"/>
      <c r="C260" s="225"/>
      <c r="G260" s="224"/>
      <c r="H260" s="87" t="s">
        <v>341</v>
      </c>
      <c r="I260" s="87"/>
      <c r="J260" s="214"/>
      <c r="K260" s="87"/>
      <c r="L260" s="87"/>
      <c r="M260" s="87"/>
      <c r="N260" s="87"/>
      <c r="O260" s="87"/>
      <c r="P260" s="87"/>
      <c r="Q260" s="87"/>
      <c r="R260" s="87"/>
      <c r="S260" s="184"/>
    </row>
    <row r="261" customFormat="false" ht="12.75" hidden="false" customHeight="false" outlineLevel="0" collapsed="false">
      <c r="B261" s="0"/>
      <c r="C261" s="225"/>
      <c r="G261" s="224"/>
      <c r="H261" s="87"/>
      <c r="I261" s="87" t="s">
        <v>356</v>
      </c>
      <c r="J261" s="233" t="n">
        <v>-862</v>
      </c>
      <c r="K261" s="87"/>
      <c r="L261" s="87"/>
      <c r="M261" s="87"/>
      <c r="N261" s="87"/>
      <c r="O261" s="87"/>
      <c r="P261" s="87"/>
      <c r="Q261" s="87" t="s">
        <v>343</v>
      </c>
      <c r="R261" s="87"/>
      <c r="S261" s="184"/>
    </row>
    <row r="262" customFormat="false" ht="12.75" hidden="false" customHeight="false" outlineLevel="0" collapsed="false">
      <c r="B262" s="0"/>
      <c r="C262" s="225"/>
      <c r="G262" s="224"/>
      <c r="H262" s="87"/>
      <c r="I262" s="234" t="s">
        <v>356</v>
      </c>
      <c r="J262" s="235" t="n">
        <v>-1</v>
      </c>
      <c r="K262" s="87"/>
      <c r="L262" s="87"/>
      <c r="M262" s="87"/>
      <c r="N262" s="87"/>
      <c r="O262" s="87"/>
      <c r="P262" s="214" t="n">
        <v>-31732</v>
      </c>
      <c r="Q262" s="87"/>
      <c r="R262" s="87"/>
      <c r="S262" s="184"/>
    </row>
    <row r="263" customFormat="false" ht="12.75" hidden="false" customHeight="false" outlineLevel="0" collapsed="false">
      <c r="B263" s="0"/>
      <c r="C263" s="225"/>
      <c r="G263" s="224"/>
      <c r="H263" s="87"/>
      <c r="I263" s="234" t="s">
        <v>357</v>
      </c>
      <c r="J263" s="235" t="n">
        <v>-1</v>
      </c>
      <c r="K263" s="87"/>
      <c r="L263" s="87"/>
      <c r="M263" s="87"/>
      <c r="N263" s="87"/>
      <c r="O263" s="87"/>
      <c r="P263" s="214"/>
      <c r="Q263" s="87"/>
      <c r="R263" s="87"/>
      <c r="S263" s="184"/>
    </row>
    <row r="264" customFormat="false" ht="12.75" hidden="false" customHeight="false" outlineLevel="0" collapsed="false">
      <c r="B264" s="0"/>
      <c r="C264" s="225"/>
      <c r="G264" s="224"/>
      <c r="H264" s="87"/>
      <c r="I264" s="160" t="s">
        <v>359</v>
      </c>
      <c r="J264" s="237" t="n">
        <v>-1500</v>
      </c>
      <c r="K264" s="87"/>
      <c r="L264" s="87"/>
      <c r="M264" s="87"/>
      <c r="N264" s="87" t="s">
        <v>348</v>
      </c>
      <c r="O264" s="87"/>
      <c r="P264" s="214"/>
      <c r="Q264" s="87" t="s">
        <v>44</v>
      </c>
      <c r="R264" s="87"/>
      <c r="S264" s="184"/>
    </row>
    <row r="265" customFormat="false" ht="12.75" hidden="false" customHeight="false" outlineLevel="0" collapsed="false">
      <c r="B265" s="0"/>
      <c r="C265" s="225"/>
      <c r="G265" s="224"/>
      <c r="H265" s="87"/>
      <c r="I265" s="234" t="s">
        <v>360</v>
      </c>
      <c r="J265" s="235" t="n">
        <v>-1</v>
      </c>
      <c r="K265" s="87"/>
      <c r="L265" s="87"/>
      <c r="M265" s="87"/>
      <c r="N265" s="87"/>
      <c r="O265" s="87"/>
      <c r="P265" s="214" t="n">
        <f aca="false">K270</f>
        <v>-4368</v>
      </c>
      <c r="Q265" s="87" t="s">
        <v>349</v>
      </c>
      <c r="R265" s="87"/>
      <c r="S265" s="184"/>
    </row>
    <row r="266" customFormat="false" ht="12.75" hidden="false" customHeight="false" outlineLevel="0" collapsed="false">
      <c r="B266" s="0"/>
      <c r="C266" s="0"/>
      <c r="G266" s="224"/>
      <c r="H266" s="87"/>
      <c r="I266" s="234" t="s">
        <v>361</v>
      </c>
      <c r="J266" s="235" t="n">
        <v>-1</v>
      </c>
      <c r="K266" s="87"/>
      <c r="L266" s="87"/>
      <c r="M266" s="87"/>
      <c r="N266" s="87" t="s">
        <v>352</v>
      </c>
      <c r="O266" s="87"/>
      <c r="P266" s="230" t="n">
        <v>-2500</v>
      </c>
      <c r="Q266" s="87"/>
      <c r="R266" s="87"/>
      <c r="S266" s="184"/>
    </row>
    <row r="267" customFormat="false" ht="12.75" hidden="false" customHeight="false" outlineLevel="0" collapsed="false">
      <c r="B267" s="0"/>
      <c r="C267" s="0"/>
      <c r="G267" s="224"/>
      <c r="H267" s="87"/>
      <c r="I267" s="160" t="s">
        <v>362</v>
      </c>
      <c r="J267" s="237" t="n">
        <v>-1000</v>
      </c>
      <c r="K267" s="87"/>
      <c r="L267" s="87"/>
      <c r="M267" s="214" t="n">
        <v>525707</v>
      </c>
      <c r="N267" s="87"/>
      <c r="O267" s="214"/>
      <c r="P267" s="87"/>
      <c r="Q267" s="87" t="s">
        <v>353</v>
      </c>
      <c r="R267" s="87"/>
      <c r="S267" s="184"/>
    </row>
    <row r="268" customFormat="false" ht="12.75" hidden="false" customHeight="false" outlineLevel="0" collapsed="false">
      <c r="B268" s="0"/>
      <c r="C268" s="0"/>
      <c r="G268" s="224"/>
      <c r="H268" s="87"/>
      <c r="I268" s="234" t="s">
        <v>363</v>
      </c>
      <c r="J268" s="235" t="n">
        <v>-1</v>
      </c>
      <c r="K268" s="87"/>
      <c r="L268" s="87"/>
      <c r="M268" s="214"/>
      <c r="N268" s="87"/>
      <c r="O268" s="87"/>
      <c r="P268" s="214" t="n">
        <f aca="false">SUM(P262:P266)</f>
        <v>-38600</v>
      </c>
      <c r="Q268" s="87"/>
      <c r="R268" s="87"/>
      <c r="S268" s="184"/>
    </row>
    <row r="269" customFormat="false" ht="12.75" hidden="false" customHeight="false" outlineLevel="0" collapsed="false">
      <c r="B269" s="0"/>
      <c r="C269" s="0"/>
      <c r="G269" s="224"/>
      <c r="H269" s="87"/>
      <c r="I269" s="160" t="s">
        <v>364</v>
      </c>
      <c r="J269" s="237" t="n">
        <v>-1000</v>
      </c>
      <c r="K269" s="87"/>
      <c r="L269" s="87"/>
      <c r="M269" s="214"/>
      <c r="N269" s="87"/>
      <c r="O269" s="87"/>
      <c r="P269" s="87"/>
      <c r="Q269" s="87"/>
      <c r="R269" s="87"/>
      <c r="S269" s="184"/>
    </row>
    <row r="270" customFormat="false" ht="12.75" hidden="false" customHeight="false" outlineLevel="0" collapsed="false">
      <c r="B270" s="0"/>
      <c r="C270" s="0"/>
      <c r="G270" s="224"/>
      <c r="H270" s="87"/>
      <c r="I270" s="234" t="s">
        <v>365</v>
      </c>
      <c r="J270" s="235" t="n">
        <v>-1</v>
      </c>
      <c r="K270" s="232" t="n">
        <f aca="false">SUM(J261:J270)</f>
        <v>-4368</v>
      </c>
      <c r="L270" s="87"/>
      <c r="M270" s="214" t="n">
        <v>493974</v>
      </c>
      <c r="N270" s="87"/>
      <c r="O270" s="87"/>
      <c r="P270" s="232" t="n">
        <f aca="false">P268+M272</f>
        <v>-6867</v>
      </c>
      <c r="Q270" s="87"/>
      <c r="R270" s="87"/>
      <c r="S270" s="231" t="n">
        <f aca="false">22000+P270</f>
        <v>15133</v>
      </c>
    </row>
    <row r="271" customFormat="false" ht="12.75" hidden="false" customHeight="false" outlineLevel="0" collapsed="false">
      <c r="B271" s="48"/>
      <c r="C271" s="48"/>
      <c r="G271" s="224"/>
      <c r="H271" s="87"/>
      <c r="I271" s="87" t="s">
        <v>366</v>
      </c>
      <c r="J271" s="230" t="n">
        <f aca="false">-M272-K270</f>
        <v>-27365</v>
      </c>
      <c r="K271" s="232"/>
      <c r="L271" s="87"/>
      <c r="M271" s="214"/>
      <c r="N271" s="87"/>
      <c r="O271" s="87"/>
      <c r="P271" s="87"/>
      <c r="Q271" s="87"/>
      <c r="R271" s="87"/>
      <c r="S271" s="184"/>
    </row>
    <row r="272" customFormat="false" ht="12.75" hidden="false" customHeight="false" outlineLevel="0" collapsed="false">
      <c r="B272" s="0"/>
      <c r="C272" s="0"/>
      <c r="G272" s="224"/>
      <c r="H272" s="87"/>
      <c r="I272" s="87"/>
      <c r="J272" s="214" t="n">
        <f aca="false">SUM(J258:J271)</f>
        <v>-31733</v>
      </c>
      <c r="K272" s="87"/>
      <c r="L272" s="87"/>
      <c r="M272" s="214" t="n">
        <f aca="false">M267-M270</f>
        <v>31733</v>
      </c>
      <c r="N272" s="87"/>
      <c r="O272" s="87"/>
      <c r="P272" s="87"/>
      <c r="Q272" s="87"/>
      <c r="R272" s="87"/>
      <c r="S272" s="184"/>
    </row>
    <row r="273" customFormat="false" ht="12.75" hidden="false" customHeight="false" outlineLevel="0" collapsed="false">
      <c r="B273" s="0"/>
      <c r="C273" s="0"/>
      <c r="G273" s="224"/>
      <c r="H273" s="87" t="s">
        <v>355</v>
      </c>
      <c r="I273" s="87"/>
      <c r="J273" s="214"/>
      <c r="K273" s="87"/>
      <c r="L273" s="87"/>
      <c r="M273" s="87"/>
      <c r="N273" s="87"/>
      <c r="O273" s="87"/>
      <c r="P273" s="87"/>
      <c r="Q273" s="87"/>
      <c r="R273" s="87"/>
      <c r="S273" s="184"/>
    </row>
    <row r="274" customFormat="false" ht="12.75" hidden="false" customHeight="false" outlineLevel="0" collapsed="false">
      <c r="B274" s="0"/>
      <c r="C274" s="0"/>
      <c r="G274" s="224"/>
      <c r="H274" s="87"/>
      <c r="I274" s="87" t="s">
        <v>367</v>
      </c>
      <c r="J274" s="214" t="n">
        <v>3915</v>
      </c>
      <c r="K274" s="87"/>
      <c r="L274" s="87"/>
      <c r="M274" s="87"/>
      <c r="N274" s="87"/>
      <c r="O274" s="87"/>
      <c r="P274" s="87"/>
      <c r="Q274" s="87"/>
      <c r="R274" s="87"/>
      <c r="S274" s="184"/>
    </row>
    <row r="275" customFormat="false" ht="12.75" hidden="false" customHeight="false" outlineLevel="0" collapsed="false">
      <c r="B275" s="0"/>
      <c r="C275" s="0"/>
      <c r="G275" s="224"/>
      <c r="H275" s="87"/>
      <c r="I275" s="87"/>
      <c r="J275" s="214"/>
      <c r="K275" s="87"/>
      <c r="L275" s="87"/>
      <c r="M275" s="232" t="n">
        <f aca="false">M272+K270</f>
        <v>27365</v>
      </c>
      <c r="N275" s="87"/>
      <c r="O275" s="87"/>
      <c r="P275" s="87"/>
      <c r="Q275" s="87"/>
      <c r="R275" s="87"/>
      <c r="S275" s="184"/>
    </row>
    <row r="276" customFormat="false" ht="13.5" hidden="false" customHeight="false" outlineLevel="0" collapsed="false">
      <c r="B276" s="0"/>
      <c r="C276" s="0"/>
      <c r="G276" s="224"/>
      <c r="H276" s="236" t="s">
        <v>358</v>
      </c>
      <c r="I276" s="87"/>
      <c r="J276" s="240" t="n">
        <f aca="false">SUM(J272:J275)</f>
        <v>-27818</v>
      </c>
      <c r="K276" s="87"/>
      <c r="L276" s="87"/>
      <c r="M276" s="232"/>
      <c r="N276" s="87"/>
      <c r="O276" s="87"/>
      <c r="P276" s="87"/>
      <c r="Q276" s="87"/>
      <c r="R276" s="87"/>
      <c r="S276" s="184"/>
    </row>
    <row r="277" customFormat="false" ht="13.5" hidden="false" customHeight="false" outlineLevel="0" collapsed="false">
      <c r="B277" s="48"/>
      <c r="C277" s="48"/>
      <c r="G277" s="238"/>
      <c r="H277" s="239"/>
      <c r="I277" s="239"/>
      <c r="J277" s="230"/>
      <c r="K277" s="239"/>
      <c r="L277" s="87"/>
      <c r="M277" s="232"/>
      <c r="N277" s="239"/>
      <c r="O277" s="239"/>
      <c r="P277" s="239"/>
      <c r="Q277" s="239"/>
      <c r="R277" s="239"/>
      <c r="S277" s="174"/>
    </row>
    <row r="278" customFormat="false" ht="12.75" hidden="false" customHeight="false" outlineLevel="0" collapsed="false">
      <c r="B278" s="0"/>
      <c r="C278" s="0"/>
      <c r="J278" s="214"/>
      <c r="L278" s="239"/>
      <c r="M278" s="239"/>
      <c r="S278" s="174"/>
    </row>
    <row r="279" customFormat="false" ht="12.75" hidden="false" customHeight="false" outlineLevel="0" collapsed="false">
      <c r="B279" s="79"/>
      <c r="C279" s="79"/>
      <c r="J279" s="214"/>
      <c r="L279" s="87"/>
      <c r="M279" s="87"/>
    </row>
    <row r="280" customFormat="false" ht="12.75" hidden="false" customHeight="false" outlineLevel="0" collapsed="false">
      <c r="B280" s="0"/>
      <c r="C280" s="0"/>
      <c r="J280" s="214" t="n">
        <f aca="false">551878-11621</f>
        <v>540257</v>
      </c>
      <c r="L280" s="87"/>
      <c r="M280" s="87"/>
    </row>
    <row r="281" customFormat="false" ht="12.75" hidden="false" customHeight="false" outlineLevel="0" collapsed="false">
      <c r="B281" s="0"/>
      <c r="C281" s="0"/>
      <c r="J281" s="214"/>
      <c r="L281" s="87"/>
      <c r="M281" s="87"/>
    </row>
    <row r="282" customFormat="false" ht="12.75" hidden="false" customHeight="false" outlineLevel="0" collapsed="false">
      <c r="B282" s="0"/>
      <c r="C282" s="0"/>
      <c r="J282" s="214"/>
      <c r="L282" s="87"/>
      <c r="M282" s="87"/>
    </row>
    <row r="283" customFormat="false" ht="12.75" hidden="false" customHeight="false" outlineLevel="0" collapsed="false">
      <c r="B283" s="0"/>
      <c r="C283" s="0"/>
      <c r="J283" s="214"/>
      <c r="L283" s="87"/>
    </row>
    <row r="284" customFormat="false" ht="12.75" hidden="false" customHeight="false" outlineLevel="0" collapsed="false">
      <c r="B284" s="0"/>
      <c r="C284" s="0"/>
      <c r="J284" s="214"/>
    </row>
    <row r="285" customFormat="false" ht="12.75" hidden="false" customHeight="false" outlineLevel="0" collapsed="false">
      <c r="B285" s="0"/>
      <c r="C285" s="0"/>
      <c r="J285" s="214"/>
    </row>
    <row r="286" customFormat="false" ht="12.75" hidden="false" customHeight="false" outlineLevel="0" collapsed="false">
      <c r="B286" s="0"/>
      <c r="C286" s="0"/>
      <c r="J286" s="214"/>
    </row>
    <row r="287" customFormat="false" ht="12.75" hidden="false" customHeight="false" outlineLevel="0" collapsed="false">
      <c r="B287" s="0"/>
      <c r="C287" s="0"/>
      <c r="J287" s="214"/>
    </row>
    <row r="288" customFormat="false" ht="12.75" hidden="false" customHeight="false" outlineLevel="0" collapsed="false">
      <c r="B288" s="0"/>
      <c r="C288" s="0"/>
      <c r="J288" s="214"/>
    </row>
    <row r="289" customFormat="false" ht="12.75" hidden="false" customHeight="false" outlineLevel="0" collapsed="false">
      <c r="B289" s="0"/>
      <c r="C289" s="0"/>
      <c r="J289" s="214"/>
    </row>
    <row r="290" customFormat="false" ht="12.75" hidden="false" customHeight="false" outlineLevel="0" collapsed="false">
      <c r="B290" s="0"/>
      <c r="C290" s="0"/>
      <c r="J290" s="214"/>
    </row>
    <row r="291" customFormat="false" ht="12.75" hidden="false" customHeight="false" outlineLevel="0" collapsed="false">
      <c r="B291" s="0"/>
      <c r="C291" s="0"/>
      <c r="J291" s="214"/>
    </row>
    <row r="292" customFormat="false" ht="12.75" hidden="false" customHeight="false" outlineLevel="0" collapsed="false">
      <c r="B292" s="0"/>
      <c r="C292" s="0"/>
      <c r="J292" s="214"/>
    </row>
    <row r="293" customFormat="false" ht="12.75" hidden="false" customHeight="false" outlineLevel="0" collapsed="false">
      <c r="B293" s="0"/>
      <c r="C293" s="0"/>
      <c r="J293" s="214"/>
    </row>
    <row r="294" customFormat="false" ht="12.75" hidden="false" customHeight="false" outlineLevel="0" collapsed="false">
      <c r="B294" s="0"/>
      <c r="C294" s="0"/>
      <c r="J294" s="214"/>
    </row>
    <row r="295" customFormat="false" ht="12.75" hidden="false" customHeight="false" outlineLevel="0" collapsed="false">
      <c r="B295" s="0"/>
      <c r="C295" s="0"/>
      <c r="J295" s="214"/>
    </row>
    <row r="296" customFormat="false" ht="12.75" hidden="false" customHeight="false" outlineLevel="0" collapsed="false">
      <c r="B296" s="0"/>
      <c r="C296" s="0"/>
      <c r="J296" s="214"/>
    </row>
    <row r="297" customFormat="false" ht="12.75" hidden="false" customHeight="false" outlineLevel="0" collapsed="false">
      <c r="B297" s="241"/>
      <c r="C297" s="241"/>
      <c r="J297" s="214"/>
    </row>
    <row r="298" customFormat="false" ht="12.75" hidden="false" customHeight="false" outlineLevel="0" collapsed="false">
      <c r="B298" s="241"/>
      <c r="C298" s="241"/>
      <c r="J298" s="214"/>
    </row>
    <row r="299" customFormat="false" ht="12.75" hidden="false" customHeight="false" outlineLevel="0" collapsed="false">
      <c r="B299" s="0"/>
      <c r="C299" s="0"/>
      <c r="J299" s="214"/>
    </row>
    <row r="300" customFormat="false" ht="12.75" hidden="false" customHeight="false" outlineLevel="0" collapsed="false">
      <c r="B300" s="0"/>
      <c r="C300" s="0"/>
      <c r="J300" s="214"/>
    </row>
    <row r="301" customFormat="false" ht="12" hidden="false" customHeight="false" outlineLevel="0" collapsed="false">
      <c r="J301" s="214"/>
    </row>
    <row r="302" customFormat="false" ht="12" hidden="false" customHeight="false" outlineLevel="0" collapsed="false">
      <c r="J302" s="214"/>
    </row>
    <row r="303" customFormat="false" ht="12" hidden="false" customHeight="false" outlineLevel="0" collapsed="false">
      <c r="J303" s="214"/>
    </row>
    <row r="304" customFormat="false" ht="12" hidden="false" customHeight="false" outlineLevel="0" collapsed="false">
      <c r="J304" s="214"/>
    </row>
    <row r="305" customFormat="false" ht="12" hidden="false" customHeight="false" outlineLevel="0" collapsed="false">
      <c r="J305" s="214"/>
    </row>
    <row r="306" customFormat="false" ht="12" hidden="false" customHeight="false" outlineLevel="0" collapsed="false">
      <c r="J306" s="214"/>
    </row>
    <row r="307" customFormat="false" ht="12" hidden="false" customHeight="false" outlineLevel="0" collapsed="false">
      <c r="J307" s="214"/>
    </row>
    <row r="308" customFormat="false" ht="12" hidden="false" customHeight="false" outlineLevel="0" collapsed="false">
      <c r="J308" s="214"/>
    </row>
    <row r="309" customFormat="false" ht="12" hidden="false" customHeight="false" outlineLevel="0" collapsed="false">
      <c r="J309" s="214"/>
    </row>
    <row r="310" customFormat="false" ht="12" hidden="false" customHeight="false" outlineLevel="0" collapsed="false">
      <c r="J310" s="214"/>
    </row>
    <row r="311" customFormat="false" ht="12" hidden="false" customHeight="false" outlineLevel="0" collapsed="false">
      <c r="J311" s="214"/>
    </row>
    <row r="312" customFormat="false" ht="12" hidden="false" customHeight="false" outlineLevel="0" collapsed="false">
      <c r="J312" s="214"/>
    </row>
    <row r="313" customFormat="false" ht="12" hidden="false" customHeight="false" outlineLevel="0" collapsed="false">
      <c r="J313" s="214"/>
    </row>
    <row r="314" customFormat="false" ht="12" hidden="false" customHeight="false" outlineLevel="0" collapsed="false">
      <c r="J314" s="214"/>
    </row>
    <row r="315" customFormat="false" ht="12" hidden="false" customHeight="false" outlineLevel="0" collapsed="false">
      <c r="J315" s="214"/>
    </row>
    <row r="316" customFormat="false" ht="12" hidden="false" customHeight="false" outlineLevel="0" collapsed="false">
      <c r="J316" s="214"/>
    </row>
    <row r="317" customFormat="false" ht="12" hidden="false" customHeight="false" outlineLevel="0" collapsed="false">
      <c r="J317" s="214"/>
    </row>
    <row r="318" customFormat="false" ht="12" hidden="false" customHeight="false" outlineLevel="0" collapsed="false">
      <c r="J318" s="214"/>
    </row>
    <row r="319" customFormat="false" ht="12" hidden="false" customHeight="false" outlineLevel="0" collapsed="false">
      <c r="J319" s="214"/>
    </row>
    <row r="320" customFormat="false" ht="12" hidden="false" customHeight="false" outlineLevel="0" collapsed="false">
      <c r="J320" s="214"/>
    </row>
    <row r="321" customFormat="false" ht="12" hidden="false" customHeight="false" outlineLevel="0" collapsed="false">
      <c r="J321" s="214"/>
    </row>
    <row r="322" customFormat="false" ht="12" hidden="false" customHeight="false" outlineLevel="0" collapsed="false">
      <c r="J322" s="214"/>
    </row>
    <row r="323" customFormat="false" ht="12" hidden="false" customHeight="false" outlineLevel="0" collapsed="false">
      <c r="J323" s="214"/>
    </row>
    <row r="324" customFormat="false" ht="12" hidden="false" customHeight="false" outlineLevel="0" collapsed="false">
      <c r="J324" s="214"/>
    </row>
    <row r="325" customFormat="false" ht="12" hidden="false" customHeight="false" outlineLevel="0" collapsed="false">
      <c r="J325" s="214"/>
    </row>
    <row r="326" customFormat="false" ht="12" hidden="false" customHeight="false" outlineLevel="0" collapsed="false">
      <c r="J326" s="214"/>
    </row>
    <row r="327" customFormat="false" ht="12" hidden="false" customHeight="false" outlineLevel="0" collapsed="false">
      <c r="J327" s="214"/>
    </row>
    <row r="328" customFormat="false" ht="12" hidden="false" customHeight="false" outlineLevel="0" collapsed="false">
      <c r="J328" s="214"/>
    </row>
    <row r="329" customFormat="false" ht="12" hidden="false" customHeight="false" outlineLevel="0" collapsed="false">
      <c r="J329" s="214"/>
    </row>
    <row r="330" customFormat="false" ht="12" hidden="false" customHeight="false" outlineLevel="0" collapsed="false">
      <c r="J330" s="214"/>
    </row>
    <row r="331" customFormat="false" ht="12" hidden="false" customHeight="false" outlineLevel="0" collapsed="false">
      <c r="J331" s="214"/>
    </row>
    <row r="332" customFormat="false" ht="12" hidden="false" customHeight="false" outlineLevel="0" collapsed="false">
      <c r="J332" s="214"/>
    </row>
    <row r="333" customFormat="false" ht="12" hidden="false" customHeight="false" outlineLevel="0" collapsed="false">
      <c r="J333" s="214"/>
    </row>
    <row r="334" customFormat="false" ht="12" hidden="false" customHeight="false" outlineLevel="0" collapsed="false">
      <c r="J334" s="214"/>
    </row>
    <row r="335" customFormat="false" ht="12" hidden="false" customHeight="false" outlineLevel="0" collapsed="false">
      <c r="J335" s="214"/>
    </row>
    <row r="336" customFormat="false" ht="12" hidden="false" customHeight="false" outlineLevel="0" collapsed="false">
      <c r="J336" s="214"/>
    </row>
    <row r="337" customFormat="false" ht="12" hidden="false" customHeight="false" outlineLevel="0" collapsed="false">
      <c r="J337" s="214"/>
    </row>
    <row r="338" customFormat="false" ht="12" hidden="false" customHeight="false" outlineLevel="0" collapsed="false">
      <c r="J338" s="214"/>
    </row>
    <row r="339" customFormat="false" ht="12" hidden="false" customHeight="false" outlineLevel="0" collapsed="false">
      <c r="J339" s="214"/>
    </row>
    <row r="340" customFormat="false" ht="12" hidden="false" customHeight="false" outlineLevel="0" collapsed="false">
      <c r="J340" s="214"/>
    </row>
    <row r="341" customFormat="false" ht="12" hidden="false" customHeight="false" outlineLevel="0" collapsed="false">
      <c r="J341" s="214"/>
    </row>
    <row r="342" customFormat="false" ht="12" hidden="false" customHeight="false" outlineLevel="0" collapsed="false">
      <c r="J342" s="214"/>
    </row>
    <row r="343" customFormat="false" ht="12" hidden="false" customHeight="false" outlineLevel="0" collapsed="false">
      <c r="J343" s="214"/>
    </row>
    <row r="344" customFormat="false" ht="12" hidden="false" customHeight="false" outlineLevel="0" collapsed="false">
      <c r="J344" s="214"/>
    </row>
    <row r="345" customFormat="false" ht="12" hidden="false" customHeight="false" outlineLevel="0" collapsed="false">
      <c r="J345" s="214"/>
    </row>
    <row r="346" customFormat="false" ht="12" hidden="false" customHeight="false" outlineLevel="0" collapsed="false">
      <c r="J346" s="214"/>
    </row>
    <row r="347" customFormat="false" ht="12" hidden="false" customHeight="false" outlineLevel="0" collapsed="false">
      <c r="J347" s="214"/>
    </row>
    <row r="348" customFormat="false" ht="12" hidden="false" customHeight="false" outlineLevel="0" collapsed="false">
      <c r="J348" s="214"/>
    </row>
    <row r="349" customFormat="false" ht="12" hidden="false" customHeight="false" outlineLevel="0" collapsed="false">
      <c r="J349" s="214"/>
    </row>
    <row r="350" customFormat="false" ht="12" hidden="false" customHeight="false" outlineLevel="0" collapsed="false">
      <c r="J350" s="214"/>
    </row>
    <row r="351" customFormat="false" ht="12" hidden="false" customHeight="false" outlineLevel="0" collapsed="false">
      <c r="J351" s="214"/>
    </row>
    <row r="352" customFormat="false" ht="12" hidden="false" customHeight="false" outlineLevel="0" collapsed="false">
      <c r="J352" s="214"/>
    </row>
    <row r="353" customFormat="false" ht="12" hidden="false" customHeight="false" outlineLevel="0" collapsed="false">
      <c r="J353" s="214"/>
    </row>
    <row r="354" customFormat="false" ht="12" hidden="false" customHeight="false" outlineLevel="0" collapsed="false">
      <c r="J354" s="214"/>
    </row>
    <row r="355" customFormat="false" ht="12" hidden="false" customHeight="false" outlineLevel="0" collapsed="false">
      <c r="J355" s="214"/>
    </row>
    <row r="356" customFormat="false" ht="12" hidden="false" customHeight="false" outlineLevel="0" collapsed="false">
      <c r="J356" s="214"/>
    </row>
    <row r="357" customFormat="false" ht="12" hidden="false" customHeight="false" outlineLevel="0" collapsed="false">
      <c r="J357" s="214"/>
    </row>
    <row r="358" customFormat="false" ht="12" hidden="false" customHeight="false" outlineLevel="0" collapsed="false">
      <c r="J358" s="214"/>
    </row>
    <row r="359" customFormat="false" ht="12" hidden="false" customHeight="false" outlineLevel="0" collapsed="false">
      <c r="J359" s="214"/>
    </row>
    <row r="360" customFormat="false" ht="12" hidden="false" customHeight="false" outlineLevel="0" collapsed="false">
      <c r="J360" s="214"/>
    </row>
    <row r="361" customFormat="false" ht="12" hidden="false" customHeight="false" outlineLevel="0" collapsed="false">
      <c r="J361" s="214"/>
    </row>
    <row r="362" customFormat="false" ht="12" hidden="false" customHeight="false" outlineLevel="0" collapsed="false">
      <c r="J362" s="214"/>
    </row>
    <row r="363" customFormat="false" ht="12" hidden="false" customHeight="false" outlineLevel="0" collapsed="false">
      <c r="J363" s="214"/>
    </row>
    <row r="364" customFormat="false" ht="12" hidden="false" customHeight="false" outlineLevel="0" collapsed="false">
      <c r="J364" s="214"/>
    </row>
    <row r="365" customFormat="false" ht="12" hidden="false" customHeight="false" outlineLevel="0" collapsed="false">
      <c r="J365" s="214"/>
    </row>
    <row r="366" customFormat="false" ht="12" hidden="false" customHeight="false" outlineLevel="0" collapsed="false">
      <c r="J366" s="214"/>
    </row>
    <row r="367" customFormat="false" ht="12" hidden="false" customHeight="false" outlineLevel="0" collapsed="false">
      <c r="J367" s="214"/>
    </row>
    <row r="368" customFormat="false" ht="12" hidden="false" customHeight="false" outlineLevel="0" collapsed="false">
      <c r="J368" s="214"/>
    </row>
    <row r="369" customFormat="false" ht="12" hidden="false" customHeight="false" outlineLevel="0" collapsed="false">
      <c r="J369" s="214"/>
    </row>
    <row r="370" customFormat="false" ht="12" hidden="false" customHeight="false" outlineLevel="0" collapsed="false">
      <c r="J370" s="214"/>
    </row>
    <row r="371" customFormat="false" ht="12" hidden="false" customHeight="false" outlineLevel="0" collapsed="false">
      <c r="J371" s="214"/>
    </row>
    <row r="372" customFormat="false" ht="12" hidden="false" customHeight="false" outlineLevel="0" collapsed="false">
      <c r="J372" s="214"/>
    </row>
    <row r="373" customFormat="false" ht="12" hidden="false" customHeight="false" outlineLevel="0" collapsed="false">
      <c r="J373" s="214"/>
    </row>
    <row r="374" customFormat="false" ht="12" hidden="false" customHeight="false" outlineLevel="0" collapsed="false">
      <c r="J374" s="214"/>
    </row>
    <row r="375" customFormat="false" ht="12" hidden="false" customHeight="false" outlineLevel="0" collapsed="false">
      <c r="J375" s="214"/>
    </row>
    <row r="376" customFormat="false" ht="12" hidden="false" customHeight="false" outlineLevel="0" collapsed="false">
      <c r="J376" s="214"/>
    </row>
    <row r="377" customFormat="false" ht="12" hidden="false" customHeight="false" outlineLevel="0" collapsed="false">
      <c r="J377" s="214"/>
    </row>
    <row r="378" customFormat="false" ht="12" hidden="false" customHeight="false" outlineLevel="0" collapsed="false">
      <c r="J378" s="214"/>
    </row>
    <row r="379" customFormat="false" ht="12" hidden="false" customHeight="false" outlineLevel="0" collapsed="false">
      <c r="J379" s="214"/>
    </row>
    <row r="380" customFormat="false" ht="12" hidden="false" customHeight="false" outlineLevel="0" collapsed="false">
      <c r="J380" s="214"/>
    </row>
  </sheetData>
  <mergeCells count="18">
    <mergeCell ref="A1:H1"/>
    <mergeCell ref="K6:L6"/>
    <mergeCell ref="A31:D31"/>
    <mergeCell ref="E31:H31"/>
    <mergeCell ref="I31:J31"/>
    <mergeCell ref="E32:F32"/>
    <mergeCell ref="G32:H32"/>
    <mergeCell ref="I36:J36"/>
    <mergeCell ref="A37:D37"/>
    <mergeCell ref="I43:J43"/>
    <mergeCell ref="A46:D46"/>
    <mergeCell ref="G46:L46"/>
    <mergeCell ref="A47:B47"/>
    <mergeCell ref="C47:D47"/>
    <mergeCell ref="E47:F47"/>
    <mergeCell ref="I47:J47"/>
    <mergeCell ref="K47:L47"/>
    <mergeCell ref="A131:C131"/>
  </mergeCells>
  <printOptions headings="false" gridLines="false" gridLinesSet="true" horizontalCentered="true" verticalCentered="true"/>
  <pageMargins left="0.25" right="0.25" top="0.75" bottom="0.25" header="0.511811023622047" footer="0.2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&amp;L&amp;8Tx Desk Logistics - Daren Farmer&amp;R&amp;8&amp;D
&amp;T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378"/>
  <sheetViews>
    <sheetView showFormulas="false" showGridLines="false" showRowColHeaders="true" showZeros="true" rightToLeft="false" tabSelected="false" showOutlineSymbols="true" defaultGridColor="true" view="normal" topLeftCell="A7" colorId="64" zoomScale="80" zoomScaleNormal="80" zoomScalePageLayoutView="100" workbookViewId="0">
      <selection pane="topLeft" activeCell="E41" activeCellId="0" sqref="E41"/>
    </sheetView>
  </sheetViews>
  <sheetFormatPr defaultColWidth="9.13671875" defaultRowHeight="12" customHeight="true" zeroHeight="false" outlineLevelRow="0" outlineLevelCol="0"/>
  <cols>
    <col collapsed="false" customWidth="true" hidden="false" outlineLevel="0" max="2" min="1" style="1" width="12.14"/>
    <col collapsed="false" customWidth="true" hidden="false" outlineLevel="0" max="3" min="3" style="1" width="11.28"/>
    <col collapsed="false" customWidth="true" hidden="false" outlineLevel="0" max="4" min="4" style="1" width="11.85"/>
    <col collapsed="false" customWidth="true" hidden="false" outlineLevel="0" max="5" min="5" style="1" width="11.56"/>
    <col collapsed="false" customWidth="true" hidden="false" outlineLevel="0" max="6" min="6" style="1" width="11.7"/>
    <col collapsed="false" customWidth="true" hidden="false" outlineLevel="0" max="7" min="7" style="1" width="11.85"/>
    <col collapsed="false" customWidth="true" hidden="false" outlineLevel="0" max="8" min="8" style="1" width="11.7"/>
    <col collapsed="false" customWidth="true" hidden="false" outlineLevel="0" max="9" min="9" style="1" width="11.85"/>
    <col collapsed="false" customWidth="true" hidden="false" outlineLevel="0" max="10" min="10" style="1" width="8.7"/>
    <col collapsed="false" customWidth="true" hidden="false" outlineLevel="0" max="11" min="11" style="1" width="11.85"/>
    <col collapsed="false" customWidth="false" hidden="false" outlineLevel="0" max="12" min="12" style="1" width="9.14"/>
    <col collapsed="false" customWidth="true" hidden="false" outlineLevel="0" max="13" min="13" style="1" width="10.99"/>
    <col collapsed="false" customWidth="false" hidden="false" outlineLevel="0" max="14" min="14" style="1" width="9.14"/>
    <col collapsed="false" customWidth="true" hidden="false" outlineLevel="0" max="15" min="15" style="1" width="5.56"/>
    <col collapsed="false" customWidth="false" hidden="false" outlineLevel="0" max="257" min="16" style="1" width="9.14"/>
  </cols>
  <sheetData>
    <row r="1" customFormat="false" ht="16.5" hidden="false" customHeight="fals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  <c r="IP1" s="3"/>
      <c r="IQ1" s="3"/>
      <c r="IR1" s="3"/>
      <c r="IS1" s="3"/>
      <c r="IT1" s="3"/>
      <c r="IU1" s="3"/>
      <c r="IV1" s="3"/>
      <c r="IW1" s="3"/>
    </row>
    <row r="2" customFormat="false" ht="12.75" hidden="false" customHeight="false" outlineLevel="0" collapsed="false">
      <c r="A2" s="4"/>
      <c r="B2" s="5"/>
      <c r="C2" s="5"/>
      <c r="D2" s="6"/>
      <c r="E2" s="6"/>
      <c r="F2" s="6"/>
      <c r="G2" s="5"/>
      <c r="H2" s="7"/>
    </row>
    <row r="3" customFormat="false" ht="13.5" hidden="false" customHeight="false" outlineLevel="0" collapsed="false">
      <c r="A3" s="8"/>
      <c r="B3" s="9"/>
      <c r="C3" s="10"/>
      <c r="D3" s="6"/>
      <c r="E3" s="10"/>
      <c r="F3" s="10"/>
      <c r="G3" s="10"/>
      <c r="H3" s="7"/>
    </row>
    <row r="4" customFormat="false" ht="12.75" hidden="false" customHeight="false" outlineLevel="0" collapsed="false">
      <c r="A4" s="11"/>
      <c r="B4" s="5"/>
      <c r="C4" s="5"/>
      <c r="D4" s="12" t="s">
        <v>443</v>
      </c>
      <c r="E4" s="13"/>
      <c r="F4" s="13"/>
      <c r="G4" s="14"/>
      <c r="H4" s="15"/>
      <c r="L4" s="0"/>
    </row>
    <row r="5" customFormat="false" ht="13.5" hidden="false" customHeight="false" outlineLevel="0" collapsed="false">
      <c r="A5" s="16"/>
      <c r="B5" s="6"/>
      <c r="C5" s="6"/>
      <c r="D5" s="17" t="s">
        <v>2</v>
      </c>
      <c r="E5" s="18" t="s">
        <v>419</v>
      </c>
      <c r="F5" s="18" t="str">
        <f aca="false">D4</f>
        <v>Apr</v>
      </c>
      <c r="G5" s="19" t="str">
        <f aca="false">+F5</f>
        <v>Apr</v>
      </c>
      <c r="H5" s="20" t="str">
        <f aca="false">+F5</f>
        <v>Apr</v>
      </c>
      <c r="L5" s="0"/>
    </row>
    <row r="6" customFormat="false" ht="13.5" hidden="false" customHeight="false" outlineLevel="0" collapsed="false">
      <c r="A6" s="16"/>
      <c r="B6" s="6"/>
      <c r="C6" s="6"/>
      <c r="D6" s="21" t="s">
        <v>4</v>
      </c>
      <c r="E6" s="22" t="s">
        <v>2</v>
      </c>
      <c r="F6" s="22" t="n">
        <v>99</v>
      </c>
      <c r="G6" s="23" t="s">
        <v>5</v>
      </c>
      <c r="H6" s="24" t="s">
        <v>6</v>
      </c>
      <c r="I6" s="25"/>
      <c r="K6" s="26" t="s">
        <v>7</v>
      </c>
      <c r="L6" s="26"/>
    </row>
    <row r="7" customFormat="false" ht="12.75" hidden="false" customHeight="false" outlineLevel="0" collapsed="false">
      <c r="A7" s="27" t="s">
        <v>8</v>
      </c>
      <c r="B7" s="6"/>
      <c r="D7" s="28" t="n">
        <f aca="false">C209+C229</f>
        <v>421.44</v>
      </c>
      <c r="E7" s="29" t="n">
        <f aca="false">(20767.228*0.75)/22-E11-E12</f>
        <v>496.044729437229</v>
      </c>
      <c r="F7" s="28" t="n">
        <v>476.6</v>
      </c>
      <c r="G7" s="30" t="n">
        <f aca="false">D7*1.1</f>
        <v>463.584</v>
      </c>
      <c r="H7" s="31" t="n">
        <f aca="false">D7*0.9</f>
        <v>379.296</v>
      </c>
      <c r="I7" s="32"/>
      <c r="K7" s="33" t="s">
        <v>9</v>
      </c>
      <c r="L7" s="34" t="n">
        <f aca="false">C138</f>
        <v>3</v>
      </c>
      <c r="N7" s="0"/>
      <c r="O7" s="0"/>
    </row>
    <row r="8" customFormat="false" ht="12.75" hidden="false" customHeight="false" outlineLevel="0" collapsed="false">
      <c r="A8" s="27" t="s">
        <v>421</v>
      </c>
      <c r="B8" s="6"/>
      <c r="C8" s="35"/>
      <c r="D8" s="37" t="n">
        <f aca="false">73+80</f>
        <v>153</v>
      </c>
      <c r="E8" s="29" t="n">
        <f aca="false">(1524.828/21)+(1621.486/21)</f>
        <v>149.824476190476</v>
      </c>
      <c r="F8" s="37" t="n">
        <v>110.1</v>
      </c>
      <c r="G8" s="38" t="n">
        <f aca="false">73+105</f>
        <v>178</v>
      </c>
      <c r="H8" s="31" t="n">
        <f aca="false">65.7+60</f>
        <v>125.7</v>
      </c>
      <c r="I8" s="25"/>
      <c r="K8" s="39" t="s">
        <v>11</v>
      </c>
      <c r="L8" s="40" t="n">
        <f aca="false">C139+C213</f>
        <v>0</v>
      </c>
      <c r="N8" s="0"/>
      <c r="O8" s="0"/>
    </row>
    <row r="9" customFormat="false" ht="12.75" hidden="false" customHeight="false" outlineLevel="0" collapsed="false">
      <c r="A9" s="27" t="s">
        <v>12</v>
      </c>
      <c r="B9" s="6"/>
      <c r="C9" s="6"/>
      <c r="D9" s="37" t="n">
        <v>20</v>
      </c>
      <c r="E9" s="29" t="n">
        <f aca="false">731.463/21</f>
        <v>34.8315714285714</v>
      </c>
      <c r="F9" s="37" t="n">
        <v>29.6</v>
      </c>
      <c r="G9" s="38" t="n">
        <v>60</v>
      </c>
      <c r="H9" s="31" t="n">
        <v>20</v>
      </c>
      <c r="I9" s="25"/>
      <c r="K9" s="39" t="s">
        <v>13</v>
      </c>
      <c r="L9" s="41" t="n">
        <f aca="false">C144+C215</f>
        <v>20</v>
      </c>
      <c r="N9" s="0"/>
      <c r="O9" s="0"/>
    </row>
    <row r="10" customFormat="false" ht="12.75" hidden="false" customHeight="false" outlineLevel="0" collapsed="false">
      <c r="A10" s="27" t="s">
        <v>14</v>
      </c>
      <c r="B10" s="6"/>
      <c r="C10" s="6"/>
      <c r="D10" s="37" t="n">
        <f aca="false">31.723+10</f>
        <v>41.723</v>
      </c>
      <c r="E10" s="29" t="n">
        <f aca="false">(624.101/21)+(10.786/21)</f>
        <v>30.2327142857143</v>
      </c>
      <c r="F10" s="37" t="n">
        <v>80.5</v>
      </c>
      <c r="G10" s="38" t="n">
        <v>0</v>
      </c>
      <c r="H10" s="31" t="n">
        <v>0</v>
      </c>
      <c r="I10" s="42"/>
      <c r="K10" s="39" t="s">
        <v>15</v>
      </c>
      <c r="L10" s="40" t="n">
        <f aca="false">C146+C216</f>
        <v>0</v>
      </c>
      <c r="N10" s="0"/>
      <c r="O10" s="0"/>
    </row>
    <row r="11" customFormat="false" ht="12.75" hidden="false" customHeight="false" outlineLevel="0" collapsed="false">
      <c r="A11" s="27" t="s">
        <v>16</v>
      </c>
      <c r="B11" s="6"/>
      <c r="C11" s="6"/>
      <c r="D11" s="37" t="n">
        <f aca="false">100+15+0.4</f>
        <v>115.4</v>
      </c>
      <c r="E11" s="29" t="n">
        <f aca="false">+(323.906+2011.786+156)/21</f>
        <v>118.652</v>
      </c>
      <c r="F11" s="37" t="n">
        <v>60.8</v>
      </c>
      <c r="G11" s="38" t="n">
        <v>145</v>
      </c>
      <c r="H11" s="31" t="n">
        <v>90</v>
      </c>
      <c r="I11" s="25"/>
      <c r="K11" s="39" t="s">
        <v>17</v>
      </c>
      <c r="L11" s="40" t="n">
        <f aca="false">C154+C217</f>
        <v>0</v>
      </c>
      <c r="N11" s="0"/>
      <c r="O11" s="0"/>
    </row>
    <row r="12" customFormat="false" ht="12.75" hidden="false" customHeight="false" outlineLevel="0" collapsed="false">
      <c r="A12" s="27" t="s">
        <v>18</v>
      </c>
      <c r="B12" s="6"/>
      <c r="C12" s="6"/>
      <c r="D12" s="37" t="n">
        <v>90</v>
      </c>
      <c r="E12" s="29" t="n">
        <f aca="false">+(840.032+66.778+1049.968+3.712)/21-(1.674/21)</f>
        <v>93.2769523809524</v>
      </c>
      <c r="F12" s="37" t="n">
        <v>107.3</v>
      </c>
      <c r="G12" s="38" t="n">
        <f aca="false">90*1.05</f>
        <v>94.5</v>
      </c>
      <c r="H12" s="31" t="n">
        <f aca="false">90*0.95</f>
        <v>85.5</v>
      </c>
      <c r="I12" s="25"/>
      <c r="K12" s="39" t="s">
        <v>19</v>
      </c>
      <c r="L12" s="40" t="n">
        <f aca="false">C164+C220</f>
        <v>80</v>
      </c>
      <c r="N12" s="0"/>
      <c r="O12" s="0"/>
    </row>
    <row r="13" customFormat="false" ht="12.75" hidden="false" customHeight="false" outlineLevel="0" collapsed="false">
      <c r="A13" s="27" t="s">
        <v>20</v>
      </c>
      <c r="B13" s="6"/>
      <c r="C13" s="6"/>
      <c r="D13" s="37" t="n">
        <f aca="false">30+20</f>
        <v>50</v>
      </c>
      <c r="E13" s="29" t="n">
        <v>55.987</v>
      </c>
      <c r="F13" s="37" t="n">
        <v>77.98</v>
      </c>
      <c r="G13" s="38" t="n">
        <v>180</v>
      </c>
      <c r="H13" s="31" t="n">
        <v>0</v>
      </c>
      <c r="I13" s="25"/>
      <c r="J13" s="0"/>
      <c r="K13" s="39" t="s">
        <v>21</v>
      </c>
      <c r="L13" s="40" t="n">
        <f aca="false">C163+C219</f>
        <v>34</v>
      </c>
      <c r="N13" s="0"/>
      <c r="O13" s="0"/>
    </row>
    <row r="14" customFormat="false" ht="12.75" hidden="false" customHeight="false" outlineLevel="0" collapsed="false">
      <c r="A14" s="27" t="s">
        <v>22</v>
      </c>
      <c r="B14" s="6"/>
      <c r="C14" s="6"/>
      <c r="D14" s="37" t="n">
        <f aca="false">B92</f>
        <v>2.867</v>
      </c>
      <c r="E14" s="29" t="n">
        <f aca="false">'Mar prebid'!D14</f>
        <v>5.358</v>
      </c>
      <c r="F14" s="37" t="n">
        <v>4.5</v>
      </c>
      <c r="G14" s="38" t="n">
        <f aca="false">D14*1.05</f>
        <v>3.01035</v>
      </c>
      <c r="H14" s="31" t="n">
        <f aca="false">D14*0.95</f>
        <v>2.72365</v>
      </c>
      <c r="I14" s="25"/>
      <c r="K14" s="39" t="s">
        <v>23</v>
      </c>
      <c r="L14" s="40" t="n">
        <f aca="false">C167+C221</f>
        <v>30</v>
      </c>
      <c r="N14" s="0"/>
      <c r="O14" s="0"/>
    </row>
    <row r="15" customFormat="false" ht="12.75" hidden="false" customHeight="false" outlineLevel="0" collapsed="false">
      <c r="A15" s="27" t="s">
        <v>370</v>
      </c>
      <c r="B15" s="6"/>
      <c r="C15" s="338" t="s">
        <v>444</v>
      </c>
      <c r="D15" s="37" t="n">
        <f aca="false">SUM(D16:D18)</f>
        <v>157.81</v>
      </c>
      <c r="E15" s="29" t="n">
        <f aca="false">SUM(E16:E18)</f>
        <v>201.664</v>
      </c>
      <c r="F15" s="37" t="n">
        <f aca="false">SUM(F16:F18)</f>
        <v>96.23</v>
      </c>
      <c r="G15" s="38" t="n">
        <v>1174</v>
      </c>
      <c r="H15" s="31" t="n">
        <v>0</v>
      </c>
      <c r="I15" s="25"/>
      <c r="K15" s="39" t="s">
        <v>25</v>
      </c>
      <c r="L15" s="40" t="n">
        <f aca="false">C178+C223</f>
        <v>15</v>
      </c>
      <c r="N15" s="0"/>
      <c r="O15" s="0"/>
    </row>
    <row r="16" customFormat="false" ht="12.75" hidden="false" customHeight="false" outlineLevel="0" collapsed="false">
      <c r="A16" s="27" t="s">
        <v>371</v>
      </c>
      <c r="B16" s="43"/>
      <c r="C16" s="6"/>
      <c r="D16" s="44" t="n">
        <v>95.669</v>
      </c>
      <c r="E16" s="29" t="n">
        <v>137.536</v>
      </c>
      <c r="F16" s="37" t="n">
        <v>31.712</v>
      </c>
      <c r="G16" s="38"/>
      <c r="H16" s="31"/>
      <c r="I16" s="25"/>
      <c r="K16" s="39" t="s">
        <v>27</v>
      </c>
      <c r="L16" s="40" t="n">
        <f aca="false">C135</f>
        <v>0</v>
      </c>
      <c r="N16" s="0"/>
      <c r="O16" s="0"/>
      <c r="P16" s="0"/>
    </row>
    <row r="17" customFormat="false" ht="12.75" hidden="false" customHeight="false" outlineLevel="0" collapsed="false">
      <c r="A17" s="27" t="s">
        <v>372</v>
      </c>
      <c r="B17" s="43"/>
      <c r="C17" s="6"/>
      <c r="D17" s="44" t="n">
        <v>3</v>
      </c>
      <c r="E17" s="29" t="n">
        <v>7.194</v>
      </c>
      <c r="F17" s="37" t="n">
        <v>6.283</v>
      </c>
      <c r="G17" s="38"/>
      <c r="H17" s="31"/>
      <c r="I17" s="25"/>
      <c r="K17" s="39" t="s">
        <v>29</v>
      </c>
      <c r="L17" s="40" t="n">
        <f aca="false">C195+C225</f>
        <v>40</v>
      </c>
      <c r="N17" s="0"/>
      <c r="O17" s="0"/>
      <c r="P17" s="0"/>
    </row>
    <row r="18" customFormat="false" ht="12.75" hidden="false" customHeight="false" outlineLevel="0" collapsed="false">
      <c r="A18" s="27" t="s">
        <v>373</v>
      </c>
      <c r="B18" s="43"/>
      <c r="C18" s="6"/>
      <c r="D18" s="44" t="n">
        <v>59.141</v>
      </c>
      <c r="E18" s="29" t="n">
        <v>56.934</v>
      </c>
      <c r="F18" s="37" t="n">
        <v>58.235</v>
      </c>
      <c r="G18" s="38"/>
      <c r="H18" s="31"/>
      <c r="I18" s="25"/>
      <c r="K18" s="39" t="s">
        <v>31</v>
      </c>
      <c r="L18" s="40" t="n">
        <f aca="false">C196</f>
        <v>15</v>
      </c>
      <c r="N18" s="0"/>
      <c r="O18" s="0"/>
      <c r="P18" s="0"/>
    </row>
    <row r="19" customFormat="false" ht="13.5" hidden="false" customHeight="false" outlineLevel="0" collapsed="false">
      <c r="A19" s="27" t="s">
        <v>26</v>
      </c>
      <c r="B19" s="35"/>
      <c r="C19" s="35"/>
      <c r="D19" s="37" t="n">
        <f aca="false">F93-B92</f>
        <v>274.782</v>
      </c>
      <c r="E19" s="29" t="n">
        <f aca="false">'Mar prebid'!D19</f>
        <v>220.481</v>
      </c>
      <c r="F19" s="37" t="n">
        <v>0</v>
      </c>
      <c r="G19" s="38" t="n">
        <v>0</v>
      </c>
      <c r="H19" s="31" t="n">
        <v>0</v>
      </c>
      <c r="I19" s="45"/>
      <c r="K19" s="55" t="s">
        <v>33</v>
      </c>
      <c r="L19" s="56" t="n">
        <f aca="false">C200+C228</f>
        <v>59.167</v>
      </c>
      <c r="N19" s="0"/>
      <c r="O19" s="0"/>
    </row>
    <row r="20" customFormat="false" ht="12.75" hidden="false" customHeight="false" outlineLevel="0" collapsed="false">
      <c r="A20" s="27" t="s">
        <v>28</v>
      </c>
      <c r="B20" s="6"/>
      <c r="C20" s="6"/>
      <c r="D20" s="46" t="n">
        <f aca="false">SUM(D7:D19)-D15</f>
        <v>1327.022</v>
      </c>
      <c r="E20" s="46" t="n">
        <f aca="false">SUM(E7:E19)-E15</f>
        <v>1406.35244372294</v>
      </c>
      <c r="F20" s="46" t="n">
        <f aca="false">SUM(F7:F19)-F15</f>
        <v>1043.61</v>
      </c>
      <c r="G20" s="46" t="n">
        <f aca="false">SUM(G7:G19)</f>
        <v>2298.09435</v>
      </c>
      <c r="H20" s="47" t="n">
        <f aca="false">SUM(H7:H19)</f>
        <v>703.21965</v>
      </c>
      <c r="I20" s="32"/>
      <c r="L20" s="0"/>
      <c r="N20" s="0"/>
      <c r="O20" s="48"/>
    </row>
    <row r="21" customFormat="false" ht="12.75" hidden="false" customHeight="false" outlineLevel="0" collapsed="false">
      <c r="A21" s="27" t="s">
        <v>30</v>
      </c>
      <c r="B21" s="6"/>
      <c r="C21" s="6"/>
      <c r="D21" s="49" t="n">
        <f aca="false">D32</f>
        <v>0</v>
      </c>
      <c r="E21" s="50" t="n">
        <v>-64.5161290322581</v>
      </c>
      <c r="F21" s="51" t="n">
        <v>0</v>
      </c>
      <c r="G21" s="52" t="n">
        <v>0</v>
      </c>
      <c r="H21" s="53" t="n">
        <v>0</v>
      </c>
      <c r="I21" s="25"/>
      <c r="L21" s="0"/>
      <c r="N21" s="48"/>
      <c r="O21" s="0"/>
    </row>
    <row r="22" customFormat="false" ht="12.75" hidden="false" customHeight="false" outlineLevel="0" collapsed="false">
      <c r="A22" s="27" t="s">
        <v>445</v>
      </c>
      <c r="B22" s="6"/>
      <c r="C22" s="6"/>
      <c r="D22" s="37" t="n">
        <v>2.5</v>
      </c>
      <c r="E22" s="37" t="n">
        <v>2.5</v>
      </c>
      <c r="F22" s="37" t="n">
        <v>2.5</v>
      </c>
      <c r="G22" s="54" t="n">
        <v>0</v>
      </c>
      <c r="H22" s="53" t="n">
        <v>0</v>
      </c>
      <c r="I22" s="25"/>
      <c r="L22" s="0"/>
      <c r="N22" s="0"/>
    </row>
    <row r="23" customFormat="false" ht="12.75" hidden="false" customHeight="false" outlineLevel="0" collapsed="false">
      <c r="A23" s="16"/>
      <c r="B23" s="6"/>
      <c r="C23" s="57" t="s">
        <v>34</v>
      </c>
      <c r="D23" s="46" t="n">
        <f aca="false">D22+D21+D20</f>
        <v>1329.522</v>
      </c>
      <c r="E23" s="46" t="n">
        <f aca="false">E22+E21+E20</f>
        <v>1344.33631469069</v>
      </c>
      <c r="F23" s="46" t="n">
        <f aca="false">F22+F21+F20</f>
        <v>1046.11</v>
      </c>
      <c r="G23" s="46" t="n">
        <f aca="false">G22+G21+G20</f>
        <v>2298.09435</v>
      </c>
      <c r="H23" s="58" t="n">
        <f aca="false">H22+H21+H20</f>
        <v>703.21965</v>
      </c>
      <c r="I23" s="25"/>
      <c r="L23" s="0"/>
    </row>
    <row r="24" customFormat="false" ht="12.75" hidden="false" customHeight="false" outlineLevel="0" collapsed="false">
      <c r="A24" s="27" t="s">
        <v>35</v>
      </c>
      <c r="B24" s="6"/>
      <c r="C24" s="6"/>
      <c r="D24" s="49" t="n">
        <f aca="false">D44</f>
        <v>1273.51</v>
      </c>
      <c r="E24" s="279" t="n">
        <f aca="false">'Mar prebid'!D24</f>
        <v>1494.069</v>
      </c>
      <c r="F24" s="279" t="n">
        <v>1660</v>
      </c>
      <c r="G24" s="280" t="n">
        <f aca="false">D24</f>
        <v>1273.51</v>
      </c>
      <c r="H24" s="281" t="n">
        <f aca="false">D24</f>
        <v>1273.51</v>
      </c>
      <c r="I24" s="25"/>
      <c r="L24" s="0"/>
    </row>
    <row r="25" customFormat="false" ht="12.75" hidden="false" customHeight="false" outlineLevel="0" collapsed="false">
      <c r="A25" s="282" t="s">
        <v>37</v>
      </c>
      <c r="B25" s="6"/>
      <c r="C25" s="6"/>
      <c r="D25" s="49" t="n">
        <v>109</v>
      </c>
      <c r="E25" s="37" t="n">
        <f aca="false">'Mar prebid'!D25</f>
        <v>53.755</v>
      </c>
      <c r="F25" s="37"/>
      <c r="G25" s="51"/>
      <c r="H25" s="53"/>
      <c r="I25" s="25"/>
      <c r="L25" s="0"/>
    </row>
    <row r="26" customFormat="false" ht="13.5" hidden="false" customHeight="false" outlineLevel="0" collapsed="false">
      <c r="A26" s="62"/>
      <c r="B26" s="63"/>
      <c r="C26" s="64" t="s">
        <v>36</v>
      </c>
      <c r="D26" s="65" t="n">
        <f aca="false">D24+D25-D23</f>
        <v>52.9880000000001</v>
      </c>
      <c r="E26" s="65" t="n">
        <f aca="false">E24-E23+E25</f>
        <v>203.487685309314</v>
      </c>
      <c r="F26" s="65" t="n">
        <f aca="false">F24-F23</f>
        <v>613.89</v>
      </c>
      <c r="G26" s="65" t="n">
        <f aca="false">+G23-G24</f>
        <v>1024.58435</v>
      </c>
      <c r="H26" s="65" t="n">
        <f aca="false">+(H23-H24)</f>
        <v>-570.29035</v>
      </c>
      <c r="I26" s="32"/>
      <c r="L26" s="0"/>
    </row>
    <row r="27" customFormat="false" ht="4.5" hidden="false" customHeight="true" outlineLevel="0" collapsed="false">
      <c r="A27" s="66"/>
      <c r="B27" s="6"/>
      <c r="C27" s="67"/>
      <c r="D27" s="68"/>
      <c r="E27" s="69"/>
      <c r="F27" s="69"/>
      <c r="G27" s="70"/>
      <c r="H27" s="70"/>
      <c r="I27" s="32"/>
      <c r="K27" s="78"/>
      <c r="L27" s="79"/>
    </row>
    <row r="28" customFormat="false" ht="12.75" hidden="false" customHeight="false" outlineLevel="0" collapsed="false">
      <c r="A28" s="16"/>
      <c r="C28" s="73" t="s">
        <v>38</v>
      </c>
      <c r="D28" s="72" t="n">
        <v>0</v>
      </c>
      <c r="E28" s="69"/>
      <c r="F28" s="69"/>
      <c r="G28" s="69"/>
      <c r="H28" s="69"/>
      <c r="I28" s="32"/>
      <c r="L28" s="0"/>
    </row>
    <row r="29" customFormat="false" ht="13.5" hidden="false" customHeight="true" outlineLevel="0" collapsed="false">
      <c r="A29" s="74"/>
      <c r="B29" s="75"/>
      <c r="C29" s="76" t="s">
        <v>39</v>
      </c>
      <c r="D29" s="77" t="n">
        <f aca="false">D26+D28</f>
        <v>52.9880000000001</v>
      </c>
      <c r="E29" s="69"/>
      <c r="F29" s="69"/>
      <c r="G29" s="69"/>
      <c r="H29" s="69"/>
      <c r="I29" s="32"/>
      <c r="J29" s="78"/>
      <c r="L29" s="0"/>
      <c r="M29" s="78"/>
      <c r="N29" s="78"/>
      <c r="O29" s="78"/>
      <c r="P29" s="78"/>
      <c r="Q29" s="78"/>
      <c r="R29" s="78"/>
      <c r="S29" s="78"/>
      <c r="T29" s="78"/>
      <c r="U29" s="78"/>
      <c r="V29" s="78"/>
      <c r="W29" s="78"/>
      <c r="X29" s="78"/>
      <c r="Y29" s="78"/>
      <c r="Z29" s="78"/>
      <c r="AA29" s="78"/>
      <c r="AB29" s="78"/>
      <c r="AC29" s="78"/>
      <c r="AD29" s="78"/>
      <c r="AE29" s="78"/>
      <c r="AF29" s="78"/>
      <c r="AG29" s="78"/>
      <c r="AH29" s="78"/>
      <c r="AI29" s="78"/>
      <c r="AJ29" s="78"/>
      <c r="AK29" s="80"/>
      <c r="AL29" s="80"/>
      <c r="AM29" s="80"/>
      <c r="AN29" s="80"/>
      <c r="AO29" s="80"/>
      <c r="AP29" s="80"/>
      <c r="AQ29" s="80"/>
      <c r="AR29" s="80"/>
      <c r="AS29" s="80"/>
      <c r="AT29" s="80"/>
      <c r="AU29" s="80"/>
      <c r="AV29" s="80"/>
      <c r="AW29" s="80"/>
      <c r="AX29" s="80"/>
      <c r="AY29" s="80"/>
      <c r="AZ29" s="80"/>
      <c r="BA29" s="80"/>
      <c r="BB29" s="80"/>
      <c r="BC29" s="80"/>
      <c r="BD29" s="80"/>
      <c r="BE29" s="80"/>
      <c r="BF29" s="80"/>
      <c r="BG29" s="80"/>
      <c r="BH29" s="80"/>
      <c r="BI29" s="80"/>
      <c r="BJ29" s="80"/>
      <c r="BK29" s="80"/>
      <c r="BL29" s="80"/>
      <c r="BM29" s="80"/>
      <c r="BN29" s="80"/>
      <c r="BO29" s="80"/>
      <c r="BP29" s="80"/>
      <c r="BQ29" s="80"/>
      <c r="BR29" s="80"/>
      <c r="BS29" s="80"/>
      <c r="BT29" s="80"/>
      <c r="BU29" s="80"/>
      <c r="BV29" s="80"/>
      <c r="BW29" s="80"/>
      <c r="BX29" s="80"/>
      <c r="BY29" s="80"/>
      <c r="BZ29" s="80"/>
      <c r="CA29" s="80"/>
      <c r="CB29" s="80"/>
      <c r="CC29" s="80"/>
      <c r="CD29" s="80"/>
      <c r="CE29" s="80"/>
      <c r="CF29" s="80"/>
      <c r="CG29" s="80"/>
      <c r="CH29" s="80"/>
      <c r="CI29" s="80"/>
      <c r="CJ29" s="80"/>
      <c r="CK29" s="80"/>
      <c r="CL29" s="80"/>
      <c r="CM29" s="80"/>
      <c r="CN29" s="80"/>
      <c r="CO29" s="80"/>
      <c r="CP29" s="80"/>
      <c r="CQ29" s="80"/>
      <c r="CR29" s="80"/>
      <c r="CS29" s="80"/>
      <c r="CT29" s="80"/>
      <c r="CU29" s="80"/>
      <c r="CV29" s="80"/>
      <c r="CW29" s="80"/>
      <c r="CX29" s="80"/>
      <c r="CY29" s="80"/>
      <c r="CZ29" s="80"/>
      <c r="DA29" s="80"/>
      <c r="DB29" s="80"/>
      <c r="DC29" s="80"/>
      <c r="DD29" s="80"/>
      <c r="DE29" s="80"/>
      <c r="DF29" s="80"/>
      <c r="DG29" s="80"/>
      <c r="DH29" s="80"/>
      <c r="DI29" s="80"/>
      <c r="DJ29" s="80"/>
      <c r="DK29" s="80"/>
      <c r="DL29" s="80"/>
      <c r="DM29" s="80"/>
      <c r="DN29" s="80"/>
      <c r="DO29" s="80"/>
      <c r="DP29" s="80"/>
      <c r="DQ29" s="80"/>
      <c r="DR29" s="80"/>
      <c r="DS29" s="80"/>
      <c r="DT29" s="80"/>
      <c r="DU29" s="80"/>
      <c r="DV29" s="80"/>
      <c r="DW29" s="80"/>
      <c r="DX29" s="80"/>
      <c r="DY29" s="80"/>
      <c r="DZ29" s="80"/>
      <c r="EA29" s="80"/>
      <c r="EB29" s="80"/>
      <c r="EC29" s="80"/>
      <c r="ED29" s="80"/>
      <c r="EE29" s="80"/>
      <c r="EF29" s="80"/>
      <c r="EG29" s="80"/>
      <c r="EH29" s="80"/>
      <c r="EI29" s="80"/>
      <c r="EJ29" s="80"/>
      <c r="EK29" s="80"/>
      <c r="EL29" s="80"/>
      <c r="EM29" s="80"/>
      <c r="EN29" s="80"/>
      <c r="EO29" s="80"/>
      <c r="EP29" s="80"/>
      <c r="EQ29" s="80"/>
      <c r="ER29" s="80"/>
      <c r="ES29" s="80"/>
      <c r="ET29" s="80"/>
      <c r="EU29" s="80"/>
      <c r="EV29" s="80"/>
      <c r="EW29" s="80"/>
      <c r="EX29" s="80"/>
      <c r="EY29" s="80"/>
      <c r="EZ29" s="80"/>
      <c r="FA29" s="80"/>
      <c r="FB29" s="80"/>
      <c r="FC29" s="80"/>
      <c r="FD29" s="80"/>
      <c r="FE29" s="80"/>
      <c r="FF29" s="80"/>
      <c r="FG29" s="80"/>
      <c r="FH29" s="80"/>
      <c r="FI29" s="80"/>
      <c r="FJ29" s="80"/>
      <c r="FK29" s="80"/>
      <c r="FL29" s="80"/>
      <c r="FM29" s="80"/>
      <c r="FN29" s="80"/>
      <c r="FO29" s="80"/>
      <c r="FP29" s="80"/>
      <c r="FQ29" s="80"/>
      <c r="FR29" s="80"/>
      <c r="FS29" s="80"/>
      <c r="FT29" s="80"/>
      <c r="FU29" s="80"/>
      <c r="FV29" s="80"/>
      <c r="FW29" s="80"/>
      <c r="FX29" s="80"/>
      <c r="FY29" s="80"/>
      <c r="FZ29" s="80"/>
      <c r="GA29" s="80"/>
      <c r="GB29" s="80"/>
      <c r="GC29" s="80"/>
      <c r="GD29" s="80"/>
      <c r="GE29" s="80"/>
      <c r="GF29" s="80"/>
      <c r="GG29" s="80"/>
      <c r="GH29" s="80"/>
      <c r="GI29" s="80"/>
      <c r="GJ29" s="80"/>
      <c r="GK29" s="80"/>
      <c r="GL29" s="80"/>
      <c r="GM29" s="80"/>
      <c r="GN29" s="80"/>
      <c r="GO29" s="80"/>
      <c r="GP29" s="80"/>
      <c r="GQ29" s="80"/>
      <c r="GR29" s="80"/>
      <c r="GS29" s="80"/>
      <c r="GT29" s="80"/>
      <c r="GU29" s="80"/>
      <c r="GV29" s="80"/>
      <c r="GW29" s="80"/>
      <c r="GX29" s="80"/>
      <c r="GY29" s="80"/>
      <c r="GZ29" s="80"/>
      <c r="HA29" s="80"/>
      <c r="HB29" s="80"/>
      <c r="HC29" s="80"/>
      <c r="HD29" s="80"/>
      <c r="HE29" s="80"/>
      <c r="HF29" s="80"/>
      <c r="HG29" s="80"/>
      <c r="HH29" s="80"/>
      <c r="HI29" s="80"/>
      <c r="HJ29" s="80"/>
      <c r="HK29" s="80"/>
      <c r="HL29" s="80"/>
      <c r="HM29" s="80"/>
      <c r="HN29" s="80"/>
      <c r="HO29" s="80"/>
      <c r="HP29" s="80"/>
      <c r="HQ29" s="80"/>
      <c r="HR29" s="80"/>
      <c r="HS29" s="80"/>
      <c r="HT29" s="80"/>
      <c r="HU29" s="80"/>
      <c r="HV29" s="80"/>
      <c r="HW29" s="80"/>
      <c r="HX29" s="80"/>
      <c r="HY29" s="80"/>
      <c r="HZ29" s="80"/>
      <c r="IA29" s="80"/>
      <c r="IB29" s="80"/>
      <c r="IC29" s="80"/>
      <c r="ID29" s="80"/>
      <c r="IE29" s="80"/>
      <c r="IF29" s="80"/>
      <c r="IG29" s="80"/>
      <c r="IH29" s="80"/>
      <c r="II29" s="80"/>
      <c r="IJ29" s="80"/>
      <c r="IK29" s="80"/>
      <c r="IL29" s="80"/>
      <c r="IM29" s="80"/>
      <c r="IN29" s="80"/>
      <c r="IO29" s="80"/>
      <c r="IP29" s="80"/>
      <c r="IQ29" s="80"/>
      <c r="IR29" s="80"/>
      <c r="IS29" s="80"/>
      <c r="IT29" s="80"/>
      <c r="IU29" s="80"/>
      <c r="IV29" s="80"/>
      <c r="IW29" s="80"/>
    </row>
    <row r="30" customFormat="false" ht="8.25" hidden="false" customHeight="true" outlineLevel="0" collapsed="false">
      <c r="A30" s="81"/>
      <c r="B30" s="82"/>
      <c r="C30" s="83"/>
      <c r="D30" s="84"/>
      <c r="E30" s="6"/>
      <c r="F30" s="6"/>
      <c r="G30" s="85"/>
      <c r="H30" s="86"/>
      <c r="I30" s="87"/>
      <c r="K30" s="0"/>
    </row>
    <row r="31" customFormat="false" ht="13.5" hidden="false" customHeight="false" outlineLevel="0" collapsed="false">
      <c r="A31" s="88" t="s">
        <v>376</v>
      </c>
      <c r="B31" s="88"/>
      <c r="C31" s="88"/>
      <c r="D31" s="88"/>
      <c r="E31" s="89" t="s">
        <v>41</v>
      </c>
      <c r="F31" s="89"/>
      <c r="G31" s="89"/>
      <c r="H31" s="89"/>
      <c r="I31" s="90" t="s">
        <v>42</v>
      </c>
      <c r="J31" s="90"/>
      <c r="K31" s="109"/>
      <c r="L31" s="109"/>
    </row>
    <row r="32" customFormat="false" ht="13.5" hidden="false" customHeight="false" outlineLevel="0" collapsed="false">
      <c r="A32" s="27" t="s">
        <v>43</v>
      </c>
      <c r="B32" s="85"/>
      <c r="C32" s="85"/>
      <c r="D32" s="268" t="n">
        <f aca="false">B33/30</f>
        <v>0</v>
      </c>
      <c r="E32" s="92" t="s">
        <v>44</v>
      </c>
      <c r="F32" s="92"/>
      <c r="G32" s="90" t="s">
        <v>45</v>
      </c>
      <c r="H32" s="90"/>
      <c r="I32" s="93" t="s">
        <v>46</v>
      </c>
      <c r="J32" s="94" t="s">
        <v>47</v>
      </c>
      <c r="K32" s="112"/>
      <c r="L32" s="112"/>
    </row>
    <row r="33" customFormat="false" ht="13.5" hidden="false" customHeight="false" outlineLevel="0" collapsed="false">
      <c r="A33" s="16" t="s">
        <v>48</v>
      </c>
      <c r="B33" s="95" t="n">
        <v>0</v>
      </c>
      <c r="C33" s="0" t="s">
        <v>49</v>
      </c>
      <c r="D33" s="96"/>
      <c r="E33" s="269" t="s">
        <v>446</v>
      </c>
      <c r="F33" s="270" t="n">
        <v>10</v>
      </c>
      <c r="G33" s="99" t="s">
        <v>99</v>
      </c>
      <c r="H33" s="100" t="n">
        <v>20</v>
      </c>
      <c r="I33" s="101" t="n">
        <f aca="false">7.5+20+5+10</f>
        <v>42.5</v>
      </c>
      <c r="J33" s="102" t="n">
        <f aca="false">20+5+5+5+5+20</f>
        <v>60</v>
      </c>
      <c r="K33" s="87"/>
      <c r="L33" s="87"/>
    </row>
    <row r="34" customFormat="false" ht="13.5" hidden="false" customHeight="false" outlineLevel="0" collapsed="false">
      <c r="A34" s="16" t="s">
        <v>52</v>
      </c>
      <c r="B34" s="103" t="n">
        <v>0</v>
      </c>
      <c r="C34" s="6"/>
      <c r="D34" s="104"/>
      <c r="E34" s="269" t="s">
        <v>220</v>
      </c>
      <c r="F34" s="270" t="n">
        <v>13</v>
      </c>
      <c r="G34" s="99" t="s">
        <v>432</v>
      </c>
      <c r="H34" s="100" t="n">
        <v>30</v>
      </c>
      <c r="I34" s="283" t="s">
        <v>55</v>
      </c>
      <c r="J34" s="108" t="n">
        <f aca="false">+I33-J33</f>
        <v>-17.5</v>
      </c>
      <c r="K34" s="0"/>
      <c r="L34" s="0"/>
    </row>
    <row r="35" customFormat="false" ht="13.5" hidden="false" customHeight="false" outlineLevel="0" collapsed="false">
      <c r="A35" s="110"/>
      <c r="B35" s="63"/>
      <c r="C35" s="63"/>
      <c r="D35" s="111"/>
      <c r="E35" s="269" t="s">
        <v>447</v>
      </c>
      <c r="F35" s="270" t="n">
        <v>1.5</v>
      </c>
      <c r="G35" s="99" t="s">
        <v>448</v>
      </c>
      <c r="H35" s="100" t="n">
        <v>5</v>
      </c>
      <c r="I35" s="0"/>
      <c r="J35" s="0"/>
      <c r="K35" s="0"/>
      <c r="L35" s="0"/>
    </row>
    <row r="36" customFormat="false" ht="13.5" hidden="false" customHeight="false" outlineLevel="0" collapsed="false">
      <c r="A36" s="113"/>
      <c r="B36" s="114"/>
      <c r="C36" s="114"/>
      <c r="D36" s="115"/>
      <c r="E36" s="99" t="s">
        <v>119</v>
      </c>
      <c r="F36" s="100" t="n">
        <v>5</v>
      </c>
      <c r="G36" s="99" t="s">
        <v>449</v>
      </c>
      <c r="H36" s="100" t="n">
        <v>5</v>
      </c>
      <c r="I36" s="90" t="s">
        <v>60</v>
      </c>
      <c r="J36" s="90"/>
      <c r="K36" s="126"/>
      <c r="L36" s="0"/>
    </row>
    <row r="37" customFormat="false" ht="13.5" hidden="false" customHeight="false" outlineLevel="0" collapsed="false">
      <c r="A37" s="116" t="s">
        <v>61</v>
      </c>
      <c r="B37" s="116"/>
      <c r="C37" s="116"/>
      <c r="D37" s="116"/>
      <c r="E37" s="269" t="s">
        <v>125</v>
      </c>
      <c r="F37" s="270" t="n">
        <v>4.5</v>
      </c>
      <c r="G37" s="119" t="s">
        <v>315</v>
      </c>
      <c r="H37" s="120" t="n">
        <v>1.1</v>
      </c>
      <c r="I37" s="93" t="s">
        <v>64</v>
      </c>
      <c r="J37" s="94" t="s">
        <v>65</v>
      </c>
      <c r="K37" s="126"/>
      <c r="L37" s="0"/>
    </row>
    <row r="38" customFormat="false" ht="13.5" hidden="false" customHeight="false" outlineLevel="0" collapsed="false">
      <c r="A38" s="27"/>
      <c r="B38" s="6"/>
      <c r="C38" s="6"/>
      <c r="D38" s="121"/>
      <c r="E38" s="339" t="s">
        <v>84</v>
      </c>
      <c r="F38" s="270" t="n">
        <v>0.2</v>
      </c>
      <c r="G38" s="119"/>
      <c r="H38" s="120"/>
      <c r="I38" s="284" t="n">
        <v>0</v>
      </c>
      <c r="J38" s="123" t="n">
        <f aca="false">5+10-30</f>
        <v>-15</v>
      </c>
      <c r="K38" s="126"/>
      <c r="L38" s="0"/>
    </row>
    <row r="39" customFormat="false" ht="13.5" hidden="false" customHeight="false" outlineLevel="0" collapsed="false">
      <c r="A39" s="27" t="s">
        <v>67</v>
      </c>
      <c r="B39" s="6"/>
      <c r="C39" s="6"/>
      <c r="D39" s="124" t="n">
        <f aca="false">K206/1000</f>
        <v>49.082</v>
      </c>
      <c r="E39" s="117" t="s">
        <v>93</v>
      </c>
      <c r="F39" s="118" t="n">
        <v>60</v>
      </c>
      <c r="G39" s="119"/>
      <c r="H39" s="120"/>
      <c r="I39" s="125" t="s">
        <v>68</v>
      </c>
      <c r="J39" s="94" t="s">
        <v>69</v>
      </c>
      <c r="K39" s="0"/>
      <c r="L39" s="0"/>
    </row>
    <row r="40" customFormat="false" ht="13.5" hidden="false" customHeight="false" outlineLevel="0" collapsed="false">
      <c r="A40" s="27" t="s">
        <v>70</v>
      </c>
      <c r="B40" s="6"/>
      <c r="C40" s="6"/>
      <c r="D40" s="121" t="n">
        <f aca="false">L93</f>
        <v>472.495</v>
      </c>
      <c r="E40" s="117" t="s">
        <v>450</v>
      </c>
      <c r="F40" s="118" t="n">
        <v>10</v>
      </c>
      <c r="G40" s="127"/>
      <c r="H40" s="128"/>
      <c r="I40" s="129" t="n">
        <f aca="false">20+20+30+10+60</f>
        <v>140</v>
      </c>
      <c r="J40" s="285" t="n">
        <v>0</v>
      </c>
      <c r="K40" s="0"/>
      <c r="L40" s="0"/>
    </row>
    <row r="41" customFormat="false" ht="13.5" hidden="false" customHeight="false" outlineLevel="0" collapsed="false">
      <c r="A41" s="27" t="s">
        <v>71</v>
      </c>
      <c r="B41" s="6"/>
      <c r="C41" s="6"/>
      <c r="D41" s="32" t="n">
        <v>40</v>
      </c>
      <c r="E41" s="117"/>
      <c r="F41" s="118"/>
      <c r="G41" s="127"/>
      <c r="H41" s="128"/>
      <c r="I41" s="287" t="s">
        <v>72</v>
      </c>
      <c r="J41" s="108" t="n">
        <f aca="false">J34+I38+J38+I40+J40</f>
        <v>107.5</v>
      </c>
      <c r="K41" s="0"/>
      <c r="L41" s="0"/>
    </row>
    <row r="42" customFormat="false" ht="13.5" hidden="false" customHeight="false" outlineLevel="0" collapsed="false">
      <c r="A42" s="27" t="s">
        <v>73</v>
      </c>
      <c r="B42" s="6"/>
      <c r="C42" s="6"/>
      <c r="D42" s="319" t="n">
        <f aca="false">700.302-3.543+10+5.174</f>
        <v>711.933</v>
      </c>
      <c r="E42" s="117"/>
      <c r="F42" s="118"/>
      <c r="G42" s="6"/>
      <c r="H42" s="7"/>
      <c r="K42" s="0"/>
      <c r="L42" s="0"/>
    </row>
    <row r="43" customFormat="false" ht="13.5" hidden="false" customHeight="false" outlineLevel="0" collapsed="false">
      <c r="A43" s="27"/>
      <c r="B43" s="6"/>
      <c r="C43" s="6"/>
      <c r="D43" s="121"/>
      <c r="E43" s="117"/>
      <c r="F43" s="118"/>
      <c r="G43" s="6"/>
      <c r="H43" s="7"/>
      <c r="I43" s="90" t="s">
        <v>74</v>
      </c>
      <c r="J43" s="90"/>
      <c r="K43" s="0"/>
      <c r="L43" s="0"/>
    </row>
    <row r="44" customFormat="false" ht="13.5" hidden="false" customHeight="false" outlineLevel="0" collapsed="false">
      <c r="A44" s="62"/>
      <c r="B44" s="134" t="s">
        <v>75</v>
      </c>
      <c r="C44" s="135" t="str">
        <f aca="false">+F5</f>
        <v>Apr</v>
      </c>
      <c r="D44" s="136" t="n">
        <f aca="false">SUM(D39:D42)</f>
        <v>1273.51</v>
      </c>
      <c r="E44" s="137" t="s">
        <v>76</v>
      </c>
      <c r="F44" s="136" t="n">
        <f aca="false">SUM(F33:F42)</f>
        <v>104.2</v>
      </c>
      <c r="G44" s="137" t="s">
        <v>76</v>
      </c>
      <c r="H44" s="136" t="n">
        <f aca="false">SUM(H33:H43)</f>
        <v>61.1</v>
      </c>
      <c r="I44" s="0"/>
      <c r="J44" s="320" t="n">
        <v>15</v>
      </c>
      <c r="K44" s="0"/>
      <c r="L44" s="0"/>
    </row>
    <row r="45" customFormat="false" ht="12.75" hidden="false" customHeight="false" outlineLevel="0" collapsed="false"/>
    <row r="46" customFormat="false" ht="12.75" hidden="false" customHeight="false" outlineLevel="0" collapsed="false">
      <c r="A46" s="138" t="s">
        <v>77</v>
      </c>
      <c r="B46" s="138"/>
      <c r="C46" s="138"/>
      <c r="D46" s="138"/>
      <c r="E46" s="139"/>
      <c r="F46" s="140"/>
      <c r="G46" s="93" t="s">
        <v>78</v>
      </c>
      <c r="H46" s="93"/>
      <c r="I46" s="93"/>
      <c r="J46" s="93"/>
      <c r="K46" s="93"/>
      <c r="L46" s="93"/>
    </row>
    <row r="47" customFormat="false" ht="12" hidden="false" customHeight="false" outlineLevel="0" collapsed="false">
      <c r="A47" s="141" t="s">
        <v>80</v>
      </c>
      <c r="B47" s="141"/>
      <c r="C47" s="142" t="s">
        <v>81</v>
      </c>
      <c r="D47" s="142"/>
      <c r="E47" s="143" t="s">
        <v>82</v>
      </c>
      <c r="F47" s="143"/>
      <c r="G47" s="144"/>
      <c r="H47" s="142"/>
      <c r="I47" s="142" t="s">
        <v>81</v>
      </c>
      <c r="J47" s="142"/>
      <c r="K47" s="143" t="s">
        <v>82</v>
      </c>
      <c r="L47" s="143"/>
    </row>
    <row r="48" customFormat="false" ht="12" hidden="false" customHeight="false" outlineLevel="0" collapsed="false">
      <c r="A48" s="145" t="s">
        <v>89</v>
      </c>
      <c r="B48" s="146" t="n">
        <v>0.096</v>
      </c>
      <c r="C48" s="147" t="s">
        <v>15</v>
      </c>
      <c r="D48" s="146" t="n">
        <v>5</v>
      </c>
      <c r="E48" s="147" t="s">
        <v>84</v>
      </c>
      <c r="F48" s="146" t="n">
        <v>5</v>
      </c>
      <c r="G48" s="149"/>
      <c r="H48" s="150"/>
      <c r="I48" s="147" t="s">
        <v>87</v>
      </c>
      <c r="J48" s="151" t="n">
        <v>40</v>
      </c>
      <c r="K48" s="147" t="s">
        <v>451</v>
      </c>
      <c r="L48" s="152" t="n">
        <v>5</v>
      </c>
    </row>
    <row r="49" customFormat="false" ht="12" hidden="false" customHeight="false" outlineLevel="0" collapsed="false">
      <c r="A49" s="145" t="s">
        <v>92</v>
      </c>
      <c r="B49" s="146" t="n">
        <v>0.048</v>
      </c>
      <c r="C49" s="147" t="s">
        <v>452</v>
      </c>
      <c r="D49" s="146" t="n">
        <v>15</v>
      </c>
      <c r="E49" s="147" t="s">
        <v>453</v>
      </c>
      <c r="F49" s="152" t="n">
        <v>5</v>
      </c>
      <c r="G49" s="149"/>
      <c r="H49" s="150"/>
      <c r="I49" s="153" t="s">
        <v>91</v>
      </c>
      <c r="J49" s="154" t="n">
        <v>20</v>
      </c>
      <c r="K49" s="147" t="s">
        <v>451</v>
      </c>
      <c r="L49" s="152" t="n">
        <v>10</v>
      </c>
    </row>
    <row r="50" customFormat="false" ht="12" hidden="false" customHeight="false" outlineLevel="0" collapsed="false">
      <c r="A50" s="145" t="s">
        <v>101</v>
      </c>
      <c r="B50" s="146" t="n">
        <v>0.048</v>
      </c>
      <c r="C50" s="147" t="s">
        <v>125</v>
      </c>
      <c r="D50" s="146" t="n">
        <v>4.5</v>
      </c>
      <c r="E50" s="147" t="s">
        <v>453</v>
      </c>
      <c r="F50" s="152" t="n">
        <v>5</v>
      </c>
      <c r="G50" s="149"/>
      <c r="H50" s="150"/>
      <c r="I50" s="153" t="s">
        <v>91</v>
      </c>
      <c r="J50" s="146" t="n">
        <v>20</v>
      </c>
      <c r="K50" s="147" t="s">
        <v>111</v>
      </c>
      <c r="L50" s="152" t="n">
        <v>35</v>
      </c>
    </row>
    <row r="51" customFormat="false" ht="12" hidden="false" customHeight="false" outlineLevel="0" collapsed="false">
      <c r="A51" s="145" t="s">
        <v>105</v>
      </c>
      <c r="B51" s="146" t="n">
        <v>0.575</v>
      </c>
      <c r="C51" s="147" t="s">
        <v>128</v>
      </c>
      <c r="D51" s="146" t="n">
        <v>2</v>
      </c>
      <c r="E51" s="147" t="s">
        <v>453</v>
      </c>
      <c r="F51" s="152" t="n">
        <v>5</v>
      </c>
      <c r="G51" s="149"/>
      <c r="H51" s="150"/>
      <c r="I51" s="153" t="s">
        <v>94</v>
      </c>
      <c r="J51" s="146" t="n">
        <v>20</v>
      </c>
      <c r="K51" s="147" t="s">
        <v>454</v>
      </c>
      <c r="L51" s="152" t="n">
        <v>5</v>
      </c>
    </row>
    <row r="52" customFormat="false" ht="12" hidden="false" customHeight="false" outlineLevel="0" collapsed="false">
      <c r="A52" s="145" t="s">
        <v>109</v>
      </c>
      <c r="B52" s="315" t="n">
        <f aca="false">2.1</f>
        <v>2.1</v>
      </c>
      <c r="C52" s="147"/>
      <c r="D52" s="146"/>
      <c r="E52" s="147" t="s">
        <v>211</v>
      </c>
      <c r="F52" s="340" t="n">
        <v>0</v>
      </c>
      <c r="G52" s="149"/>
      <c r="H52" s="150"/>
      <c r="I52" s="153" t="s">
        <v>455</v>
      </c>
      <c r="J52" s="146" t="n">
        <v>10</v>
      </c>
      <c r="K52" s="147" t="s">
        <v>456</v>
      </c>
      <c r="L52" s="152" t="n">
        <v>10</v>
      </c>
    </row>
    <row r="53" customFormat="false" ht="12" hidden="false" customHeight="false" outlineLevel="0" collapsed="false">
      <c r="A53" s="145"/>
      <c r="B53" s="146"/>
      <c r="C53" s="147"/>
      <c r="D53" s="146"/>
      <c r="E53" s="147" t="s">
        <v>220</v>
      </c>
      <c r="F53" s="152" t="n">
        <v>12</v>
      </c>
      <c r="G53" s="149"/>
      <c r="H53" s="150"/>
      <c r="I53" s="153" t="s">
        <v>457</v>
      </c>
      <c r="J53" s="341" t="n">
        <v>10</v>
      </c>
      <c r="K53" s="147" t="s">
        <v>100</v>
      </c>
      <c r="L53" s="152" t="n">
        <v>5</v>
      </c>
    </row>
    <row r="54" customFormat="false" ht="12" hidden="false" customHeight="false" outlineLevel="0" collapsed="false">
      <c r="A54" s="145"/>
      <c r="B54" s="146"/>
      <c r="C54" s="147"/>
      <c r="D54" s="146"/>
      <c r="E54" s="147" t="s">
        <v>93</v>
      </c>
      <c r="F54" s="152" t="n">
        <v>20</v>
      </c>
      <c r="G54" s="149"/>
      <c r="H54" s="150"/>
      <c r="I54" s="153" t="s">
        <v>427</v>
      </c>
      <c r="J54" s="146" t="n">
        <v>15</v>
      </c>
      <c r="K54" s="147"/>
      <c r="L54" s="152"/>
    </row>
    <row r="55" customFormat="false" ht="12" hidden="false" customHeight="false" outlineLevel="0" collapsed="false">
      <c r="A55" s="145"/>
      <c r="B55" s="146"/>
      <c r="C55" s="147"/>
      <c r="D55" s="146"/>
      <c r="E55" s="147" t="s">
        <v>135</v>
      </c>
      <c r="F55" s="152" t="n">
        <v>15</v>
      </c>
      <c r="G55" s="149"/>
      <c r="H55" s="150"/>
      <c r="I55" s="153" t="s">
        <v>112</v>
      </c>
      <c r="J55" s="146" t="n">
        <v>2</v>
      </c>
      <c r="K55" s="147"/>
      <c r="L55" s="152"/>
    </row>
    <row r="56" customFormat="false" ht="12" hidden="false" customHeight="false" outlineLevel="0" collapsed="false">
      <c r="A56" s="149"/>
      <c r="B56" s="150"/>
      <c r="C56" s="147"/>
      <c r="D56" s="146"/>
      <c r="E56" s="147" t="s">
        <v>111</v>
      </c>
      <c r="F56" s="152" t="n">
        <v>35</v>
      </c>
      <c r="G56" s="149"/>
      <c r="H56" s="150"/>
      <c r="I56" s="153" t="s">
        <v>115</v>
      </c>
      <c r="J56" s="146" t="n">
        <v>30</v>
      </c>
      <c r="K56" s="147"/>
      <c r="L56" s="152"/>
    </row>
    <row r="57" customFormat="false" ht="12" hidden="false" customHeight="false" outlineLevel="0" collapsed="false">
      <c r="A57" s="149"/>
      <c r="B57" s="150"/>
      <c r="C57" s="147"/>
      <c r="D57" s="146"/>
      <c r="E57" s="147" t="s">
        <v>109</v>
      </c>
      <c r="F57" s="146" t="n">
        <v>6.025</v>
      </c>
      <c r="G57" s="149"/>
      <c r="H57" s="150"/>
      <c r="I57" s="153" t="s">
        <v>117</v>
      </c>
      <c r="J57" s="146" t="n">
        <v>5</v>
      </c>
      <c r="K57" s="147"/>
      <c r="L57" s="152"/>
    </row>
    <row r="58" customFormat="false" ht="12" hidden="false" customHeight="false" outlineLevel="0" collapsed="false">
      <c r="A58" s="149"/>
      <c r="B58" s="150"/>
      <c r="C58" s="147"/>
      <c r="D58" s="146"/>
      <c r="E58" s="147" t="s">
        <v>458</v>
      </c>
      <c r="F58" s="146" t="n">
        <v>5</v>
      </c>
      <c r="G58" s="149"/>
      <c r="H58" s="150"/>
      <c r="I58" s="153" t="s">
        <v>117</v>
      </c>
      <c r="J58" s="146" t="n">
        <v>10</v>
      </c>
      <c r="K58" s="147"/>
      <c r="L58" s="152"/>
    </row>
    <row r="59" customFormat="false" ht="12" hidden="false" customHeight="false" outlineLevel="0" collapsed="false">
      <c r="A59" s="162"/>
      <c r="B59" s="163"/>
      <c r="C59" s="147"/>
      <c r="D59" s="146"/>
      <c r="E59" s="342" t="n">
        <v>36612</v>
      </c>
      <c r="F59" s="342"/>
      <c r="G59" s="149"/>
      <c r="H59" s="150"/>
      <c r="I59" s="147" t="s">
        <v>121</v>
      </c>
      <c r="J59" s="146" t="n">
        <v>20</v>
      </c>
      <c r="K59" s="342" t="n">
        <v>36612</v>
      </c>
      <c r="L59" s="342"/>
    </row>
    <row r="60" customFormat="false" ht="12" hidden="false" customHeight="false" outlineLevel="0" collapsed="false">
      <c r="A60" s="162"/>
      <c r="B60" s="163"/>
      <c r="C60" s="147"/>
      <c r="D60" s="146"/>
      <c r="E60" s="147" t="s">
        <v>459</v>
      </c>
      <c r="F60" s="160" t="n">
        <v>10</v>
      </c>
      <c r="G60" s="149"/>
      <c r="H60" s="150"/>
      <c r="I60" s="147" t="s">
        <v>87</v>
      </c>
      <c r="J60" s="146" t="n">
        <v>6</v>
      </c>
      <c r="K60" s="147" t="s">
        <v>383</v>
      </c>
      <c r="L60" s="152" t="n">
        <v>3.7</v>
      </c>
    </row>
    <row r="61" customFormat="false" ht="12" hidden="false" customHeight="false" outlineLevel="0" collapsed="false">
      <c r="A61" s="162"/>
      <c r="B61" s="163"/>
      <c r="C61" s="147"/>
      <c r="D61" s="146"/>
      <c r="E61" s="147" t="s">
        <v>380</v>
      </c>
      <c r="F61" s="160" t="n">
        <v>4</v>
      </c>
      <c r="G61" s="149"/>
      <c r="H61" s="150"/>
      <c r="I61" s="147"/>
      <c r="J61" s="146"/>
      <c r="K61" s="147" t="s">
        <v>460</v>
      </c>
      <c r="L61" s="152" t="n">
        <v>5</v>
      </c>
    </row>
    <row r="62" customFormat="false" ht="12" hidden="false" customHeight="false" outlineLevel="0" collapsed="false">
      <c r="A62" s="162"/>
      <c r="B62" s="163"/>
      <c r="C62" s="147"/>
      <c r="D62" s="146"/>
      <c r="E62" s="147" t="s">
        <v>380</v>
      </c>
      <c r="F62" s="160" t="n">
        <v>12</v>
      </c>
      <c r="G62" s="149"/>
      <c r="H62" s="150"/>
      <c r="I62" s="147"/>
      <c r="J62" s="146"/>
      <c r="K62" s="147" t="s">
        <v>461</v>
      </c>
      <c r="L62" s="152" t="n">
        <v>5</v>
      </c>
    </row>
    <row r="63" customFormat="false" ht="12" hidden="false" customHeight="false" outlineLevel="0" collapsed="false">
      <c r="A63" s="162"/>
      <c r="B63" s="163"/>
      <c r="C63" s="147"/>
      <c r="D63" s="146"/>
      <c r="E63" s="147" t="s">
        <v>453</v>
      </c>
      <c r="F63" s="160" t="n">
        <v>5</v>
      </c>
      <c r="G63" s="149"/>
      <c r="H63" s="150"/>
      <c r="I63" s="147"/>
      <c r="J63" s="146"/>
      <c r="K63" s="147" t="s">
        <v>436</v>
      </c>
      <c r="L63" s="152" t="n">
        <v>60</v>
      </c>
    </row>
    <row r="64" customFormat="false" ht="12" hidden="false" customHeight="false" outlineLevel="0" collapsed="false">
      <c r="A64" s="162"/>
      <c r="B64" s="163"/>
      <c r="C64" s="147"/>
      <c r="D64" s="146"/>
      <c r="E64" s="147" t="s">
        <v>435</v>
      </c>
      <c r="F64" s="160" t="n">
        <v>10</v>
      </c>
      <c r="G64" s="149"/>
      <c r="H64" s="150"/>
      <c r="I64" s="147"/>
      <c r="J64" s="146"/>
      <c r="K64" s="147"/>
      <c r="L64" s="152"/>
    </row>
    <row r="65" customFormat="false" ht="12" hidden="false" customHeight="false" outlineLevel="0" collapsed="false">
      <c r="A65" s="162"/>
      <c r="B65" s="163"/>
      <c r="C65" s="147"/>
      <c r="D65" s="146"/>
      <c r="E65" s="147" t="s">
        <v>462</v>
      </c>
      <c r="F65" s="160" t="n">
        <v>5</v>
      </c>
      <c r="G65" s="149"/>
      <c r="H65" s="150"/>
      <c r="I65" s="147"/>
      <c r="J65" s="146"/>
      <c r="K65" s="147"/>
      <c r="L65" s="152"/>
    </row>
    <row r="66" customFormat="false" ht="12" hidden="false" customHeight="false" outlineLevel="0" collapsed="false">
      <c r="A66" s="162"/>
      <c r="B66" s="163"/>
      <c r="C66" s="147"/>
      <c r="D66" s="146"/>
      <c r="E66" s="147" t="s">
        <v>463</v>
      </c>
      <c r="F66" s="160" t="n">
        <v>20</v>
      </c>
      <c r="G66" s="149"/>
      <c r="H66" s="150"/>
      <c r="I66" s="147"/>
      <c r="J66" s="146"/>
      <c r="K66" s="147"/>
      <c r="L66" s="152"/>
    </row>
    <row r="67" customFormat="false" ht="12" hidden="false" customHeight="false" outlineLevel="0" collapsed="false">
      <c r="A67" s="162"/>
      <c r="B67" s="163"/>
      <c r="C67" s="147"/>
      <c r="D67" s="146"/>
      <c r="E67" s="342" t="n">
        <v>36613</v>
      </c>
      <c r="F67" s="342"/>
      <c r="G67" s="149"/>
      <c r="H67" s="150"/>
      <c r="I67" s="147"/>
      <c r="J67" s="146"/>
      <c r="K67" s="342" t="n">
        <v>36613</v>
      </c>
      <c r="L67" s="342"/>
    </row>
    <row r="68" customFormat="false" ht="12" hidden="false" customHeight="false" outlineLevel="0" collapsed="false">
      <c r="A68" s="162"/>
      <c r="B68" s="163"/>
      <c r="C68" s="147"/>
      <c r="D68" s="146"/>
      <c r="E68" s="147" t="s">
        <v>464</v>
      </c>
      <c r="F68" s="160" t="n">
        <v>9.424</v>
      </c>
      <c r="G68" s="149"/>
      <c r="H68" s="150"/>
      <c r="I68" s="147"/>
      <c r="J68" s="146"/>
      <c r="K68" s="147" t="s">
        <v>391</v>
      </c>
      <c r="L68" s="152" t="n">
        <v>0.41</v>
      </c>
    </row>
    <row r="69" customFormat="false" ht="12" hidden="false" customHeight="false" outlineLevel="0" collapsed="false">
      <c r="A69" s="162"/>
      <c r="B69" s="163"/>
      <c r="C69" s="147"/>
      <c r="D69" s="146"/>
      <c r="E69" s="147" t="s">
        <v>465</v>
      </c>
      <c r="F69" s="160" t="n">
        <v>10</v>
      </c>
      <c r="G69" s="149"/>
      <c r="H69" s="150"/>
      <c r="I69" s="147"/>
      <c r="J69" s="146"/>
      <c r="K69" s="147" t="s">
        <v>466</v>
      </c>
      <c r="L69" s="152" t="n">
        <v>11.3</v>
      </c>
    </row>
    <row r="70" customFormat="false" ht="12" hidden="false" customHeight="false" outlineLevel="0" collapsed="false">
      <c r="A70" s="162"/>
      <c r="B70" s="163"/>
      <c r="C70" s="147"/>
      <c r="D70" s="146"/>
      <c r="E70" s="147" t="s">
        <v>467</v>
      </c>
      <c r="F70" s="160" t="n">
        <v>6</v>
      </c>
      <c r="G70" s="149"/>
      <c r="H70" s="150"/>
      <c r="I70" s="147"/>
      <c r="J70" s="146"/>
      <c r="K70" s="147" t="s">
        <v>466</v>
      </c>
      <c r="L70" s="152" t="n">
        <v>7.5</v>
      </c>
    </row>
    <row r="71" customFormat="false" ht="12" hidden="false" customHeight="false" outlineLevel="0" collapsed="false">
      <c r="A71" s="162"/>
      <c r="B71" s="163"/>
      <c r="C71" s="147"/>
      <c r="D71" s="146"/>
      <c r="E71" s="147" t="s">
        <v>185</v>
      </c>
      <c r="F71" s="160" t="n">
        <v>10</v>
      </c>
      <c r="G71" s="149"/>
      <c r="H71" s="150"/>
      <c r="I71" s="147"/>
      <c r="J71" s="146"/>
      <c r="K71" s="147" t="s">
        <v>385</v>
      </c>
      <c r="L71" s="152" t="n">
        <v>10</v>
      </c>
    </row>
    <row r="72" customFormat="false" ht="12" hidden="false" customHeight="false" outlineLevel="0" collapsed="false">
      <c r="A72" s="162"/>
      <c r="B72" s="163"/>
      <c r="C72" s="147"/>
      <c r="D72" s="146"/>
      <c r="E72" s="147"/>
      <c r="F72" s="160"/>
      <c r="G72" s="149"/>
      <c r="H72" s="150"/>
      <c r="I72" s="147"/>
      <c r="J72" s="146"/>
      <c r="K72" s="147" t="s">
        <v>468</v>
      </c>
      <c r="L72" s="152" t="n">
        <v>8</v>
      </c>
    </row>
    <row r="73" customFormat="false" ht="12" hidden="false" customHeight="false" outlineLevel="0" collapsed="false">
      <c r="A73" s="162"/>
      <c r="B73" s="163"/>
      <c r="C73" s="147"/>
      <c r="D73" s="146"/>
      <c r="E73" s="147"/>
      <c r="F73" s="160"/>
      <c r="G73" s="149"/>
      <c r="H73" s="150"/>
      <c r="I73" s="147"/>
      <c r="J73" s="146"/>
      <c r="K73" s="147" t="s">
        <v>118</v>
      </c>
      <c r="L73" s="152" t="n">
        <v>0.335</v>
      </c>
    </row>
    <row r="74" customFormat="false" ht="12" hidden="false" customHeight="false" outlineLevel="0" collapsed="false">
      <c r="A74" s="162"/>
      <c r="B74" s="163"/>
      <c r="C74" s="147"/>
      <c r="D74" s="146"/>
      <c r="E74" s="147"/>
      <c r="F74" s="160"/>
      <c r="G74" s="149"/>
      <c r="H74" s="150"/>
      <c r="I74" s="147"/>
      <c r="J74" s="146"/>
      <c r="K74" s="147" t="s">
        <v>457</v>
      </c>
      <c r="L74" s="152" t="n">
        <v>5</v>
      </c>
    </row>
    <row r="75" customFormat="false" ht="12" hidden="false" customHeight="false" outlineLevel="0" collapsed="false">
      <c r="A75" s="162"/>
      <c r="B75" s="163"/>
      <c r="C75" s="147"/>
      <c r="D75" s="146"/>
      <c r="E75" s="147"/>
      <c r="F75" s="160"/>
      <c r="G75" s="149"/>
      <c r="H75" s="150"/>
      <c r="I75" s="147"/>
      <c r="J75" s="146"/>
      <c r="K75" s="147" t="s">
        <v>457</v>
      </c>
      <c r="L75" s="152" t="n">
        <v>5</v>
      </c>
    </row>
    <row r="76" customFormat="false" ht="12" hidden="false" customHeight="false" outlineLevel="0" collapsed="false">
      <c r="A76" s="162"/>
      <c r="B76" s="163"/>
      <c r="C76" s="147"/>
      <c r="D76" s="146"/>
      <c r="E76" s="147"/>
      <c r="F76" s="160"/>
      <c r="G76" s="149"/>
      <c r="H76" s="150"/>
      <c r="I76" s="147"/>
      <c r="J76" s="146"/>
      <c r="K76" s="147" t="s">
        <v>469</v>
      </c>
      <c r="L76" s="152" t="n">
        <v>5</v>
      </c>
    </row>
    <row r="77" customFormat="false" ht="12" hidden="false" customHeight="false" outlineLevel="0" collapsed="false">
      <c r="A77" s="162"/>
      <c r="B77" s="163"/>
      <c r="C77" s="147"/>
      <c r="D77" s="146"/>
      <c r="E77" s="147"/>
      <c r="F77" s="160"/>
      <c r="G77" s="149"/>
      <c r="H77" s="150"/>
      <c r="I77" s="147"/>
      <c r="J77" s="146"/>
      <c r="K77" s="147" t="s">
        <v>115</v>
      </c>
      <c r="L77" s="152" t="n">
        <v>10</v>
      </c>
    </row>
    <row r="78" customFormat="false" ht="12" hidden="false" customHeight="false" outlineLevel="0" collapsed="false">
      <c r="A78" s="162"/>
      <c r="B78" s="163"/>
      <c r="C78" s="147"/>
      <c r="D78" s="146"/>
      <c r="E78" s="147"/>
      <c r="F78" s="160"/>
      <c r="G78" s="149"/>
      <c r="H78" s="150"/>
      <c r="I78" s="147"/>
      <c r="J78" s="146"/>
      <c r="K78" s="147"/>
      <c r="L78" s="152"/>
    </row>
    <row r="79" customFormat="false" ht="12" hidden="false" customHeight="false" outlineLevel="0" collapsed="false">
      <c r="A79" s="162"/>
      <c r="B79" s="163"/>
      <c r="C79" s="147"/>
      <c r="D79" s="146"/>
      <c r="E79" s="147"/>
      <c r="F79" s="160"/>
      <c r="G79" s="149"/>
      <c r="H79" s="150"/>
      <c r="I79" s="147"/>
      <c r="J79" s="146"/>
      <c r="K79" s="147"/>
      <c r="L79" s="152"/>
    </row>
    <row r="80" customFormat="false" ht="12" hidden="false" customHeight="false" outlineLevel="0" collapsed="false">
      <c r="A80" s="162"/>
      <c r="B80" s="163"/>
      <c r="C80" s="164" t="s">
        <v>129</v>
      </c>
      <c r="D80" s="165"/>
      <c r="E80" s="166"/>
      <c r="F80" s="167"/>
      <c r="G80" s="149"/>
      <c r="H80" s="150"/>
      <c r="I80" s="164" t="s">
        <v>129</v>
      </c>
      <c r="J80" s="168"/>
      <c r="K80" s="169"/>
      <c r="L80" s="170"/>
    </row>
    <row r="81" customFormat="false" ht="12" hidden="false" customHeight="false" outlineLevel="0" collapsed="false">
      <c r="A81" s="162"/>
      <c r="B81" s="163"/>
      <c r="C81" s="147" t="s">
        <v>130</v>
      </c>
      <c r="D81" s="146" t="n">
        <v>18</v>
      </c>
      <c r="E81" s="147" t="s">
        <v>133</v>
      </c>
      <c r="F81" s="152" t="n">
        <v>5.833</v>
      </c>
      <c r="G81" s="171"/>
      <c r="H81" s="150"/>
      <c r="I81" s="147" t="s">
        <v>132</v>
      </c>
      <c r="J81" s="146" t="n">
        <v>8</v>
      </c>
      <c r="K81" s="147" t="s">
        <v>385</v>
      </c>
      <c r="L81" s="152" t="n">
        <v>10</v>
      </c>
    </row>
    <row r="82" customFormat="false" ht="12" hidden="false" customHeight="false" outlineLevel="0" collapsed="false">
      <c r="A82" s="162"/>
      <c r="B82" s="163"/>
      <c r="C82" s="147" t="s">
        <v>437</v>
      </c>
      <c r="D82" s="146" t="n">
        <v>5</v>
      </c>
      <c r="E82" s="147"/>
      <c r="F82" s="152"/>
      <c r="G82" s="149"/>
      <c r="H82" s="150"/>
      <c r="I82" s="147"/>
      <c r="J82" s="146"/>
      <c r="K82" s="147" t="s">
        <v>385</v>
      </c>
      <c r="L82" s="152" t="n">
        <v>10</v>
      </c>
    </row>
    <row r="83" customFormat="false" ht="12" hidden="false" customHeight="false" outlineLevel="0" collapsed="false">
      <c r="A83" s="162"/>
      <c r="B83" s="163"/>
      <c r="C83" s="147" t="s">
        <v>435</v>
      </c>
      <c r="D83" s="146" t="n">
        <v>5</v>
      </c>
      <c r="E83" s="147"/>
      <c r="F83" s="152"/>
      <c r="G83" s="149"/>
      <c r="H83" s="150"/>
      <c r="I83" s="147"/>
      <c r="J83" s="146"/>
      <c r="K83" s="147" t="s">
        <v>135</v>
      </c>
      <c r="L83" s="152" t="n">
        <v>10</v>
      </c>
    </row>
    <row r="84" customFormat="false" ht="12" hidden="false" customHeight="false" outlineLevel="0" collapsed="false">
      <c r="A84" s="162"/>
      <c r="B84" s="163"/>
      <c r="C84" s="147"/>
      <c r="D84" s="146"/>
      <c r="E84" s="147"/>
      <c r="F84" s="152"/>
      <c r="G84" s="149"/>
      <c r="H84" s="150"/>
      <c r="I84" s="147"/>
      <c r="J84" s="146"/>
      <c r="K84" s="147" t="s">
        <v>405</v>
      </c>
      <c r="L84" s="152" t="n">
        <v>1.25</v>
      </c>
    </row>
    <row r="85" customFormat="false" ht="12" hidden="false" customHeight="false" outlineLevel="0" collapsed="false">
      <c r="A85" s="162"/>
      <c r="B85" s="163"/>
      <c r="C85" s="147"/>
      <c r="D85" s="146"/>
      <c r="E85" s="147"/>
      <c r="F85" s="152"/>
      <c r="G85" s="149"/>
      <c r="H85" s="150"/>
      <c r="I85" s="147"/>
      <c r="J85" s="146"/>
      <c r="K85" s="147" t="s">
        <v>135</v>
      </c>
      <c r="L85" s="152" t="n">
        <v>8</v>
      </c>
    </row>
    <row r="86" customFormat="false" ht="12" hidden="false" customHeight="false" outlineLevel="0" collapsed="false">
      <c r="A86" s="162"/>
      <c r="B86" s="163"/>
      <c r="C86" s="147"/>
      <c r="D86" s="146"/>
      <c r="E86" s="147"/>
      <c r="F86" s="152"/>
      <c r="G86" s="149"/>
      <c r="H86" s="150"/>
      <c r="I86" s="147"/>
      <c r="J86" s="146"/>
      <c r="K86" s="147" t="s">
        <v>391</v>
      </c>
      <c r="L86" s="152" t="n">
        <v>1</v>
      </c>
    </row>
    <row r="87" customFormat="false" ht="12" hidden="false" customHeight="false" outlineLevel="0" collapsed="false">
      <c r="A87" s="162"/>
      <c r="B87" s="163"/>
      <c r="C87" s="147"/>
      <c r="D87" s="146"/>
      <c r="E87" s="147"/>
      <c r="F87" s="152"/>
      <c r="G87" s="149"/>
      <c r="H87" s="150"/>
      <c r="I87" s="147"/>
      <c r="J87" s="146"/>
      <c r="K87" s="343" t="s">
        <v>387</v>
      </c>
      <c r="L87" s="152" t="n">
        <v>10</v>
      </c>
    </row>
    <row r="88" customFormat="false" ht="12" hidden="false" customHeight="false" outlineLevel="0" collapsed="false">
      <c r="A88" s="162"/>
      <c r="B88" s="163"/>
      <c r="C88" s="147"/>
      <c r="D88" s="146"/>
      <c r="E88" s="147"/>
      <c r="F88" s="152"/>
      <c r="G88" s="149"/>
      <c r="H88" s="150"/>
      <c r="I88" s="147"/>
      <c r="J88" s="146"/>
      <c r="K88" s="147"/>
      <c r="L88" s="152"/>
    </row>
    <row r="89" customFormat="false" ht="12" hidden="false" customHeight="false" outlineLevel="0" collapsed="false">
      <c r="A89" s="162"/>
      <c r="B89" s="163"/>
      <c r="C89" s="147"/>
      <c r="D89" s="146"/>
      <c r="E89" s="147"/>
      <c r="F89" s="152"/>
      <c r="G89" s="149"/>
      <c r="H89" s="150"/>
      <c r="I89" s="147"/>
      <c r="J89" s="146"/>
      <c r="K89" s="147"/>
      <c r="L89" s="152"/>
    </row>
    <row r="90" customFormat="false" ht="12" hidden="false" customHeight="false" outlineLevel="0" collapsed="false">
      <c r="A90" s="162"/>
      <c r="B90" s="163"/>
      <c r="C90" s="147"/>
      <c r="D90" s="146"/>
      <c r="E90" s="147"/>
      <c r="F90" s="152"/>
      <c r="G90" s="149"/>
      <c r="H90" s="150"/>
      <c r="I90" s="147"/>
      <c r="J90" s="146"/>
      <c r="K90" s="147"/>
      <c r="L90" s="152"/>
    </row>
    <row r="91" customFormat="false" ht="12" hidden="false" customHeight="false" outlineLevel="0" collapsed="false">
      <c r="A91" s="173"/>
      <c r="B91" s="174"/>
      <c r="C91" s="175"/>
      <c r="D91" s="174"/>
      <c r="E91" s="176"/>
      <c r="F91" s="177"/>
      <c r="G91" s="173"/>
      <c r="H91" s="174"/>
      <c r="I91" s="175"/>
      <c r="J91" s="316"/>
      <c r="K91" s="178"/>
      <c r="L91" s="179"/>
    </row>
    <row r="92" customFormat="false" ht="12" hidden="false" customHeight="false" outlineLevel="0" collapsed="false">
      <c r="A92" s="180" t="s">
        <v>137</v>
      </c>
      <c r="B92" s="181" t="n">
        <f aca="false">SUM(B47:B91)</f>
        <v>2.867</v>
      </c>
      <c r="C92" s="182" t="s">
        <v>137</v>
      </c>
      <c r="D92" s="181" t="n">
        <f aca="false">SUM(D47:D91)</f>
        <v>54.5</v>
      </c>
      <c r="E92" s="182" t="s">
        <v>137</v>
      </c>
      <c r="F92" s="183" t="n">
        <f aca="false">SUM(F47:F91)</f>
        <v>220.282</v>
      </c>
      <c r="G92" s="180"/>
      <c r="H92" s="181"/>
      <c r="I92" s="182" t="s">
        <v>137</v>
      </c>
      <c r="J92" s="184" t="n">
        <f aca="false">SUM(J47:J91)</f>
        <v>216</v>
      </c>
      <c r="K92" s="182" t="s">
        <v>137</v>
      </c>
      <c r="L92" s="185" t="n">
        <f aca="false">SUM(L47:L91)</f>
        <v>256.495</v>
      </c>
    </row>
    <row r="93" customFormat="false" ht="12.75" hidden="false" customHeight="false" outlineLevel="0" collapsed="false">
      <c r="A93" s="186"/>
      <c r="B93" s="187"/>
      <c r="C93" s="188"/>
      <c r="D93" s="187"/>
      <c r="E93" s="189" t="s">
        <v>138</v>
      </c>
      <c r="F93" s="190" t="n">
        <f aca="false">+B92+F92+D92</f>
        <v>277.649</v>
      </c>
      <c r="G93" s="186"/>
      <c r="H93" s="187"/>
      <c r="I93" s="188"/>
      <c r="J93" s="187"/>
      <c r="K93" s="189" t="s">
        <v>138</v>
      </c>
      <c r="L93" s="190" t="n">
        <f aca="false">J92+L92</f>
        <v>472.495</v>
      </c>
    </row>
    <row r="94" customFormat="false" ht="12.75" hidden="false" customHeight="false" outlineLevel="0" collapsed="false">
      <c r="G94" s="191"/>
      <c r="H94" s="0"/>
    </row>
    <row r="95" customFormat="false" ht="12.75" hidden="false" customHeight="false" outlineLevel="0" collapsed="false">
      <c r="G95" s="1" t="s">
        <v>438</v>
      </c>
      <c r="H95" s="0"/>
    </row>
    <row r="96" customFormat="false" ht="12.75" hidden="false" customHeight="false" outlineLevel="0" collapsed="false">
      <c r="G96" s="295"/>
      <c r="H96" s="0"/>
    </row>
    <row r="97" customFormat="false" ht="12.75" hidden="true" customHeight="false" outlineLevel="0" collapsed="false">
      <c r="E97" s="0"/>
      <c r="G97" s="1" t="s">
        <v>139</v>
      </c>
      <c r="H97" s="0"/>
    </row>
    <row r="98" customFormat="false" ht="24" hidden="true" customHeight="false" outlineLevel="0" collapsed="false">
      <c r="A98" s="192" t="s">
        <v>140</v>
      </c>
      <c r="B98" s="192" t="s">
        <v>141</v>
      </c>
      <c r="C98" s="192" t="s">
        <v>142</v>
      </c>
      <c r="D98" s="192" t="s">
        <v>143</v>
      </c>
      <c r="E98" s="192" t="s">
        <v>144</v>
      </c>
      <c r="F98" s="192" t="s">
        <v>145</v>
      </c>
      <c r="G98" s="1" t="n">
        <v>1.65</v>
      </c>
      <c r="H98" s="0"/>
    </row>
    <row r="99" customFormat="false" ht="12.75" hidden="true" customHeight="false" outlineLevel="0" collapsed="false">
      <c r="A99" s="0" t="s">
        <v>146</v>
      </c>
      <c r="B99" s="0" t="s">
        <v>147</v>
      </c>
      <c r="C99" s="0" t="n">
        <v>10</v>
      </c>
      <c r="D99" s="0" t="n">
        <v>95</v>
      </c>
      <c r="E99" s="0" t="n">
        <v>0.09</v>
      </c>
      <c r="F99" s="0" t="n">
        <f aca="false">+$G$98*(E99/100)</f>
        <v>0.001485</v>
      </c>
      <c r="G99" s="0"/>
      <c r="H99" s="0"/>
      <c r="I99" s="0"/>
      <c r="J99" s="0"/>
      <c r="K99" s="0"/>
      <c r="L99" s="0"/>
      <c r="M99" s="0"/>
      <c r="N99" s="0"/>
      <c r="O99" s="0"/>
    </row>
    <row r="100" customFormat="false" ht="12.75" hidden="true" customHeight="false" outlineLevel="0" collapsed="false">
      <c r="A100" s="0"/>
      <c r="B100" s="0" t="s">
        <v>148</v>
      </c>
      <c r="C100" s="0" t="n">
        <v>42</v>
      </c>
      <c r="D100" s="0" t="n">
        <v>65</v>
      </c>
      <c r="E100" s="0" t="n">
        <v>0.27</v>
      </c>
      <c r="F100" s="0" t="n">
        <f aca="false">+$G$98*(E100/100)</f>
        <v>0.004455</v>
      </c>
      <c r="G100" s="0"/>
      <c r="H100" s="0"/>
      <c r="I100" s="0"/>
      <c r="J100" s="0"/>
      <c r="K100" s="0"/>
      <c r="L100" s="0"/>
      <c r="M100" s="0"/>
      <c r="N100" s="0"/>
      <c r="O100" s="0"/>
    </row>
    <row r="101" customFormat="false" ht="12.75" hidden="true" customHeight="false" outlineLevel="0" collapsed="false">
      <c r="A101" s="0"/>
      <c r="B101" s="0" t="s">
        <v>149</v>
      </c>
      <c r="C101" s="0" t="n">
        <v>89</v>
      </c>
      <c r="D101" s="0" t="n">
        <v>43.87</v>
      </c>
      <c r="E101" s="0" t="n">
        <v>0.39</v>
      </c>
      <c r="F101" s="0" t="n">
        <f aca="false">+$G$98*(E101/100)</f>
        <v>0.006435</v>
      </c>
      <c r="G101" s="0"/>
      <c r="H101" s="0"/>
      <c r="I101" s="0"/>
      <c r="J101" s="0"/>
      <c r="K101" s="0"/>
      <c r="L101" s="0"/>
      <c r="M101" s="0"/>
      <c r="N101" s="0"/>
      <c r="O101" s="0"/>
    </row>
    <row r="102" customFormat="false" ht="12.75" hidden="true" customHeight="false" outlineLevel="0" collapsed="false">
      <c r="A102" s="0"/>
      <c r="B102" s="0" t="s">
        <v>150</v>
      </c>
      <c r="C102" s="0" t="n">
        <v>2.44</v>
      </c>
      <c r="D102" s="0" t="n">
        <v>1.05</v>
      </c>
      <c r="E102" s="0" t="n">
        <v>0.03</v>
      </c>
      <c r="F102" s="0" t="n">
        <f aca="false">+$G$98*(E102/100)</f>
        <v>0.000495</v>
      </c>
      <c r="G102" s="0"/>
      <c r="H102" s="0"/>
      <c r="I102" s="0"/>
      <c r="J102" s="0"/>
      <c r="K102" s="0"/>
      <c r="L102" s="0"/>
      <c r="M102" s="0"/>
      <c r="N102" s="0"/>
      <c r="O102" s="0"/>
    </row>
    <row r="103" customFormat="false" ht="12.75" hidden="true" customHeight="false" outlineLevel="0" collapsed="false">
      <c r="A103" s="0"/>
      <c r="B103" s="0"/>
      <c r="C103" s="0"/>
      <c r="D103" s="0"/>
      <c r="E103" s="193" t="s">
        <v>138</v>
      </c>
      <c r="F103" s="0" t="n">
        <f aca="false">SUM(F99:F102)</f>
        <v>0.01287</v>
      </c>
      <c r="G103" s="0"/>
      <c r="H103" s="0"/>
      <c r="I103" s="0"/>
      <c r="J103" s="0"/>
      <c r="K103" s="0"/>
      <c r="L103" s="0"/>
      <c r="M103" s="0"/>
      <c r="N103" s="0"/>
      <c r="O103" s="0"/>
    </row>
    <row r="104" customFormat="false" ht="12.75" hidden="true" customHeight="false" outlineLevel="0" collapsed="false">
      <c r="A104" s="0"/>
      <c r="B104" s="0"/>
      <c r="C104" s="0"/>
      <c r="D104" s="0"/>
      <c r="E104" s="193"/>
      <c r="F104" s="0"/>
      <c r="G104" s="0"/>
      <c r="H104" s="0"/>
      <c r="I104" s="0"/>
      <c r="J104" s="0"/>
      <c r="K104" s="0"/>
      <c r="L104" s="0"/>
      <c r="M104" s="0"/>
      <c r="N104" s="0"/>
      <c r="O104" s="0"/>
    </row>
    <row r="105" customFormat="false" ht="12.75" hidden="true" customHeight="false" outlineLevel="0" collapsed="false">
      <c r="A105" s="0" t="s">
        <v>151</v>
      </c>
      <c r="B105" s="0" t="s">
        <v>152</v>
      </c>
      <c r="C105" s="194" t="n">
        <v>0.27</v>
      </c>
      <c r="D105" s="194" t="n">
        <v>96.33</v>
      </c>
      <c r="E105" s="194" t="n">
        <v>0.26</v>
      </c>
      <c r="F105" s="194" t="n">
        <f aca="false">+$G$98*(E105/100)</f>
        <v>0.00429</v>
      </c>
      <c r="G105" s="0"/>
      <c r="H105" s="0"/>
      <c r="I105" s="0"/>
      <c r="J105" s="0"/>
      <c r="K105" s="0"/>
      <c r="L105" s="0"/>
      <c r="M105" s="0"/>
      <c r="N105" s="0"/>
      <c r="O105" s="0"/>
    </row>
    <row r="106" customFormat="false" ht="12.75" hidden="true" customHeight="false" outlineLevel="0" collapsed="false">
      <c r="A106" s="0"/>
      <c r="B106" s="0" t="s">
        <v>153</v>
      </c>
      <c r="C106" s="194" t="n">
        <v>0.36</v>
      </c>
      <c r="D106" s="194" t="n">
        <v>85.77</v>
      </c>
      <c r="E106" s="194" t="n">
        <v>0.31</v>
      </c>
      <c r="F106" s="194" t="n">
        <f aca="false">+$G$98*(E106/100)</f>
        <v>0.005115</v>
      </c>
      <c r="G106" s="0"/>
      <c r="H106" s="0"/>
      <c r="I106" s="0"/>
      <c r="J106" s="0"/>
      <c r="K106" s="0"/>
      <c r="L106" s="0"/>
      <c r="M106" s="0"/>
      <c r="N106" s="0"/>
      <c r="O106" s="0"/>
    </row>
    <row r="107" customFormat="false" ht="12.75" hidden="true" customHeight="false" outlineLevel="0" collapsed="false">
      <c r="A107" s="0"/>
      <c r="B107" s="0" t="s">
        <v>154</v>
      </c>
      <c r="C107" s="194" t="n">
        <v>0.8</v>
      </c>
      <c r="D107" s="194" t="n">
        <v>9.94</v>
      </c>
      <c r="E107" s="194" t="n">
        <v>0.08</v>
      </c>
      <c r="F107" s="194" t="n">
        <f aca="false">+$G$98*(E107/100)</f>
        <v>0.00132</v>
      </c>
      <c r="G107" s="0"/>
      <c r="H107" s="0"/>
      <c r="I107" s="0"/>
      <c r="J107" s="0"/>
      <c r="K107" s="0"/>
      <c r="L107" s="0"/>
      <c r="M107" s="0"/>
      <c r="N107" s="0"/>
      <c r="O107" s="0"/>
    </row>
    <row r="108" customFormat="false" ht="12.75" hidden="true" customHeight="false" outlineLevel="0" collapsed="false">
      <c r="A108" s="0"/>
      <c r="B108" s="0" t="s">
        <v>155</v>
      </c>
      <c r="C108" s="194" t="n">
        <v>1.14</v>
      </c>
      <c r="D108" s="194" t="n">
        <v>6.21</v>
      </c>
      <c r="E108" s="194" t="n">
        <v>0.07</v>
      </c>
      <c r="F108" s="194" t="n">
        <f aca="false">+$G$98*(E108/100)</f>
        <v>0.001155</v>
      </c>
      <c r="G108" s="0"/>
      <c r="H108" s="0"/>
      <c r="I108" s="0"/>
      <c r="J108" s="0"/>
      <c r="K108" s="0"/>
      <c r="L108" s="0"/>
      <c r="M108" s="0"/>
      <c r="N108" s="0"/>
      <c r="O108" s="0"/>
    </row>
    <row r="109" customFormat="false" ht="12.75" hidden="true" customHeight="false" outlineLevel="0" collapsed="false">
      <c r="A109" s="0"/>
      <c r="B109" s="0"/>
      <c r="C109" s="194"/>
      <c r="D109" s="194"/>
      <c r="E109" s="195" t="s">
        <v>156</v>
      </c>
      <c r="F109" s="194" t="n">
        <f aca="false">SUM(F106:F108)</f>
        <v>0.00759</v>
      </c>
      <c r="G109" s="0"/>
      <c r="H109" s="0"/>
      <c r="I109" s="0"/>
      <c r="J109" s="0"/>
      <c r="K109" s="0"/>
      <c r="L109" s="0"/>
      <c r="M109" s="0"/>
      <c r="N109" s="0"/>
      <c r="O109" s="0"/>
    </row>
    <row r="110" customFormat="false" ht="12.75" hidden="true" customHeight="false" outlineLevel="0" collapsed="false">
      <c r="A110" s="0"/>
      <c r="B110" s="0"/>
      <c r="C110" s="194"/>
      <c r="D110" s="194"/>
      <c r="E110" s="195" t="s">
        <v>157</v>
      </c>
      <c r="F110" s="194" t="n">
        <f aca="false">SUM(F105:F108)</f>
        <v>0.01188</v>
      </c>
      <c r="G110" s="0"/>
      <c r="H110" s="0"/>
      <c r="I110" s="0"/>
      <c r="J110" s="0"/>
      <c r="K110" s="0"/>
      <c r="L110" s="0"/>
      <c r="M110" s="0"/>
      <c r="N110" s="0"/>
      <c r="O110" s="0"/>
    </row>
    <row r="111" customFormat="false" ht="12.75" hidden="true" customHeight="false" outlineLevel="0" collapsed="false">
      <c r="A111" s="0"/>
      <c r="B111" s="0"/>
      <c r="C111" s="194"/>
      <c r="D111" s="194"/>
      <c r="E111" s="194"/>
      <c r="F111" s="194"/>
      <c r="G111" s="0"/>
      <c r="H111" s="0"/>
      <c r="I111" s="0"/>
      <c r="J111" s="0"/>
      <c r="K111" s="0"/>
      <c r="L111" s="0"/>
      <c r="M111" s="0"/>
      <c r="N111" s="0"/>
      <c r="O111" s="0"/>
    </row>
    <row r="112" customFormat="false" ht="12.75" hidden="true" customHeight="false" outlineLevel="0" collapsed="false">
      <c r="A112" s="0" t="s">
        <v>158</v>
      </c>
      <c r="B112" s="0" t="s">
        <v>158</v>
      </c>
      <c r="C112" s="194" t="n">
        <v>0.62</v>
      </c>
      <c r="D112" s="194" t="n">
        <v>94.29</v>
      </c>
      <c r="E112" s="194" t="n">
        <v>0.58</v>
      </c>
      <c r="F112" s="194" t="n">
        <f aca="false">+$G$98*(E112/100)</f>
        <v>0.00957</v>
      </c>
      <c r="G112" s="0"/>
      <c r="H112" s="0"/>
      <c r="I112" s="0"/>
      <c r="J112" s="0"/>
      <c r="K112" s="0"/>
      <c r="L112" s="0"/>
      <c r="M112" s="0"/>
      <c r="N112" s="0"/>
      <c r="O112" s="0"/>
    </row>
    <row r="113" customFormat="false" ht="12.75" hidden="true" customHeight="false" outlineLevel="0" collapsed="false">
      <c r="A113" s="0"/>
      <c r="B113" s="0"/>
      <c r="C113" s="194"/>
      <c r="D113" s="194"/>
      <c r="E113" s="194"/>
      <c r="F113" s="194"/>
      <c r="G113" s="0"/>
      <c r="H113" s="0"/>
      <c r="I113" s="0"/>
      <c r="J113" s="0"/>
      <c r="K113" s="0"/>
      <c r="L113" s="0"/>
      <c r="M113" s="0"/>
      <c r="N113" s="0"/>
      <c r="O113" s="0"/>
    </row>
    <row r="114" customFormat="false" ht="12.75" hidden="true" customHeight="false" outlineLevel="0" collapsed="false">
      <c r="A114" s="0" t="s">
        <v>159</v>
      </c>
      <c r="B114" s="0" t="s">
        <v>160</v>
      </c>
      <c r="C114" s="194" t="n">
        <v>0.85</v>
      </c>
      <c r="D114" s="194" t="n">
        <v>100</v>
      </c>
      <c r="E114" s="194" t="n">
        <v>0.85</v>
      </c>
      <c r="F114" s="194" t="n">
        <f aca="false">+$G$98*(E114/100)</f>
        <v>0.014025</v>
      </c>
      <c r="G114" s="0"/>
      <c r="H114" s="0"/>
      <c r="I114" s="0"/>
      <c r="J114" s="0"/>
      <c r="K114" s="0"/>
      <c r="L114" s="0"/>
      <c r="M114" s="0"/>
      <c r="N114" s="0"/>
      <c r="O114" s="0"/>
    </row>
    <row r="115" customFormat="false" ht="12.75" hidden="true" customHeight="false" outlineLevel="0" collapsed="false">
      <c r="A115" s="0"/>
      <c r="B115" s="0"/>
      <c r="C115" s="194"/>
      <c r="D115" s="194"/>
      <c r="E115" s="194"/>
      <c r="F115" s="194"/>
      <c r="G115" s="0"/>
      <c r="H115" s="0"/>
      <c r="I115" s="0"/>
      <c r="J115" s="0"/>
      <c r="K115" s="0"/>
      <c r="L115" s="0"/>
      <c r="M115" s="0"/>
      <c r="N115" s="0"/>
      <c r="O115" s="0"/>
    </row>
    <row r="116" customFormat="false" ht="12.75" hidden="true" customHeight="false" outlineLevel="0" collapsed="false">
      <c r="A116" s="0" t="s">
        <v>161</v>
      </c>
      <c r="B116" s="0" t="s">
        <v>162</v>
      </c>
      <c r="C116" s="194" t="s">
        <v>163</v>
      </c>
      <c r="D116" s="194"/>
      <c r="E116" s="194" t="n">
        <v>0.3546</v>
      </c>
      <c r="F116" s="194" t="n">
        <f aca="false">+$G$98*(E116/100)</f>
        <v>0.0058509</v>
      </c>
      <c r="G116" s="0"/>
      <c r="H116" s="0"/>
      <c r="I116" s="0"/>
      <c r="J116" s="0"/>
      <c r="K116" s="0"/>
      <c r="L116" s="0"/>
      <c r="M116" s="0"/>
      <c r="N116" s="0"/>
      <c r="O116" s="0"/>
    </row>
    <row r="117" customFormat="false" ht="12.75" hidden="true" customHeight="false" outlineLevel="0" collapsed="false">
      <c r="A117" s="0"/>
      <c r="B117" s="0" t="s">
        <v>164</v>
      </c>
      <c r="C117" s="194" t="s">
        <v>165</v>
      </c>
      <c r="D117" s="194"/>
      <c r="E117" s="194" t="n">
        <v>0.557</v>
      </c>
      <c r="F117" s="194" t="n">
        <f aca="false">+$G$98*(E117/100)</f>
        <v>0.0091905</v>
      </c>
      <c r="G117" s="0"/>
      <c r="H117" s="0"/>
      <c r="I117" s="0"/>
    </row>
    <row r="118" customFormat="false" ht="12.75" hidden="true" customHeight="false" outlineLevel="0" collapsed="false">
      <c r="A118" s="0"/>
      <c r="B118" s="0" t="s">
        <v>166</v>
      </c>
      <c r="C118" s="194" t="s">
        <v>167</v>
      </c>
      <c r="D118" s="194"/>
      <c r="E118" s="194" t="n">
        <v>0.628</v>
      </c>
      <c r="F118" s="194" t="n">
        <f aca="false">+$G$98*(E118/100)</f>
        <v>0.010362</v>
      </c>
      <c r="G118" s="0"/>
      <c r="H118" s="0"/>
      <c r="I118" s="0"/>
    </row>
    <row r="119" customFormat="false" ht="12.75" hidden="true" customHeight="false" outlineLevel="0" collapsed="false">
      <c r="A119" s="0"/>
      <c r="B119" s="0"/>
      <c r="C119" s="194"/>
      <c r="D119" s="194"/>
      <c r="E119" s="194"/>
      <c r="F119" s="194"/>
      <c r="G119" s="0"/>
      <c r="H119" s="0"/>
      <c r="I119" s="0"/>
    </row>
    <row r="120" customFormat="false" ht="12.75" hidden="true" customHeight="false" outlineLevel="0" collapsed="false">
      <c r="A120" s="0" t="s">
        <v>168</v>
      </c>
      <c r="B120" s="0" t="s">
        <v>169</v>
      </c>
      <c r="C120" s="194" t="s">
        <v>170</v>
      </c>
      <c r="D120" s="194"/>
      <c r="E120" s="194" t="n">
        <v>0.309</v>
      </c>
      <c r="F120" s="194" t="n">
        <f aca="false">+$G$98*(E120/100)</f>
        <v>0.0050985</v>
      </c>
      <c r="G120" s="0"/>
      <c r="H120" s="0"/>
      <c r="I120" s="0"/>
    </row>
    <row r="121" customFormat="false" ht="12.75" hidden="true" customHeight="false" outlineLevel="0" collapsed="false">
      <c r="A121" s="0"/>
      <c r="B121" s="0"/>
      <c r="C121" s="194"/>
      <c r="D121" s="194"/>
      <c r="E121" s="194"/>
      <c r="F121" s="194"/>
      <c r="G121" s="0"/>
      <c r="H121" s="0"/>
      <c r="I121" s="0"/>
    </row>
    <row r="122" customFormat="false" ht="12.75" hidden="true" customHeight="false" outlineLevel="0" collapsed="false">
      <c r="A122" s="0" t="s">
        <v>171</v>
      </c>
      <c r="B122" s="0" t="s">
        <v>172</v>
      </c>
      <c r="C122" s="194" t="s">
        <v>173</v>
      </c>
      <c r="D122" s="194"/>
      <c r="E122" s="194" t="n">
        <v>0.3748</v>
      </c>
      <c r="F122" s="194" t="n">
        <f aca="false">+$G$98*(E122/100)</f>
        <v>0.0061842</v>
      </c>
      <c r="G122" s="0"/>
      <c r="H122" s="0"/>
      <c r="I122" s="0"/>
    </row>
    <row r="123" customFormat="false" ht="12.75" hidden="true" customHeight="false" outlineLevel="0" collapsed="false">
      <c r="A123" s="0"/>
      <c r="B123" s="0"/>
      <c r="C123" s="0"/>
      <c r="D123" s="0"/>
      <c r="E123" s="0"/>
      <c r="F123" s="0"/>
      <c r="G123" s="0"/>
      <c r="H123" s="0"/>
      <c r="I123" s="0"/>
    </row>
    <row r="124" customFormat="false" ht="12.75" hidden="false" customHeight="false" outlineLevel="0" collapsed="false">
      <c r="B124" s="0"/>
      <c r="C124" s="0"/>
      <c r="D124" s="0"/>
      <c r="E124" s="0"/>
      <c r="F124" s="0"/>
      <c r="G124" s="0"/>
      <c r="H124" s="0"/>
      <c r="I124" s="0"/>
    </row>
    <row r="125" customFormat="false" ht="12.75" hidden="false" customHeight="false" outlineLevel="0" collapsed="false">
      <c r="A125" s="0"/>
      <c r="B125" s="0"/>
      <c r="C125" s="0"/>
      <c r="D125" s="0"/>
      <c r="E125" s="0"/>
      <c r="F125" s="0"/>
      <c r="G125" s="0"/>
      <c r="H125" s="0"/>
      <c r="I125" s="0"/>
    </row>
    <row r="126" customFormat="false" ht="12.75" hidden="false" customHeight="false" outlineLevel="0" collapsed="false">
      <c r="A126" s="0"/>
      <c r="B126" s="0"/>
      <c r="C126" s="0"/>
      <c r="D126" s="0"/>
      <c r="E126" s="0"/>
      <c r="F126" s="0"/>
      <c r="G126" s="0"/>
      <c r="H126" s="0"/>
      <c r="I126" s="0"/>
    </row>
    <row r="127" customFormat="false" ht="12.75" hidden="false" customHeight="false" outlineLevel="0" collapsed="false">
      <c r="A127" s="0"/>
      <c r="B127" s="0"/>
      <c r="C127" s="0"/>
      <c r="D127" s="0"/>
      <c r="E127" s="0"/>
      <c r="F127" s="0"/>
      <c r="G127" s="0"/>
      <c r="H127" s="0"/>
      <c r="I127" s="0"/>
      <c r="N127" s="1" t="s">
        <v>439</v>
      </c>
    </row>
    <row r="128" customFormat="false" ht="12.75" hidden="false" customHeight="false" outlineLevel="0" collapsed="false">
      <c r="A128" s="196" t="s">
        <v>174</v>
      </c>
      <c r="B128" s="196"/>
      <c r="C128" s="196"/>
      <c r="D128" s="0"/>
      <c r="E128" s="197"/>
      <c r="F128" s="0"/>
      <c r="G128" s="198"/>
      <c r="H128" s="0"/>
      <c r="I128" s="296" t="s">
        <v>61</v>
      </c>
      <c r="J128" s="297"/>
      <c r="K128" s="298"/>
      <c r="N128" s="1" t="s">
        <v>176</v>
      </c>
    </row>
    <row r="129" customFormat="false" ht="12.75" hidden="false" customHeight="false" outlineLevel="0" collapsed="false">
      <c r="A129" s="199" t="s">
        <v>177</v>
      </c>
      <c r="B129" s="200" t="s">
        <v>178</v>
      </c>
      <c r="C129" s="335" t="n">
        <v>0.63</v>
      </c>
      <c r="D129" s="78"/>
      <c r="E129" s="200"/>
      <c r="F129" s="79"/>
      <c r="G129" s="199"/>
      <c r="H129" s="79"/>
      <c r="I129" s="199" t="s">
        <v>179</v>
      </c>
      <c r="J129" s="78"/>
      <c r="K129" s="202" t="n">
        <v>0</v>
      </c>
      <c r="L129" s="78"/>
      <c r="N129" s="1" t="s">
        <v>180</v>
      </c>
      <c r="O129" s="1" t="n">
        <v>1024</v>
      </c>
    </row>
    <row r="130" customFormat="false" ht="12.75" hidden="false" customHeight="false" outlineLevel="0" collapsed="false">
      <c r="A130" s="78"/>
      <c r="B130" s="200" t="s">
        <v>181</v>
      </c>
      <c r="C130" s="335" t="n">
        <v>0.001</v>
      </c>
      <c r="D130" s="78"/>
      <c r="E130" s="79"/>
      <c r="F130" s="79"/>
      <c r="G130" s="199"/>
      <c r="H130" s="79"/>
      <c r="I130" s="199" t="s">
        <v>182</v>
      </c>
      <c r="J130" s="78" t="n">
        <v>6688</v>
      </c>
      <c r="K130" s="204" t="n">
        <v>13</v>
      </c>
      <c r="L130" s="78"/>
      <c r="N130" s="1" t="s">
        <v>135</v>
      </c>
      <c r="O130" s="1" t="n">
        <v>1500</v>
      </c>
    </row>
    <row r="131" customFormat="false" ht="12.75" hidden="false" customHeight="false" outlineLevel="0" collapsed="false">
      <c r="A131" s="78"/>
      <c r="B131" s="200" t="s">
        <v>183</v>
      </c>
      <c r="C131" s="335" t="n">
        <v>0.5</v>
      </c>
      <c r="D131" s="78"/>
      <c r="E131" s="79"/>
      <c r="F131" s="79"/>
      <c r="G131" s="199"/>
      <c r="H131" s="79" t="s">
        <v>470</v>
      </c>
      <c r="I131" s="199" t="s">
        <v>87</v>
      </c>
      <c r="J131" s="78" t="n">
        <v>6888</v>
      </c>
      <c r="K131" s="212" t="n">
        <f aca="false">5455+6000-6000</f>
        <v>5455</v>
      </c>
      <c r="L131" s="78"/>
      <c r="N131" s="1" t="s">
        <v>184</v>
      </c>
      <c r="O131" s="1" t="n">
        <v>219</v>
      </c>
    </row>
    <row r="132" customFormat="false" ht="12.75" hidden="false" customHeight="false" outlineLevel="0" collapsed="false">
      <c r="A132" s="78"/>
      <c r="B132" s="200" t="s">
        <v>185</v>
      </c>
      <c r="C132" s="200" t="n">
        <v>10</v>
      </c>
      <c r="D132" s="78" t="n">
        <v>2</v>
      </c>
      <c r="E132" s="79"/>
      <c r="F132" s="79"/>
      <c r="G132" s="199"/>
      <c r="H132" s="79"/>
      <c r="I132" s="199" t="s">
        <v>189</v>
      </c>
      <c r="J132" s="78" t="n">
        <v>900338</v>
      </c>
      <c r="K132" s="204" t="n">
        <v>690</v>
      </c>
      <c r="L132" s="78"/>
      <c r="N132" s="1" t="s">
        <v>186</v>
      </c>
      <c r="O132" s="1" t="n">
        <v>1000</v>
      </c>
    </row>
    <row r="133" customFormat="false" ht="12.75" hidden="false" customHeight="false" outlineLevel="0" collapsed="false">
      <c r="A133" s="199" t="s">
        <v>187</v>
      </c>
      <c r="B133" s="200" t="s">
        <v>188</v>
      </c>
      <c r="C133" s="200" t="n">
        <v>3.6</v>
      </c>
      <c r="D133" s="78"/>
      <c r="E133" s="79"/>
      <c r="F133" s="79"/>
      <c r="G133" s="199"/>
      <c r="H133" s="79"/>
      <c r="I133" s="199" t="s">
        <v>195</v>
      </c>
      <c r="J133" s="78"/>
      <c r="K133" s="204" t="n">
        <v>0</v>
      </c>
      <c r="L133" s="78"/>
      <c r="N133" s="1" t="s">
        <v>190</v>
      </c>
      <c r="O133" s="1" t="n">
        <v>90</v>
      </c>
    </row>
    <row r="134" customFormat="false" ht="12.75" hidden="false" customHeight="false" outlineLevel="0" collapsed="false">
      <c r="A134" s="199"/>
      <c r="B134" s="200"/>
      <c r="C134" s="200"/>
      <c r="D134" s="78"/>
      <c r="E134" s="79"/>
      <c r="F134" s="79"/>
      <c r="G134" s="199"/>
      <c r="H134" s="79"/>
      <c r="I134" s="199" t="s">
        <v>198</v>
      </c>
      <c r="J134" s="78" t="n">
        <v>5333</v>
      </c>
      <c r="K134" s="204" t="n">
        <v>250</v>
      </c>
      <c r="L134" s="78" t="s">
        <v>199</v>
      </c>
    </row>
    <row r="135" customFormat="false" ht="12.75" hidden="false" customHeight="false" outlineLevel="0" collapsed="false">
      <c r="A135" s="78"/>
      <c r="B135" s="200"/>
      <c r="C135" s="199"/>
      <c r="D135" s="78"/>
      <c r="E135" s="79"/>
      <c r="F135" s="79"/>
      <c r="G135" s="199"/>
      <c r="H135" s="79"/>
      <c r="I135" s="202" t="s">
        <v>207</v>
      </c>
      <c r="J135" s="78" t="n">
        <v>6373</v>
      </c>
      <c r="K135" s="204" t="n">
        <v>0</v>
      </c>
      <c r="L135" s="78"/>
      <c r="N135" s="1" t="s">
        <v>123</v>
      </c>
    </row>
    <row r="136" customFormat="false" ht="12.75" hidden="false" customHeight="false" outlineLevel="0" collapsed="false">
      <c r="A136" s="78"/>
      <c r="B136" s="200"/>
      <c r="C136" s="200"/>
      <c r="D136" s="78"/>
      <c r="E136" s="79"/>
      <c r="F136" s="79"/>
      <c r="G136" s="199"/>
      <c r="H136" s="79"/>
      <c r="I136" s="202" t="s">
        <v>201</v>
      </c>
      <c r="J136" s="78" t="n">
        <v>4286</v>
      </c>
      <c r="K136" s="204" t="n">
        <v>39</v>
      </c>
      <c r="L136" s="78"/>
    </row>
    <row r="137" customFormat="false" ht="12.75" hidden="false" customHeight="false" outlineLevel="0" collapsed="false">
      <c r="A137" s="199" t="s">
        <v>196</v>
      </c>
      <c r="B137" s="200" t="s">
        <v>197</v>
      </c>
      <c r="C137" s="200" t="n">
        <v>0.8</v>
      </c>
      <c r="D137" s="79"/>
      <c r="E137" s="79"/>
      <c r="F137" s="79"/>
      <c r="G137" s="199"/>
      <c r="H137" s="79" t="s">
        <v>470</v>
      </c>
      <c r="I137" s="202" t="s">
        <v>411</v>
      </c>
      <c r="J137" s="78" t="n">
        <v>6480</v>
      </c>
      <c r="K137" s="330" t="n">
        <v>49</v>
      </c>
      <c r="L137" s="206"/>
    </row>
    <row r="138" customFormat="false" ht="12.75" hidden="false" customHeight="false" outlineLevel="0" collapsed="false">
      <c r="A138" s="79"/>
      <c r="B138" s="200" t="s">
        <v>9</v>
      </c>
      <c r="C138" s="200" t="n">
        <v>3</v>
      </c>
      <c r="D138" s="79"/>
      <c r="E138" s="79"/>
      <c r="F138" s="79"/>
      <c r="G138" s="199"/>
      <c r="H138" s="199"/>
      <c r="I138" s="202" t="s">
        <v>205</v>
      </c>
      <c r="J138" s="78" t="n">
        <v>6551</v>
      </c>
      <c r="K138" s="204" t="n">
        <v>0</v>
      </c>
      <c r="L138" s="78" t="s">
        <v>471</v>
      </c>
    </row>
    <row r="139" customFormat="false" ht="12.75" hidden="false" customHeight="false" outlineLevel="0" collapsed="false">
      <c r="A139" s="79"/>
      <c r="B139" s="200" t="s">
        <v>11</v>
      </c>
      <c r="C139" s="199" t="n">
        <v>0</v>
      </c>
      <c r="D139" s="79" t="s">
        <v>82</v>
      </c>
      <c r="E139" s="79"/>
      <c r="F139" s="79"/>
      <c r="G139" s="199"/>
      <c r="H139" s="79"/>
      <c r="I139" s="202" t="s">
        <v>200</v>
      </c>
      <c r="J139" s="78" t="n">
        <v>6835</v>
      </c>
      <c r="K139" s="204" t="n">
        <v>0</v>
      </c>
      <c r="L139" s="78" t="s">
        <v>471</v>
      </c>
    </row>
    <row r="140" customFormat="false" ht="12.75" hidden="false" customHeight="false" outlineLevel="0" collapsed="false">
      <c r="A140" s="79"/>
      <c r="B140" s="200" t="s">
        <v>204</v>
      </c>
      <c r="C140" s="200" t="n">
        <v>0.025</v>
      </c>
      <c r="D140" s="79"/>
      <c r="E140" s="79"/>
      <c r="F140" s="79"/>
      <c r="G140" s="199"/>
      <c r="H140" s="79"/>
      <c r="I140" s="202" t="s">
        <v>202</v>
      </c>
      <c r="J140" s="78" t="n">
        <v>9676</v>
      </c>
      <c r="K140" s="204" t="n">
        <v>0</v>
      </c>
      <c r="L140" s="206"/>
    </row>
    <row r="141" customFormat="false" ht="12.75" hidden="false" customHeight="false" outlineLevel="0" collapsed="false">
      <c r="A141" s="79"/>
      <c r="B141" s="200" t="s">
        <v>206</v>
      </c>
      <c r="C141" s="199" t="n">
        <v>0</v>
      </c>
      <c r="D141" s="79"/>
      <c r="E141" s="79"/>
      <c r="F141" s="79"/>
      <c r="G141" s="199"/>
      <c r="H141" s="79" t="s">
        <v>470</v>
      </c>
      <c r="I141" s="202" t="s">
        <v>412</v>
      </c>
      <c r="J141" s="78" t="n">
        <v>4056</v>
      </c>
      <c r="K141" s="330" t="n">
        <v>820</v>
      </c>
      <c r="L141" s="78"/>
    </row>
    <row r="142" customFormat="false" ht="12.75" hidden="false" customHeight="false" outlineLevel="0" collapsed="false">
      <c r="A142" s="79"/>
      <c r="B142" s="200" t="s">
        <v>208</v>
      </c>
      <c r="C142" s="200" t="n">
        <v>8</v>
      </c>
      <c r="D142" s="79"/>
      <c r="E142" s="79"/>
      <c r="F142" s="79"/>
      <c r="G142" s="199"/>
      <c r="H142" s="79" t="s">
        <v>470</v>
      </c>
      <c r="I142" s="202" t="s">
        <v>412</v>
      </c>
      <c r="J142" s="78" t="n">
        <v>6855</v>
      </c>
      <c r="K142" s="330" t="n">
        <v>227</v>
      </c>
      <c r="L142" s="78"/>
    </row>
    <row r="143" customFormat="false" ht="12.75" hidden="false" customHeight="false" outlineLevel="0" collapsed="false">
      <c r="A143" s="79"/>
      <c r="B143" s="200"/>
      <c r="C143" s="200"/>
      <c r="D143" s="79"/>
      <c r="E143" s="79"/>
      <c r="F143" s="79"/>
      <c r="G143" s="199"/>
      <c r="H143" s="79"/>
      <c r="I143" s="202" t="s">
        <v>209</v>
      </c>
      <c r="J143" s="78" t="n">
        <v>4132</v>
      </c>
      <c r="K143" s="204" t="n">
        <v>176</v>
      </c>
      <c r="L143" s="78"/>
    </row>
    <row r="144" customFormat="false" ht="12.75" hidden="false" customHeight="false" outlineLevel="0" collapsed="false">
      <c r="A144" s="79"/>
      <c r="B144" s="200" t="s">
        <v>211</v>
      </c>
      <c r="C144" s="344" t="n">
        <v>20</v>
      </c>
      <c r="D144" s="79"/>
      <c r="E144" s="79"/>
      <c r="F144" s="79"/>
      <c r="G144" s="199"/>
      <c r="H144" s="79"/>
      <c r="I144" s="202" t="s">
        <v>210</v>
      </c>
      <c r="J144" s="78" t="n">
        <v>4120</v>
      </c>
      <c r="K144" s="204" t="n">
        <v>821</v>
      </c>
      <c r="L144" s="78"/>
    </row>
    <row r="145" customFormat="false" ht="12.75" hidden="false" customHeight="false" outlineLevel="0" collapsed="false">
      <c r="A145" s="79"/>
      <c r="B145" s="200" t="s">
        <v>213</v>
      </c>
      <c r="C145" s="200" t="n">
        <v>3.85</v>
      </c>
      <c r="D145" s="79"/>
      <c r="E145" s="79"/>
      <c r="F145" s="79"/>
      <c r="G145" s="199"/>
      <c r="H145" s="78"/>
      <c r="I145" s="202" t="s">
        <v>99</v>
      </c>
      <c r="J145" s="78" t="n">
        <v>639</v>
      </c>
      <c r="K145" s="204" t="n">
        <v>485</v>
      </c>
      <c r="L145" s="78"/>
    </row>
    <row r="146" customFormat="false" ht="12.75" hidden="false" customHeight="false" outlineLevel="0" collapsed="false">
      <c r="A146" s="79"/>
      <c r="B146" s="200" t="s">
        <v>15</v>
      </c>
      <c r="C146" s="200" t="n">
        <v>0</v>
      </c>
      <c r="D146" s="79"/>
      <c r="E146" s="79"/>
      <c r="F146" s="79"/>
      <c r="G146" s="199"/>
      <c r="H146" s="78"/>
      <c r="I146" s="345" t="s">
        <v>212</v>
      </c>
      <c r="J146" s="346" t="n">
        <v>6840</v>
      </c>
      <c r="K146" s="212" t="n">
        <v>0</v>
      </c>
      <c r="L146" s="346"/>
    </row>
    <row r="147" customFormat="false" ht="12.75" hidden="false" customHeight="false" outlineLevel="0" collapsed="false">
      <c r="A147" s="79"/>
      <c r="B147" s="200" t="s">
        <v>216</v>
      </c>
      <c r="C147" s="200" t="n">
        <v>0.025</v>
      </c>
      <c r="D147" s="79"/>
      <c r="E147" s="79"/>
      <c r="F147" s="79"/>
      <c r="G147" s="199"/>
      <c r="H147" s="78"/>
      <c r="I147" s="202" t="s">
        <v>215</v>
      </c>
      <c r="J147" s="78" t="n">
        <v>6519</v>
      </c>
      <c r="K147" s="204" t="n">
        <v>1</v>
      </c>
      <c r="L147" s="78"/>
    </row>
    <row r="148" customFormat="false" ht="12.75" hidden="false" customHeight="false" outlineLevel="0" collapsed="false">
      <c r="A148" s="79"/>
      <c r="B148" s="200" t="s">
        <v>97</v>
      </c>
      <c r="C148" s="200" t="n">
        <v>4</v>
      </c>
      <c r="D148" s="79"/>
      <c r="E148" s="79"/>
      <c r="F148" s="79"/>
      <c r="G148" s="199"/>
      <c r="H148" s="78"/>
      <c r="I148" s="202" t="s">
        <v>217</v>
      </c>
      <c r="J148" s="78" t="n">
        <v>5502</v>
      </c>
      <c r="K148" s="204" t="n">
        <v>37</v>
      </c>
      <c r="L148" s="78"/>
    </row>
    <row r="149" customFormat="false" ht="12.75" hidden="false" customHeight="false" outlineLevel="0" collapsed="false">
      <c r="A149" s="79"/>
      <c r="B149" s="200" t="s">
        <v>218</v>
      </c>
      <c r="C149" s="200" t="n">
        <v>0.05</v>
      </c>
      <c r="D149" s="79"/>
      <c r="E149" s="79"/>
      <c r="F149" s="79"/>
      <c r="G149" s="199"/>
      <c r="H149" s="78"/>
      <c r="I149" s="202" t="s">
        <v>219</v>
      </c>
      <c r="J149" s="78" t="n">
        <v>6789</v>
      </c>
      <c r="K149" s="204" t="n">
        <v>0</v>
      </c>
      <c r="L149" s="78" t="s">
        <v>471</v>
      </c>
    </row>
    <row r="150" customFormat="false" ht="12.75" hidden="false" customHeight="false" outlineLevel="0" collapsed="false">
      <c r="A150" s="79"/>
      <c r="B150" s="200" t="s">
        <v>220</v>
      </c>
      <c r="C150" s="200" t="s">
        <v>472</v>
      </c>
      <c r="D150" s="79" t="s">
        <v>473</v>
      </c>
      <c r="E150" s="79"/>
      <c r="F150" s="79"/>
      <c r="G150" s="199"/>
      <c r="H150" s="78"/>
      <c r="I150" s="202" t="s">
        <v>221</v>
      </c>
      <c r="J150" s="78" t="n">
        <v>6545</v>
      </c>
      <c r="K150" s="204" t="n">
        <v>0</v>
      </c>
      <c r="L150" s="78" t="s">
        <v>471</v>
      </c>
    </row>
    <row r="151" customFormat="false" ht="12.75" hidden="false" customHeight="false" outlineLevel="0" collapsed="false">
      <c r="A151" s="79"/>
      <c r="B151" s="200" t="s">
        <v>222</v>
      </c>
      <c r="C151" s="200" t="n">
        <v>0.483</v>
      </c>
      <c r="D151" s="78"/>
      <c r="E151" s="79"/>
      <c r="F151" s="79"/>
      <c r="G151" s="199"/>
      <c r="H151" s="78"/>
      <c r="I151" s="202" t="s">
        <v>221</v>
      </c>
      <c r="J151" s="78" t="n">
        <v>275</v>
      </c>
      <c r="K151" s="204" t="n">
        <v>74</v>
      </c>
      <c r="L151" s="78"/>
    </row>
    <row r="152" customFormat="false" ht="12.75" hidden="false" customHeight="false" outlineLevel="0" collapsed="false">
      <c r="A152" s="79"/>
      <c r="B152" s="200"/>
      <c r="C152" s="200"/>
      <c r="D152" s="78"/>
      <c r="E152" s="79"/>
      <c r="F152" s="79"/>
      <c r="G152" s="199"/>
      <c r="H152" s="78"/>
      <c r="I152" s="202" t="s">
        <v>223</v>
      </c>
      <c r="J152" s="78" t="n">
        <v>9812</v>
      </c>
      <c r="K152" s="204" t="n">
        <v>0</v>
      </c>
      <c r="L152" s="78" t="s">
        <v>471</v>
      </c>
    </row>
    <row r="153" customFormat="false" ht="12.75" hidden="false" customHeight="false" outlineLevel="0" collapsed="false">
      <c r="A153" s="78"/>
      <c r="B153" s="200" t="s">
        <v>225</v>
      </c>
      <c r="C153" s="200" t="n">
        <v>5</v>
      </c>
      <c r="D153" s="78"/>
      <c r="E153" s="79"/>
      <c r="F153" s="79"/>
      <c r="G153" s="199"/>
      <c r="H153" s="78"/>
      <c r="I153" s="202" t="s">
        <v>226</v>
      </c>
      <c r="J153" s="78" t="n">
        <v>6387</v>
      </c>
      <c r="K153" s="204" t="n">
        <v>400</v>
      </c>
      <c r="L153" s="78"/>
    </row>
    <row r="154" customFormat="false" ht="12.75" hidden="false" customHeight="false" outlineLevel="0" collapsed="false">
      <c r="A154" s="78"/>
      <c r="B154" s="200" t="s">
        <v>227</v>
      </c>
      <c r="C154" s="199" t="n">
        <v>0</v>
      </c>
      <c r="D154" s="78"/>
      <c r="E154" s="79"/>
      <c r="F154" s="79"/>
      <c r="G154" s="199"/>
      <c r="H154" s="78"/>
      <c r="I154" s="345" t="s">
        <v>226</v>
      </c>
      <c r="J154" s="346" t="n">
        <v>6347</v>
      </c>
      <c r="K154" s="212" t="n">
        <v>0</v>
      </c>
      <c r="L154" s="78"/>
    </row>
    <row r="155" customFormat="false" ht="12.75" hidden="false" customHeight="false" outlineLevel="0" collapsed="false">
      <c r="A155" s="78"/>
      <c r="B155" s="200" t="s">
        <v>228</v>
      </c>
      <c r="C155" s="200" t="n">
        <v>10</v>
      </c>
      <c r="D155" s="78"/>
      <c r="E155" s="79"/>
      <c r="F155" s="79"/>
      <c r="G155" s="199"/>
      <c r="H155" s="78"/>
      <c r="I155" s="202" t="s">
        <v>226</v>
      </c>
      <c r="J155" s="78" t="n">
        <v>5892</v>
      </c>
      <c r="K155" s="204" t="n">
        <v>28</v>
      </c>
      <c r="L155" s="78"/>
    </row>
    <row r="156" customFormat="false" ht="12.75" hidden="false" customHeight="false" outlineLevel="0" collapsed="false">
      <c r="A156" s="78"/>
      <c r="B156" s="200" t="s">
        <v>229</v>
      </c>
      <c r="C156" s="200" t="n">
        <v>0.1</v>
      </c>
      <c r="D156" s="78"/>
      <c r="E156" s="79"/>
      <c r="F156" s="79"/>
      <c r="G156" s="199"/>
      <c r="H156" s="78"/>
      <c r="I156" s="202" t="s">
        <v>226</v>
      </c>
      <c r="J156" s="78" t="n">
        <v>6757</v>
      </c>
      <c r="K156" s="204" t="n">
        <v>21</v>
      </c>
      <c r="L156" s="78"/>
    </row>
    <row r="157" customFormat="false" ht="12.75" hidden="false" customHeight="false" outlineLevel="0" collapsed="false">
      <c r="A157" s="78"/>
      <c r="B157" s="332" t="s">
        <v>58</v>
      </c>
      <c r="C157" s="200" t="n">
        <v>2</v>
      </c>
      <c r="D157" s="78"/>
      <c r="E157" s="79"/>
      <c r="F157" s="79"/>
      <c r="G157" s="199"/>
      <c r="H157" s="78"/>
      <c r="I157" s="202" t="s">
        <v>231</v>
      </c>
      <c r="J157" s="78" t="n">
        <v>6598</v>
      </c>
      <c r="K157" s="204" t="n">
        <v>204</v>
      </c>
      <c r="L157" s="78"/>
    </row>
    <row r="158" customFormat="false" ht="12.75" hidden="false" customHeight="false" outlineLevel="0" collapsed="false">
      <c r="A158" s="78"/>
      <c r="B158" s="200" t="s">
        <v>232</v>
      </c>
      <c r="C158" s="200" t="n">
        <v>0.02</v>
      </c>
      <c r="D158" s="78"/>
      <c r="E158" s="79"/>
      <c r="F158" s="79"/>
      <c r="G158" s="199"/>
      <c r="H158" s="79" t="s">
        <v>470</v>
      </c>
      <c r="I158" s="202" t="s">
        <v>233</v>
      </c>
      <c r="J158" s="78" t="n">
        <v>6392</v>
      </c>
      <c r="K158" s="330" t="n">
        <v>86</v>
      </c>
      <c r="L158" s="78"/>
    </row>
    <row r="159" customFormat="false" ht="12.75" hidden="false" customHeight="false" outlineLevel="0" collapsed="false">
      <c r="A159" s="78"/>
      <c r="B159" s="200"/>
      <c r="C159" s="199"/>
      <c r="D159" s="78"/>
      <c r="E159" s="79"/>
      <c r="F159" s="79"/>
      <c r="G159" s="199"/>
      <c r="H159" s="79" t="s">
        <v>470</v>
      </c>
      <c r="I159" s="199" t="s">
        <v>410</v>
      </c>
      <c r="J159" s="78" t="n">
        <v>3405</v>
      </c>
      <c r="K159" s="212" t="n">
        <v>2429</v>
      </c>
      <c r="L159" s="78"/>
    </row>
    <row r="160" customFormat="false" ht="12.75" hidden="false" customHeight="false" outlineLevel="0" collapsed="false">
      <c r="A160" s="78"/>
      <c r="B160" s="200" t="s">
        <v>235</v>
      </c>
      <c r="C160" s="200" t="n">
        <v>0.556</v>
      </c>
      <c r="D160" s="78"/>
      <c r="E160" s="79"/>
      <c r="F160" s="79"/>
      <c r="G160" s="199"/>
      <c r="H160" s="78"/>
      <c r="I160" s="202" t="s">
        <v>234</v>
      </c>
      <c r="J160" s="78" t="n">
        <v>440</v>
      </c>
      <c r="K160" s="204" t="n">
        <v>444</v>
      </c>
      <c r="L160" s="78"/>
    </row>
    <row r="161" customFormat="false" ht="12.75" hidden="false" customHeight="false" outlineLevel="0" collapsed="false">
      <c r="A161" s="78"/>
      <c r="B161" s="200" t="s">
        <v>53</v>
      </c>
      <c r="C161" s="200" t="n">
        <v>9</v>
      </c>
      <c r="D161" s="78"/>
      <c r="E161" s="79"/>
      <c r="F161" s="79"/>
      <c r="G161" s="199"/>
      <c r="H161" s="79" t="s">
        <v>470</v>
      </c>
      <c r="I161" s="202" t="s">
        <v>135</v>
      </c>
      <c r="J161" s="78" t="n">
        <v>6173</v>
      </c>
      <c r="K161" s="330" t="n">
        <v>550</v>
      </c>
      <c r="L161" s="78"/>
    </row>
    <row r="162" customFormat="false" ht="12.75" hidden="false" customHeight="false" outlineLevel="0" collapsed="false">
      <c r="A162" s="78"/>
      <c r="B162" s="200" t="s">
        <v>237</v>
      </c>
      <c r="C162" s="200" t="n">
        <v>2.1</v>
      </c>
      <c r="D162" s="78"/>
      <c r="E162" s="79"/>
      <c r="F162" s="79"/>
      <c r="G162" s="199"/>
      <c r="H162" s="78"/>
      <c r="I162" s="202" t="s">
        <v>236</v>
      </c>
      <c r="J162" s="78"/>
      <c r="K162" s="202" t="n">
        <v>0</v>
      </c>
      <c r="L162" s="78"/>
    </row>
    <row r="163" customFormat="false" ht="12.75" hidden="false" customHeight="false" outlineLevel="0" collapsed="false">
      <c r="A163" s="78"/>
      <c r="B163" s="200" t="s">
        <v>21</v>
      </c>
      <c r="C163" s="200" t="n">
        <v>34</v>
      </c>
      <c r="D163" s="78"/>
      <c r="E163" s="79"/>
      <c r="F163" s="79"/>
      <c r="G163" s="199"/>
      <c r="H163" s="78"/>
      <c r="I163" s="202" t="s">
        <v>238</v>
      </c>
      <c r="J163" s="78" t="n">
        <v>4132</v>
      </c>
      <c r="K163" s="204" t="n">
        <v>7500</v>
      </c>
      <c r="L163" s="78"/>
    </row>
    <row r="164" customFormat="false" ht="12.75" hidden="false" customHeight="false" outlineLevel="0" collapsed="false">
      <c r="A164" s="78"/>
      <c r="B164" s="304" t="s">
        <v>19</v>
      </c>
      <c r="C164" s="304" t="n">
        <v>80</v>
      </c>
      <c r="D164" s="78" t="n">
        <v>70</v>
      </c>
      <c r="E164" s="79"/>
      <c r="F164" s="79"/>
      <c r="G164" s="199"/>
      <c r="H164" s="78"/>
      <c r="I164" s="202" t="s">
        <v>239</v>
      </c>
      <c r="J164" s="209" t="s">
        <v>240</v>
      </c>
      <c r="K164" s="204" t="n">
        <v>0</v>
      </c>
      <c r="L164" s="78" t="s">
        <v>471</v>
      </c>
    </row>
    <row r="165" customFormat="false" ht="12.75" hidden="false" customHeight="false" outlineLevel="0" collapsed="false">
      <c r="A165" s="78"/>
      <c r="B165" s="200" t="s">
        <v>242</v>
      </c>
      <c r="C165" s="329" t="n">
        <v>0.18</v>
      </c>
      <c r="D165" s="78"/>
      <c r="E165" s="79"/>
      <c r="F165" s="79"/>
      <c r="G165" s="199"/>
      <c r="H165" s="78"/>
      <c r="I165" s="202" t="s">
        <v>241</v>
      </c>
      <c r="J165" s="78" t="n">
        <v>3405</v>
      </c>
      <c r="K165" s="202" t="n">
        <v>0</v>
      </c>
      <c r="L165" s="78"/>
    </row>
    <row r="166" customFormat="false" ht="12.75" hidden="false" customHeight="false" outlineLevel="0" collapsed="false">
      <c r="A166" s="78"/>
      <c r="B166" s="210" t="s">
        <v>244</v>
      </c>
      <c r="C166" s="347" t="n">
        <v>2.5</v>
      </c>
      <c r="D166" s="78"/>
      <c r="E166" s="79"/>
      <c r="F166" s="79"/>
      <c r="G166" s="199"/>
      <c r="H166" s="78"/>
      <c r="I166" s="202" t="s">
        <v>243</v>
      </c>
      <c r="J166" s="78" t="n">
        <v>6353</v>
      </c>
      <c r="K166" s="204" t="n">
        <v>3543</v>
      </c>
      <c r="L166" s="78"/>
    </row>
    <row r="167" customFormat="false" ht="12.75" hidden="false" customHeight="false" outlineLevel="0" collapsed="false">
      <c r="A167" s="78"/>
      <c r="B167" s="200" t="s">
        <v>23</v>
      </c>
      <c r="C167" s="333" t="n">
        <v>30</v>
      </c>
      <c r="D167" s="78"/>
      <c r="E167" s="79"/>
      <c r="F167" s="79"/>
      <c r="G167" s="199"/>
      <c r="H167" s="79" t="s">
        <v>470</v>
      </c>
      <c r="I167" s="202" t="s">
        <v>245</v>
      </c>
      <c r="J167" s="78" t="n">
        <v>6899</v>
      </c>
      <c r="K167" s="330" t="n">
        <v>400</v>
      </c>
      <c r="L167" s="78"/>
    </row>
    <row r="168" customFormat="false" ht="12.75" hidden="false" customHeight="false" outlineLevel="0" collapsed="false">
      <c r="A168" s="78"/>
      <c r="B168" s="200" t="s">
        <v>66</v>
      </c>
      <c r="C168" s="200" t="n">
        <v>0</v>
      </c>
      <c r="D168" s="78"/>
      <c r="E168" s="79"/>
      <c r="F168" s="79"/>
      <c r="G168" s="199"/>
      <c r="H168" s="78"/>
      <c r="I168" s="202" t="s">
        <v>247</v>
      </c>
      <c r="J168" s="211" t="s">
        <v>248</v>
      </c>
      <c r="K168" s="204" t="n">
        <v>20</v>
      </c>
      <c r="L168" s="78"/>
    </row>
    <row r="169" customFormat="false" ht="12.75" hidden="false" customHeight="false" outlineLevel="0" collapsed="false">
      <c r="A169" s="78"/>
      <c r="B169" s="200" t="s">
        <v>250</v>
      </c>
      <c r="C169" s="333" t="n">
        <v>10.25</v>
      </c>
      <c r="D169" s="206"/>
      <c r="E169" s="79"/>
      <c r="F169" s="79"/>
      <c r="G169" s="199"/>
      <c r="H169" s="78"/>
      <c r="I169" s="202" t="s">
        <v>249</v>
      </c>
      <c r="J169" s="78" t="n">
        <v>7491</v>
      </c>
      <c r="K169" s="204" t="n">
        <v>1000</v>
      </c>
      <c r="L169" s="78"/>
    </row>
    <row r="170" customFormat="false" ht="12.75" hidden="false" customHeight="false" outlineLevel="0" collapsed="false">
      <c r="A170" s="78"/>
      <c r="B170" s="200" t="s">
        <v>252</v>
      </c>
      <c r="C170" s="329" t="n">
        <v>0.5</v>
      </c>
      <c r="D170" s="78"/>
      <c r="E170" s="79"/>
      <c r="F170" s="79"/>
      <c r="G170" s="199"/>
      <c r="H170" s="78"/>
      <c r="I170" s="202" t="s">
        <v>251</v>
      </c>
      <c r="J170" s="78" t="n">
        <v>6173</v>
      </c>
      <c r="K170" s="204" t="n">
        <v>0</v>
      </c>
      <c r="L170" s="78"/>
    </row>
    <row r="171" customFormat="false" ht="12.75" hidden="false" customHeight="false" outlineLevel="0" collapsed="false">
      <c r="A171" s="78"/>
      <c r="B171" s="200" t="s">
        <v>254</v>
      </c>
      <c r="C171" s="329" t="n">
        <v>0.215</v>
      </c>
      <c r="D171" s="78"/>
      <c r="E171" s="79"/>
      <c r="F171" s="79"/>
      <c r="G171" s="199"/>
      <c r="H171" s="78"/>
      <c r="I171" s="202" t="s">
        <v>253</v>
      </c>
      <c r="J171" s="78" t="n">
        <v>6210</v>
      </c>
      <c r="K171" s="204" t="n">
        <v>0</v>
      </c>
      <c r="L171" s="78" t="s">
        <v>471</v>
      </c>
    </row>
    <row r="172" customFormat="false" ht="12.75" hidden="false" customHeight="false" outlineLevel="0" collapsed="false">
      <c r="A172" s="78"/>
      <c r="B172" s="200" t="s">
        <v>62</v>
      </c>
      <c r="C172" s="329" t="n">
        <v>0.8</v>
      </c>
      <c r="D172" s="78"/>
      <c r="E172" s="79"/>
      <c r="F172" s="79"/>
      <c r="G172" s="199"/>
      <c r="H172" s="78"/>
      <c r="I172" s="202" t="s">
        <v>255</v>
      </c>
      <c r="J172" s="78" t="n">
        <v>5097</v>
      </c>
      <c r="K172" s="204" t="n">
        <v>0</v>
      </c>
      <c r="L172" s="78"/>
    </row>
    <row r="173" customFormat="false" ht="12.75" hidden="false" customHeight="false" outlineLevel="0" collapsed="false">
      <c r="A173" s="78"/>
      <c r="B173" s="200" t="s">
        <v>259</v>
      </c>
      <c r="C173" s="199" t="n">
        <v>0</v>
      </c>
      <c r="D173" s="78"/>
      <c r="E173" s="79"/>
      <c r="F173" s="79"/>
      <c r="G173" s="199"/>
      <c r="H173" s="78"/>
      <c r="I173" s="202" t="s">
        <v>256</v>
      </c>
      <c r="J173" s="78" t="s">
        <v>415</v>
      </c>
      <c r="K173" s="204" t="n">
        <v>0</v>
      </c>
      <c r="L173" s="78" t="s">
        <v>471</v>
      </c>
    </row>
    <row r="174" customFormat="false" ht="12.75" hidden="false" customHeight="false" outlineLevel="0" collapsed="false">
      <c r="A174" s="78"/>
      <c r="B174" s="200" t="s">
        <v>261</v>
      </c>
      <c r="C174" s="200" t="n">
        <v>0</v>
      </c>
      <c r="D174" s="78"/>
      <c r="E174" s="79"/>
      <c r="F174" s="79"/>
      <c r="G174" s="199"/>
      <c r="H174" s="78"/>
      <c r="I174" s="202" t="s">
        <v>260</v>
      </c>
      <c r="J174" s="211" t="s">
        <v>248</v>
      </c>
      <c r="K174" s="204" t="n">
        <v>800</v>
      </c>
      <c r="L174" s="78"/>
    </row>
    <row r="175" customFormat="false" ht="12.75" hidden="false" customHeight="false" outlineLevel="0" collapsed="false">
      <c r="A175" s="78"/>
      <c r="B175" s="200" t="s">
        <v>263</v>
      </c>
      <c r="C175" s="329" t="n">
        <v>1</v>
      </c>
      <c r="D175" s="78"/>
      <c r="E175" s="79"/>
      <c r="F175" s="79"/>
      <c r="G175" s="199"/>
      <c r="H175" s="78"/>
      <c r="I175" s="202" t="s">
        <v>474</v>
      </c>
      <c r="J175" s="211" t="s">
        <v>475</v>
      </c>
      <c r="K175" s="204" t="n">
        <v>48</v>
      </c>
      <c r="L175" s="78"/>
    </row>
    <row r="176" customFormat="false" ht="12.75" hidden="false" customHeight="false" outlineLevel="0" collapsed="false">
      <c r="A176" s="78"/>
      <c r="B176" s="200" t="s">
        <v>265</v>
      </c>
      <c r="C176" s="200" t="n">
        <v>0</v>
      </c>
      <c r="D176" s="78" t="s">
        <v>476</v>
      </c>
      <c r="E176" s="79"/>
      <c r="F176" s="79"/>
      <c r="G176" s="199"/>
      <c r="H176" s="78"/>
      <c r="I176" s="202" t="s">
        <v>273</v>
      </c>
      <c r="J176" s="78" t="n">
        <v>6614</v>
      </c>
      <c r="K176" s="204" t="n">
        <v>0</v>
      </c>
      <c r="L176" s="78"/>
    </row>
    <row r="177" customFormat="false" ht="12.75" hidden="false" customHeight="false" outlineLevel="0" collapsed="false">
      <c r="A177" s="78"/>
      <c r="B177" s="200" t="s">
        <v>267</v>
      </c>
      <c r="C177" s="329" t="n">
        <v>1.4</v>
      </c>
      <c r="D177" s="78"/>
      <c r="E177" s="79"/>
      <c r="F177" s="79"/>
      <c r="G177" s="199"/>
      <c r="H177" s="78"/>
      <c r="I177" s="202" t="s">
        <v>264</v>
      </c>
      <c r="J177" s="78" t="n">
        <v>5310</v>
      </c>
      <c r="K177" s="204" t="n">
        <v>0</v>
      </c>
      <c r="L177" s="78" t="s">
        <v>471</v>
      </c>
    </row>
    <row r="178" customFormat="false" ht="12.75" hidden="false" customHeight="false" outlineLevel="0" collapsed="false">
      <c r="A178" s="78"/>
      <c r="B178" s="200" t="s">
        <v>270</v>
      </c>
      <c r="C178" s="333" t="n">
        <v>15</v>
      </c>
      <c r="D178" s="202"/>
      <c r="E178" s="79"/>
      <c r="F178" s="79"/>
      <c r="G178" s="199"/>
      <c r="H178" s="78"/>
      <c r="I178" s="202" t="s">
        <v>275</v>
      </c>
      <c r="J178" s="78" t="n">
        <v>6542</v>
      </c>
      <c r="K178" s="204" t="n">
        <v>405</v>
      </c>
      <c r="L178" s="78"/>
    </row>
    <row r="179" customFormat="false" ht="12.75" hidden="false" customHeight="false" outlineLevel="0" collapsed="false">
      <c r="A179" s="78"/>
      <c r="B179" s="200" t="s">
        <v>272</v>
      </c>
      <c r="C179" s="333" t="n">
        <v>5.975</v>
      </c>
      <c r="D179" s="78"/>
      <c r="E179" s="79"/>
      <c r="F179" s="79"/>
      <c r="G179" s="199"/>
      <c r="H179" s="78"/>
      <c r="I179" s="202" t="s">
        <v>268</v>
      </c>
      <c r="J179" s="78" t="s">
        <v>416</v>
      </c>
      <c r="K179" s="204" t="n">
        <v>0</v>
      </c>
      <c r="L179" s="78" t="s">
        <v>471</v>
      </c>
    </row>
    <row r="180" customFormat="false" ht="12.75" hidden="false" customHeight="false" outlineLevel="0" collapsed="false">
      <c r="A180" s="78"/>
      <c r="B180" s="200" t="s">
        <v>274</v>
      </c>
      <c r="C180" s="333" t="n">
        <v>10</v>
      </c>
      <c r="D180" s="78"/>
      <c r="E180" s="79"/>
      <c r="F180" s="79"/>
      <c r="G180" s="199"/>
      <c r="H180" s="78"/>
      <c r="I180" s="202" t="s">
        <v>268</v>
      </c>
      <c r="J180" s="78" t="n">
        <v>6534</v>
      </c>
      <c r="K180" s="204" t="n">
        <v>0</v>
      </c>
      <c r="L180" s="78" t="s">
        <v>471</v>
      </c>
    </row>
    <row r="181" customFormat="false" ht="12.75" hidden="false" customHeight="false" outlineLevel="0" collapsed="false">
      <c r="A181" s="78"/>
      <c r="B181" s="200" t="s">
        <v>276</v>
      </c>
      <c r="C181" s="329" t="n">
        <v>0.05</v>
      </c>
      <c r="D181" s="78"/>
      <c r="E181" s="79"/>
      <c r="F181" s="79"/>
      <c r="G181" s="199"/>
      <c r="H181" s="78"/>
      <c r="I181" s="202" t="s">
        <v>277</v>
      </c>
      <c r="J181" s="78" t="n">
        <v>5310</v>
      </c>
      <c r="K181" s="204" t="n">
        <v>0</v>
      </c>
      <c r="L181" s="78" t="s">
        <v>471</v>
      </c>
    </row>
    <row r="182" customFormat="false" ht="12.75" hidden="false" customHeight="false" outlineLevel="0" collapsed="false">
      <c r="A182" s="78"/>
      <c r="B182" s="200" t="s">
        <v>278</v>
      </c>
      <c r="C182" s="329" t="n">
        <v>0.6</v>
      </c>
      <c r="D182" s="78"/>
      <c r="E182" s="79"/>
      <c r="F182" s="79"/>
      <c r="G182" s="199"/>
      <c r="H182" s="78"/>
      <c r="I182" s="202" t="s">
        <v>279</v>
      </c>
      <c r="J182" s="78" t="n">
        <v>5310</v>
      </c>
      <c r="K182" s="204" t="n">
        <v>0</v>
      </c>
      <c r="L182" s="78" t="s">
        <v>471</v>
      </c>
    </row>
    <row r="183" customFormat="false" ht="12.75" hidden="false" customHeight="false" outlineLevel="0" collapsed="false">
      <c r="A183" s="78"/>
      <c r="B183" s="200" t="s">
        <v>280</v>
      </c>
      <c r="C183" s="329" t="n">
        <v>0.24</v>
      </c>
      <c r="D183" s="78"/>
      <c r="E183" s="79"/>
      <c r="F183" s="79"/>
      <c r="G183" s="199"/>
      <c r="H183" s="78"/>
      <c r="I183" s="202" t="s">
        <v>285</v>
      </c>
      <c r="J183" s="78"/>
      <c r="K183" s="202" t="n">
        <v>0</v>
      </c>
      <c r="L183" s="78"/>
    </row>
    <row r="184" customFormat="false" ht="12.75" hidden="false" customHeight="false" outlineLevel="0" collapsed="false">
      <c r="A184" s="78"/>
      <c r="B184" s="200" t="s">
        <v>119</v>
      </c>
      <c r="C184" s="200" t="n">
        <v>0</v>
      </c>
      <c r="D184" s="78" t="s">
        <v>476</v>
      </c>
      <c r="E184" s="79"/>
      <c r="F184" s="79"/>
      <c r="G184" s="199"/>
      <c r="H184" s="78"/>
      <c r="I184" s="202" t="s">
        <v>284</v>
      </c>
      <c r="J184" s="78"/>
      <c r="K184" s="202" t="n">
        <v>0</v>
      </c>
      <c r="L184" s="78"/>
    </row>
    <row r="185" customFormat="false" ht="12.75" hidden="false" customHeight="false" outlineLevel="0" collapsed="false">
      <c r="A185" s="78"/>
      <c r="B185" s="335" t="s">
        <v>283</v>
      </c>
      <c r="C185" s="200" t="n">
        <v>0</v>
      </c>
      <c r="D185" s="78"/>
      <c r="E185" s="79"/>
      <c r="F185" s="79"/>
      <c r="G185" s="199"/>
      <c r="H185" s="78"/>
      <c r="I185" s="202" t="s">
        <v>287</v>
      </c>
      <c r="J185" s="78"/>
      <c r="K185" s="202" t="n">
        <v>0</v>
      </c>
      <c r="L185" s="78"/>
    </row>
    <row r="186" customFormat="false" ht="12.75" hidden="false" customHeight="false" outlineLevel="0" collapsed="false">
      <c r="A186" s="78"/>
      <c r="B186" s="200"/>
      <c r="C186" s="200"/>
      <c r="D186" s="78"/>
      <c r="E186" s="79"/>
      <c r="F186" s="79"/>
      <c r="G186" s="199"/>
      <c r="H186" s="78"/>
      <c r="I186" s="202" t="s">
        <v>281</v>
      </c>
      <c r="J186" s="78"/>
      <c r="K186" s="202" t="n">
        <v>0</v>
      </c>
      <c r="L186" s="78"/>
    </row>
    <row r="187" customFormat="false" ht="12.75" hidden="false" customHeight="false" outlineLevel="0" collapsed="false">
      <c r="A187" s="78"/>
      <c r="B187" s="200" t="s">
        <v>286</v>
      </c>
      <c r="C187" s="329" t="n">
        <v>0.45</v>
      </c>
      <c r="D187" s="78"/>
      <c r="E187" s="79"/>
      <c r="F187" s="79"/>
      <c r="G187" s="199"/>
      <c r="H187" s="79" t="s">
        <v>470</v>
      </c>
      <c r="I187" s="202" t="s">
        <v>282</v>
      </c>
      <c r="J187" s="78"/>
      <c r="K187" s="202" t="n">
        <v>0</v>
      </c>
      <c r="L187" s="78"/>
    </row>
    <row r="188" customFormat="false" ht="12.75" hidden="false" customHeight="false" outlineLevel="0" collapsed="false">
      <c r="A188" s="78"/>
      <c r="B188" s="79" t="s">
        <v>288</v>
      </c>
      <c r="C188" s="79" t="n">
        <v>0</v>
      </c>
      <c r="D188" s="78"/>
      <c r="E188" s="79"/>
      <c r="F188" s="79"/>
      <c r="G188" s="199"/>
      <c r="H188" s="78"/>
      <c r="I188" s="202" t="s">
        <v>291</v>
      </c>
      <c r="J188" s="78" t="n">
        <v>6722</v>
      </c>
      <c r="K188" s="330" t="n">
        <v>30</v>
      </c>
      <c r="L188" s="78"/>
    </row>
    <row r="189" customFormat="false" ht="12.75" hidden="false" customHeight="false" outlineLevel="0" collapsed="false">
      <c r="A189" s="78"/>
      <c r="B189" s="200" t="s">
        <v>290</v>
      </c>
      <c r="C189" s="333" t="n">
        <v>20</v>
      </c>
      <c r="D189" s="78"/>
      <c r="E189" s="79"/>
      <c r="F189" s="79"/>
      <c r="G189" s="199"/>
      <c r="H189" s="78"/>
      <c r="I189" s="202" t="s">
        <v>289</v>
      </c>
      <c r="J189" s="78" t="n">
        <v>7211</v>
      </c>
      <c r="K189" s="204" t="n">
        <v>0</v>
      </c>
      <c r="L189" s="78"/>
    </row>
    <row r="190" customFormat="false" ht="12.75" hidden="false" customHeight="false" outlineLevel="0" collapsed="false">
      <c r="A190" s="78"/>
      <c r="B190" s="200" t="s">
        <v>194</v>
      </c>
      <c r="C190" s="333" t="n">
        <v>2.4</v>
      </c>
      <c r="D190" s="78"/>
      <c r="E190" s="79"/>
      <c r="F190" s="79"/>
      <c r="G190" s="199"/>
      <c r="H190" s="78"/>
      <c r="I190" s="345" t="s">
        <v>293</v>
      </c>
      <c r="J190" s="346"/>
      <c r="K190" s="212" t="n">
        <v>0</v>
      </c>
      <c r="L190" s="78" t="s">
        <v>471</v>
      </c>
    </row>
    <row r="191" customFormat="false" ht="12.75" hidden="false" customHeight="false" outlineLevel="0" collapsed="false">
      <c r="A191" s="78"/>
      <c r="B191" s="200" t="s">
        <v>292</v>
      </c>
      <c r="C191" s="333" t="n">
        <v>1.5</v>
      </c>
      <c r="D191" s="78"/>
      <c r="E191" s="79"/>
      <c r="F191" s="79"/>
      <c r="G191" s="199"/>
      <c r="H191" s="79" t="s">
        <v>470</v>
      </c>
      <c r="I191" s="202" t="s">
        <v>294</v>
      </c>
      <c r="J191" s="78" t="n">
        <v>4063</v>
      </c>
      <c r="K191" s="204" t="n">
        <v>0</v>
      </c>
      <c r="L191" s="78" t="s">
        <v>471</v>
      </c>
    </row>
    <row r="192" customFormat="false" ht="12.75" hidden="false" customHeight="false" outlineLevel="0" collapsed="false">
      <c r="A192" s="78"/>
      <c r="B192" s="79" t="s">
        <v>125</v>
      </c>
      <c r="C192" s="79" t="n">
        <v>0</v>
      </c>
      <c r="D192" s="78" t="s">
        <v>476</v>
      </c>
      <c r="E192" s="79"/>
      <c r="F192" s="79"/>
      <c r="G192" s="199"/>
      <c r="H192" s="79" t="s">
        <v>470</v>
      </c>
      <c r="I192" s="202" t="s">
        <v>117</v>
      </c>
      <c r="J192" s="78" t="n">
        <v>3405</v>
      </c>
      <c r="K192" s="212" t="n">
        <v>2677</v>
      </c>
      <c r="L192" s="78"/>
    </row>
    <row r="193" customFormat="false" ht="12.75" hidden="false" customHeight="false" outlineLevel="0" collapsed="false">
      <c r="A193" s="78"/>
      <c r="B193" s="200" t="s">
        <v>295</v>
      </c>
      <c r="C193" s="333" t="n">
        <v>4</v>
      </c>
      <c r="D193" s="78"/>
      <c r="E193" s="79"/>
      <c r="F193" s="79"/>
      <c r="G193" s="199"/>
      <c r="H193" s="78"/>
      <c r="I193" s="202" t="s">
        <v>69</v>
      </c>
      <c r="J193" s="78" t="s">
        <v>417</v>
      </c>
      <c r="K193" s="212" t="n">
        <v>7000</v>
      </c>
      <c r="L193" s="78"/>
    </row>
    <row r="194" customFormat="false" ht="12.75" hidden="false" customHeight="false" outlineLevel="0" collapsed="false">
      <c r="A194" s="78"/>
      <c r="B194" s="200" t="s">
        <v>297</v>
      </c>
      <c r="C194" s="329" t="n">
        <v>0.08</v>
      </c>
      <c r="D194" s="78"/>
      <c r="E194" s="79"/>
      <c r="F194" s="79"/>
      <c r="G194" s="199"/>
      <c r="H194" s="78"/>
      <c r="I194" s="202" t="s">
        <v>296</v>
      </c>
      <c r="J194" s="78" t="n">
        <v>9643</v>
      </c>
      <c r="K194" s="204" t="n">
        <v>0</v>
      </c>
      <c r="L194" s="78" t="s">
        <v>471</v>
      </c>
    </row>
    <row r="195" customFormat="false" ht="12.75" hidden="false" customHeight="false" outlineLevel="0" collapsed="false">
      <c r="A195" s="78"/>
      <c r="B195" s="200" t="s">
        <v>299</v>
      </c>
      <c r="C195" s="333" t="n">
        <v>40</v>
      </c>
      <c r="D195" s="78"/>
      <c r="E195" s="79"/>
      <c r="F195" s="79"/>
      <c r="G195" s="199"/>
      <c r="H195" s="78"/>
      <c r="I195" s="202" t="s">
        <v>298</v>
      </c>
      <c r="J195" s="78" t="n">
        <v>6788</v>
      </c>
      <c r="K195" s="204" t="n">
        <v>0</v>
      </c>
      <c r="L195" s="78" t="s">
        <v>471</v>
      </c>
    </row>
    <row r="196" customFormat="false" ht="12.75" hidden="false" customHeight="false" outlineLevel="0" collapsed="false">
      <c r="A196" s="78"/>
      <c r="B196" s="200" t="s">
        <v>31</v>
      </c>
      <c r="C196" s="333" t="n">
        <v>15</v>
      </c>
      <c r="D196" s="78"/>
      <c r="E196" s="79"/>
      <c r="F196" s="79"/>
      <c r="G196" s="199"/>
      <c r="H196" s="78"/>
      <c r="I196" s="345" t="s">
        <v>300</v>
      </c>
      <c r="J196" s="346" t="n">
        <v>6683</v>
      </c>
      <c r="K196" s="212" t="n">
        <v>2500</v>
      </c>
      <c r="L196" s="78"/>
    </row>
    <row r="197" customFormat="false" ht="12.75" hidden="false" customHeight="false" outlineLevel="0" collapsed="false">
      <c r="A197" s="78"/>
      <c r="B197" s="200" t="s">
        <v>302</v>
      </c>
      <c r="C197" s="333" t="n">
        <v>1</v>
      </c>
      <c r="D197" s="78"/>
      <c r="E197" s="79"/>
      <c r="F197" s="210"/>
      <c r="G197" s="199"/>
      <c r="H197" s="78"/>
      <c r="I197" s="202" t="s">
        <v>301</v>
      </c>
      <c r="J197" s="78" t="n">
        <v>2185</v>
      </c>
      <c r="K197" s="204" t="n">
        <v>71</v>
      </c>
      <c r="L197" s="78"/>
    </row>
    <row r="198" customFormat="false" ht="12.75" hidden="false" customHeight="false" outlineLevel="0" collapsed="false">
      <c r="A198" s="78"/>
      <c r="B198" s="200" t="s">
        <v>185</v>
      </c>
      <c r="C198" s="200" t="n">
        <v>0</v>
      </c>
      <c r="D198" s="78"/>
      <c r="E198" s="79"/>
      <c r="F198" s="79"/>
      <c r="G198" s="199"/>
      <c r="H198" s="78"/>
      <c r="I198" s="202" t="s">
        <v>306</v>
      </c>
      <c r="J198" s="78" t="s">
        <v>418</v>
      </c>
      <c r="K198" s="204" t="n">
        <v>8677</v>
      </c>
      <c r="L198" s="78"/>
    </row>
    <row r="199" customFormat="false" ht="12.75" hidden="false" customHeight="false" outlineLevel="0" collapsed="false">
      <c r="A199" s="78"/>
      <c r="B199" s="200" t="s">
        <v>305</v>
      </c>
      <c r="C199" s="333" t="n">
        <v>1</v>
      </c>
      <c r="D199" s="78"/>
      <c r="E199" s="79"/>
      <c r="F199" s="79"/>
      <c r="G199" s="199"/>
      <c r="H199" s="78"/>
      <c r="I199" s="202" t="s">
        <v>309</v>
      </c>
      <c r="J199" s="78" t="n">
        <v>4132</v>
      </c>
      <c r="K199" s="204" t="n">
        <v>11</v>
      </c>
      <c r="L199" s="78"/>
    </row>
    <row r="200" customFormat="false" ht="12.75" hidden="false" customHeight="false" outlineLevel="0" collapsed="false">
      <c r="A200" s="78"/>
      <c r="B200" s="200" t="s">
        <v>308</v>
      </c>
      <c r="C200" s="333" t="n">
        <f aca="false">20+10+29.167</f>
        <v>59.167</v>
      </c>
      <c r="D200" s="78" t="s">
        <v>477</v>
      </c>
      <c r="E200" s="79"/>
      <c r="F200" s="79"/>
      <c r="G200" s="199"/>
      <c r="H200" s="78"/>
      <c r="I200" s="202" t="s">
        <v>118</v>
      </c>
      <c r="J200" s="78" t="n">
        <v>2540</v>
      </c>
      <c r="K200" s="204" t="n">
        <v>19</v>
      </c>
      <c r="L200" s="78"/>
    </row>
    <row r="201" customFormat="false" ht="12.75" hidden="false" customHeight="false" outlineLevel="0" collapsed="false">
      <c r="A201" s="78"/>
      <c r="B201" s="200" t="s">
        <v>310</v>
      </c>
      <c r="C201" s="329" t="n">
        <v>0.3</v>
      </c>
      <c r="D201" s="78"/>
      <c r="E201" s="79"/>
      <c r="F201" s="79"/>
      <c r="G201" s="199"/>
      <c r="H201" s="78"/>
      <c r="I201" s="202" t="s">
        <v>312</v>
      </c>
      <c r="J201" s="78" t="n">
        <v>9643</v>
      </c>
      <c r="K201" s="204" t="n">
        <v>14</v>
      </c>
      <c r="L201" s="78"/>
    </row>
    <row r="202" customFormat="false" ht="12.75" hidden="false" customHeight="false" outlineLevel="0" collapsed="false">
      <c r="A202" s="78"/>
      <c r="B202" s="200" t="s">
        <v>311</v>
      </c>
      <c r="C202" s="329" t="n">
        <v>0.043</v>
      </c>
      <c r="D202" s="78"/>
      <c r="E202" s="79"/>
      <c r="F202" s="79"/>
      <c r="G202" s="199"/>
      <c r="H202" s="78"/>
      <c r="I202" s="202" t="s">
        <v>312</v>
      </c>
      <c r="J202" s="78" t="n">
        <v>5801</v>
      </c>
      <c r="K202" s="204" t="n">
        <v>0</v>
      </c>
      <c r="L202" s="78" t="s">
        <v>471</v>
      </c>
    </row>
    <row r="203" customFormat="false" ht="12.75" hidden="false" customHeight="false" outlineLevel="0" collapsed="false">
      <c r="A203" s="78"/>
      <c r="B203" s="200" t="s">
        <v>313</v>
      </c>
      <c r="C203" s="200" t="n">
        <v>0</v>
      </c>
      <c r="D203" s="78"/>
      <c r="E203" s="79"/>
      <c r="F203" s="79"/>
      <c r="G203" s="199"/>
      <c r="H203" s="78"/>
      <c r="I203" s="202" t="s">
        <v>315</v>
      </c>
      <c r="J203" s="78" t="n">
        <v>6589</v>
      </c>
      <c r="K203" s="204" t="n">
        <v>0</v>
      </c>
      <c r="L203" s="206" t="s">
        <v>442</v>
      </c>
    </row>
    <row r="204" customFormat="false" ht="12.75" hidden="false" customHeight="false" outlineLevel="0" collapsed="false">
      <c r="A204" s="78"/>
      <c r="B204" s="200" t="s">
        <v>314</v>
      </c>
      <c r="C204" s="329" t="n">
        <v>0.05</v>
      </c>
      <c r="D204" s="78"/>
      <c r="E204" s="79"/>
      <c r="F204" s="79"/>
      <c r="G204" s="199"/>
      <c r="H204" s="78"/>
      <c r="I204" s="202" t="s">
        <v>316</v>
      </c>
      <c r="J204" s="78" t="n">
        <v>106</v>
      </c>
      <c r="K204" s="204" t="n">
        <v>1068</v>
      </c>
      <c r="L204" s="78"/>
    </row>
    <row r="205" customFormat="false" ht="12.75" hidden="false" customHeight="false" outlineLevel="0" collapsed="false">
      <c r="A205" s="78"/>
      <c r="B205" s="79" t="s">
        <v>216</v>
      </c>
      <c r="C205" s="79" t="n">
        <v>0</v>
      </c>
      <c r="D205" s="78"/>
      <c r="E205" s="79"/>
      <c r="F205" s="79"/>
      <c r="G205" s="199"/>
      <c r="H205" s="78"/>
      <c r="I205" s="202" t="s">
        <v>321</v>
      </c>
      <c r="J205" s="78" t="n">
        <v>6598</v>
      </c>
      <c r="K205" s="204" t="n">
        <v>0</v>
      </c>
      <c r="L205" s="78" t="s">
        <v>471</v>
      </c>
      <c r="M205" s="214" t="n">
        <v>34771</v>
      </c>
      <c r="N205" s="1" t="s">
        <v>478</v>
      </c>
    </row>
    <row r="206" customFormat="false" ht="12.75" hidden="false" customHeight="false" outlineLevel="0" collapsed="false">
      <c r="A206" s="78"/>
      <c r="B206" s="200" t="s">
        <v>317</v>
      </c>
      <c r="C206" s="200" t="n">
        <v>0</v>
      </c>
      <c r="D206" s="78"/>
      <c r="E206" s="79"/>
      <c r="F206" s="79"/>
      <c r="G206" s="199"/>
      <c r="H206" s="78"/>
      <c r="I206" s="199"/>
      <c r="J206" s="78"/>
      <c r="K206" s="337" t="n">
        <f aca="false">SUM(K129:K205)</f>
        <v>49082</v>
      </c>
    </row>
    <row r="207" customFormat="false" ht="12.75" hidden="false" customHeight="false" outlineLevel="0" collapsed="false">
      <c r="A207" s="78"/>
      <c r="B207" s="0" t="s">
        <v>319</v>
      </c>
      <c r="C207" s="79" t="n">
        <v>0</v>
      </c>
      <c r="D207" s="78"/>
      <c r="E207" s="79"/>
      <c r="F207" s="79"/>
      <c r="G207" s="199"/>
      <c r="H207" s="78"/>
      <c r="I207" s="199"/>
      <c r="J207" s="78"/>
      <c r="K207" s="204"/>
      <c r="L207" s="78"/>
    </row>
    <row r="208" customFormat="false" ht="12.75" hidden="false" customHeight="false" outlineLevel="0" collapsed="false">
      <c r="A208" s="78"/>
      <c r="B208" s="0" t="s">
        <v>322</v>
      </c>
      <c r="C208" s="79" t="n">
        <v>0</v>
      </c>
      <c r="D208" s="78"/>
      <c r="E208" s="79"/>
      <c r="F208" s="79"/>
      <c r="G208" s="199"/>
      <c r="H208" s="78"/>
      <c r="I208" s="202"/>
      <c r="J208" s="78"/>
      <c r="K208" s="202"/>
      <c r="L208" s="78"/>
    </row>
    <row r="209" customFormat="false" ht="12.75" hidden="false" customHeight="false" outlineLevel="0" collapsed="false">
      <c r="A209" s="78"/>
      <c r="B209" s="0"/>
      <c r="C209" s="213" t="n">
        <f aca="false">SUM(C129:C208)</f>
        <v>421.44</v>
      </c>
      <c r="D209" s="78"/>
      <c r="E209" s="79"/>
      <c r="F209" s="79"/>
      <c r="G209" s="199"/>
      <c r="H209" s="78"/>
      <c r="I209" s="202"/>
      <c r="J209" s="78"/>
      <c r="L209" s="78"/>
    </row>
    <row r="210" customFormat="false" ht="12.75" hidden="false" customHeight="false" outlineLevel="0" collapsed="false">
      <c r="B210" s="0"/>
      <c r="C210" s="79"/>
      <c r="D210" s="78"/>
      <c r="E210" s="79"/>
      <c r="F210" s="79"/>
      <c r="G210" s="199"/>
      <c r="H210" s="78"/>
      <c r="I210" s="202"/>
      <c r="J210" s="78"/>
      <c r="K210" s="204"/>
      <c r="L210" s="78"/>
    </row>
    <row r="211" customFormat="false" ht="12.75" hidden="false" customHeight="false" outlineLevel="0" collapsed="false">
      <c r="B211" s="0"/>
      <c r="C211" s="79"/>
      <c r="D211" s="78"/>
      <c r="E211" s="213"/>
      <c r="F211" s="79"/>
      <c r="G211" s="202"/>
      <c r="H211" s="78"/>
      <c r="I211" s="202"/>
      <c r="J211" s="78"/>
      <c r="K211" s="202"/>
      <c r="L211" s="78"/>
    </row>
    <row r="212" customFormat="false" ht="12.75" hidden="false" customHeight="false" outlineLevel="0" collapsed="false">
      <c r="B212" s="0"/>
      <c r="C212" s="79"/>
      <c r="D212" s="78"/>
      <c r="E212" s="78"/>
      <c r="F212" s="78"/>
      <c r="G212" s="78"/>
      <c r="H212" s="78"/>
      <c r="I212" s="202"/>
      <c r="J212" s="78"/>
      <c r="K212" s="204"/>
      <c r="L212" s="78"/>
    </row>
    <row r="213" customFormat="false" ht="12.75" hidden="false" customHeight="false" outlineLevel="0" collapsed="false">
      <c r="B213" s="216" t="s">
        <v>11</v>
      </c>
      <c r="C213" s="200" t="n">
        <v>0</v>
      </c>
      <c r="D213" s="78"/>
      <c r="E213" s="78"/>
      <c r="F213" s="78"/>
      <c r="G213" s="78"/>
      <c r="H213" s="78"/>
      <c r="I213" s="202"/>
      <c r="J213" s="78"/>
      <c r="K213" s="204"/>
      <c r="L213" s="78"/>
    </row>
    <row r="214" customFormat="false" ht="12.75" hidden="false" customHeight="false" outlineLevel="0" collapsed="false">
      <c r="A214" s="215"/>
      <c r="B214" s="216" t="s">
        <v>9</v>
      </c>
      <c r="C214" s="200" t="n">
        <v>0</v>
      </c>
      <c r="D214" s="78"/>
      <c r="E214" s="78"/>
      <c r="F214" s="78"/>
      <c r="G214" s="78"/>
      <c r="H214" s="78"/>
      <c r="I214" s="202"/>
      <c r="J214" s="78"/>
      <c r="K214" s="204"/>
      <c r="L214" s="78"/>
    </row>
    <row r="215" customFormat="false" ht="12.75" hidden="false" customHeight="false" outlineLevel="0" collapsed="false">
      <c r="B215" s="216" t="s">
        <v>323</v>
      </c>
      <c r="C215" s="200" t="n">
        <v>0</v>
      </c>
      <c r="D215" s="78"/>
      <c r="E215" s="78"/>
      <c r="F215" s="78"/>
      <c r="G215" s="78"/>
      <c r="H215" s="78"/>
      <c r="I215" s="202"/>
      <c r="J215" s="78"/>
      <c r="K215" s="204"/>
      <c r="L215" s="78"/>
    </row>
    <row r="216" customFormat="false" ht="12.75" hidden="false" customHeight="false" outlineLevel="0" collapsed="false">
      <c r="B216" s="216" t="s">
        <v>15</v>
      </c>
      <c r="C216" s="200" t="n">
        <v>0</v>
      </c>
      <c r="D216" s="78" t="n">
        <v>3</v>
      </c>
      <c r="E216" s="78"/>
      <c r="F216" s="78"/>
      <c r="G216" s="78"/>
      <c r="H216" s="78"/>
      <c r="I216" s="79"/>
      <c r="J216" s="78"/>
      <c r="K216" s="204"/>
      <c r="L216" s="78"/>
    </row>
    <row r="217" customFormat="false" ht="12.75" hidden="false" customHeight="false" outlineLevel="0" collapsed="false">
      <c r="B217" s="216" t="s">
        <v>227</v>
      </c>
      <c r="C217" s="200" t="n">
        <v>0</v>
      </c>
      <c r="D217" s="78" t="s">
        <v>324</v>
      </c>
      <c r="E217" s="78"/>
      <c r="F217" s="78"/>
      <c r="G217" s="78"/>
      <c r="H217" s="78"/>
      <c r="I217" s="78"/>
      <c r="J217" s="78"/>
    </row>
    <row r="218" customFormat="false" ht="12.75" hidden="false" customHeight="false" outlineLevel="0" collapsed="false">
      <c r="B218" s="216" t="s">
        <v>53</v>
      </c>
      <c r="C218" s="200" t="n">
        <v>0</v>
      </c>
      <c r="D218" s="78"/>
      <c r="E218" s="78"/>
      <c r="F218" s="78" t="n">
        <v>5</v>
      </c>
      <c r="G218" s="78"/>
      <c r="H218" s="78"/>
      <c r="I218" s="78"/>
      <c r="J218" s="78"/>
      <c r="K218" s="78"/>
    </row>
    <row r="219" customFormat="false" ht="12.75" hidden="false" customHeight="false" outlineLevel="0" collapsed="false">
      <c r="B219" s="216" t="s">
        <v>21</v>
      </c>
      <c r="C219" s="200" t="n">
        <v>0</v>
      </c>
      <c r="D219" s="78" t="s">
        <v>325</v>
      </c>
      <c r="E219" s="78"/>
      <c r="F219" s="78" t="n">
        <v>10</v>
      </c>
      <c r="G219" s="78"/>
      <c r="H219" s="78"/>
      <c r="I219" s="78"/>
      <c r="J219" s="78"/>
      <c r="K219" s="78"/>
    </row>
    <row r="220" customFormat="false" ht="12.75" hidden="false" customHeight="false" outlineLevel="0" collapsed="false">
      <c r="B220" s="216" t="s">
        <v>19</v>
      </c>
      <c r="C220" s="200" t="n">
        <v>0</v>
      </c>
      <c r="D220" s="78"/>
      <c r="E220" s="78"/>
      <c r="F220" s="78"/>
      <c r="G220" s="78"/>
      <c r="H220" s="78"/>
      <c r="I220" s="78"/>
      <c r="J220" s="78"/>
      <c r="K220" s="78"/>
    </row>
    <row r="221" customFormat="false" ht="12.75" hidden="false" customHeight="false" outlineLevel="0" collapsed="false">
      <c r="B221" s="216" t="s">
        <v>23</v>
      </c>
      <c r="C221" s="200" t="n">
        <v>0</v>
      </c>
      <c r="D221" s="78"/>
      <c r="E221" s="78"/>
      <c r="F221" s="78"/>
      <c r="G221" s="78"/>
      <c r="H221" s="78"/>
      <c r="I221" s="78"/>
      <c r="J221" s="78"/>
      <c r="K221" s="78"/>
    </row>
    <row r="222" customFormat="false" ht="12.75" hidden="false" customHeight="false" outlineLevel="0" collapsed="false">
      <c r="B222" s="0" t="s">
        <v>250</v>
      </c>
      <c r="C222" s="79" t="n">
        <v>0</v>
      </c>
      <c r="D222" s="78" t="s">
        <v>324</v>
      </c>
      <c r="E222" s="78"/>
      <c r="F222" s="78" t="n">
        <v>5</v>
      </c>
      <c r="G222" s="78"/>
      <c r="H222" s="78"/>
      <c r="I222" s="78"/>
      <c r="J222" s="78"/>
      <c r="K222" s="78"/>
    </row>
    <row r="223" customFormat="false" ht="12.75" hidden="false" customHeight="false" outlineLevel="0" collapsed="false">
      <c r="B223" s="216" t="s">
        <v>270</v>
      </c>
      <c r="C223" s="200" t="n">
        <v>0</v>
      </c>
      <c r="D223" s="78" t="s">
        <v>324</v>
      </c>
      <c r="E223" s="78"/>
      <c r="F223" s="78" t="n">
        <v>15</v>
      </c>
      <c r="G223" s="78"/>
      <c r="H223" s="78"/>
      <c r="I223" s="79"/>
      <c r="J223" s="78"/>
      <c r="K223" s="78"/>
    </row>
    <row r="224" customFormat="false" ht="12.75" hidden="false" customHeight="false" outlineLevel="0" collapsed="false">
      <c r="A224" s="1" t="s">
        <v>326</v>
      </c>
      <c r="B224" s="216" t="s">
        <v>327</v>
      </c>
      <c r="C224" s="200" t="n">
        <v>0</v>
      </c>
      <c r="D224" s="78" t="s">
        <v>324</v>
      </c>
      <c r="E224" s="78"/>
      <c r="F224" s="78" t="n">
        <v>15</v>
      </c>
      <c r="G224" s="78"/>
      <c r="H224" s="78"/>
      <c r="I224" s="78"/>
      <c r="J224" s="78"/>
    </row>
    <row r="225" customFormat="false" ht="12.75" hidden="false" customHeight="false" outlineLevel="0" collapsed="false">
      <c r="B225" s="0" t="s">
        <v>299</v>
      </c>
      <c r="C225" s="199" t="n">
        <v>0</v>
      </c>
      <c r="D225" s="78"/>
      <c r="E225" s="78"/>
      <c r="F225" s="78" t="n">
        <v>5</v>
      </c>
      <c r="G225" s="78"/>
      <c r="H225" s="78"/>
      <c r="I225" s="78"/>
      <c r="J225" s="78"/>
    </row>
    <row r="226" customFormat="false" ht="12.75" hidden="false" customHeight="false" outlineLevel="0" collapsed="false">
      <c r="B226" s="0" t="s">
        <v>31</v>
      </c>
      <c r="C226" s="199" t="n">
        <v>0</v>
      </c>
      <c r="D226" s="78" t="s">
        <v>328</v>
      </c>
      <c r="E226" s="78"/>
      <c r="F226" s="78"/>
      <c r="G226" s="78"/>
      <c r="H226" s="78"/>
      <c r="I226" s="78"/>
      <c r="J226" s="78"/>
    </row>
    <row r="227" customFormat="false" ht="12.75" hidden="false" customHeight="false" outlineLevel="0" collapsed="false">
      <c r="B227" s="0" t="s">
        <v>317</v>
      </c>
      <c r="C227" s="199" t="n">
        <v>0</v>
      </c>
      <c r="D227" s="78"/>
      <c r="E227" s="78"/>
      <c r="F227" s="78" t="n">
        <f aca="false">SUM(F218:F226)</f>
        <v>55</v>
      </c>
      <c r="G227" s="78"/>
      <c r="H227" s="78"/>
      <c r="I227" s="78"/>
      <c r="J227" s="78"/>
    </row>
    <row r="228" customFormat="false" ht="12.75" hidden="false" customHeight="false" outlineLevel="0" collapsed="false">
      <c r="B228" s="0" t="s">
        <v>329</v>
      </c>
      <c r="C228" s="199" t="n">
        <v>0</v>
      </c>
      <c r="D228" s="78"/>
      <c r="E228" s="78"/>
      <c r="F228" s="78"/>
      <c r="G228" s="78"/>
      <c r="H228" s="78"/>
      <c r="I228" s="78"/>
      <c r="J228" s="78"/>
    </row>
    <row r="229" customFormat="false" ht="12.75" hidden="false" customHeight="false" outlineLevel="0" collapsed="false">
      <c r="B229" s="0" t="s">
        <v>330</v>
      </c>
      <c r="C229" s="217" t="n">
        <f aca="false">SUM(C213:C228)</f>
        <v>0</v>
      </c>
      <c r="D229" s="78"/>
      <c r="E229" s="78"/>
      <c r="F229" s="78"/>
      <c r="G229" s="78"/>
      <c r="H229" s="78"/>
      <c r="I229" s="78"/>
      <c r="J229" s="78"/>
    </row>
    <row r="230" customFormat="false" ht="12.75" hidden="false" customHeight="false" outlineLevel="0" collapsed="false">
      <c r="B230" s="48"/>
      <c r="C230" s="48"/>
      <c r="D230" s="78"/>
      <c r="E230" s="78"/>
      <c r="F230" s="78"/>
      <c r="G230" s="78"/>
      <c r="H230" s="78"/>
      <c r="I230" s="78"/>
      <c r="J230" s="78"/>
    </row>
    <row r="231" customFormat="false" ht="12.75" hidden="false" customHeight="false" outlineLevel="0" collapsed="false">
      <c r="B231" s="0"/>
      <c r="C231" s="0" t="n">
        <f aca="false">C209+C229</f>
        <v>421.44</v>
      </c>
      <c r="D231" s="78"/>
      <c r="F231" s="78"/>
      <c r="G231" s="78"/>
      <c r="H231" s="78"/>
      <c r="I231" s="78"/>
      <c r="J231" s="78"/>
    </row>
    <row r="232" customFormat="false" ht="12.75" hidden="false" customHeight="false" outlineLevel="0" collapsed="false">
      <c r="B232" s="0"/>
      <c r="C232" s="0"/>
      <c r="H232" s="78"/>
      <c r="I232" s="78"/>
      <c r="J232" s="78"/>
    </row>
    <row r="233" customFormat="false" ht="12.75" hidden="false" customHeight="false" outlineLevel="0" collapsed="false">
      <c r="B233" s="0"/>
      <c r="C233" s="0" t="n">
        <f aca="false">E211-C231</f>
        <v>-421.44</v>
      </c>
      <c r="I233" s="78"/>
      <c r="J233" s="78"/>
    </row>
    <row r="234" customFormat="false" ht="12.75" hidden="false" customHeight="false" outlineLevel="0" collapsed="false">
      <c r="B234" s="0"/>
      <c r="C234" s="0"/>
      <c r="I234" s="79"/>
      <c r="J234" s="78"/>
    </row>
    <row r="235" customFormat="false" ht="12.75" hidden="false" customHeight="false" outlineLevel="0" collapsed="false">
      <c r="G235" s="218" t="s">
        <v>331</v>
      </c>
      <c r="H235" s="219"/>
      <c r="I235" s="79"/>
      <c r="J235" s="78"/>
      <c r="N235" s="219"/>
      <c r="O235" s="219"/>
      <c r="P235" s="219"/>
      <c r="Q235" s="219"/>
      <c r="R235" s="219"/>
      <c r="S235" s="220"/>
    </row>
    <row r="236" customFormat="false" ht="12" hidden="false" customHeight="false" outlineLevel="0" collapsed="false">
      <c r="G236" s="221"/>
      <c r="H236" s="222" t="s">
        <v>332</v>
      </c>
      <c r="I236" s="219"/>
      <c r="J236" s="219"/>
      <c r="K236" s="219"/>
      <c r="M236" s="219"/>
      <c r="N236" s="223"/>
      <c r="O236" s="223"/>
      <c r="P236" s="223"/>
      <c r="Q236" s="223"/>
      <c r="R236" s="87"/>
      <c r="S236" s="181"/>
    </row>
    <row r="237" customFormat="false" ht="12.75" hidden="false" customHeight="false" outlineLevel="0" collapsed="false">
      <c r="B237" s="0"/>
      <c r="C237" s="225"/>
      <c r="G237" s="224"/>
      <c r="H237" s="87"/>
      <c r="I237" s="226"/>
      <c r="J237" s="227"/>
      <c r="K237" s="223"/>
      <c r="L237" s="219"/>
      <c r="M237" s="223"/>
      <c r="N237" s="87"/>
      <c r="O237" s="87"/>
      <c r="P237" s="87"/>
      <c r="Q237" s="87"/>
      <c r="R237" s="87"/>
      <c r="S237" s="184"/>
    </row>
    <row r="238" customFormat="false" ht="12.75" hidden="false" customHeight="false" outlineLevel="0" collapsed="false">
      <c r="B238" s="0"/>
      <c r="C238" s="225"/>
      <c r="G238" s="224"/>
      <c r="H238" s="87"/>
      <c r="I238" s="81" t="s">
        <v>334</v>
      </c>
      <c r="J238" s="228" t="n">
        <v>0</v>
      </c>
      <c r="K238" s="87"/>
      <c r="L238" s="223"/>
      <c r="M238" s="87"/>
      <c r="N238" s="87"/>
      <c r="O238" s="87"/>
      <c r="P238" s="87"/>
      <c r="Q238" s="87"/>
      <c r="R238" s="87"/>
      <c r="S238" s="184"/>
    </row>
    <row r="239" customFormat="false" ht="12.75" hidden="false" customHeight="false" outlineLevel="0" collapsed="false">
      <c r="B239" s="0"/>
      <c r="C239" s="225"/>
      <c r="G239" s="224"/>
      <c r="H239" s="87"/>
      <c r="I239" s="87" t="s">
        <v>335</v>
      </c>
      <c r="J239" s="214" t="n">
        <v>0</v>
      </c>
      <c r="K239" s="87"/>
      <c r="L239" s="87"/>
      <c r="M239" s="87"/>
      <c r="N239" s="87"/>
      <c r="O239" s="87"/>
      <c r="P239" s="87"/>
      <c r="Q239" s="87"/>
      <c r="R239" s="87"/>
      <c r="S239" s="184"/>
    </row>
    <row r="240" customFormat="false" ht="12.75" hidden="false" customHeight="false" outlineLevel="0" collapsed="false">
      <c r="B240" s="0"/>
      <c r="C240" s="225"/>
      <c r="G240" s="224"/>
      <c r="H240" s="87"/>
      <c r="I240" s="87" t="s">
        <v>336</v>
      </c>
      <c r="J240" s="214" t="n">
        <v>0</v>
      </c>
      <c r="K240" s="87"/>
      <c r="L240" s="87"/>
      <c r="M240" s="87"/>
      <c r="N240" s="87"/>
      <c r="O240" s="87"/>
      <c r="P240" s="87"/>
      <c r="Q240" s="87"/>
      <c r="R240" s="87"/>
      <c r="S240" s="184"/>
    </row>
    <row r="241" customFormat="false" ht="12.75" hidden="false" customHeight="false" outlineLevel="0" collapsed="false">
      <c r="B241" s="0"/>
      <c r="C241" s="225"/>
      <c r="G241" s="224"/>
      <c r="H241" s="87"/>
      <c r="I241" s="87" t="s">
        <v>337</v>
      </c>
      <c r="J241" s="214" t="n">
        <v>0</v>
      </c>
      <c r="K241" s="87"/>
      <c r="L241" s="87"/>
      <c r="M241" s="87"/>
      <c r="N241" s="87"/>
      <c r="O241" s="87"/>
      <c r="P241" s="87"/>
      <c r="Q241" s="87"/>
      <c r="R241" s="87"/>
      <c r="S241" s="184"/>
    </row>
    <row r="242" customFormat="false" ht="12.75" hidden="false" customHeight="false" outlineLevel="0" collapsed="false">
      <c r="B242" s="0"/>
      <c r="C242" s="225"/>
      <c r="G242" s="224"/>
      <c r="H242" s="87"/>
      <c r="I242" s="87" t="s">
        <v>338</v>
      </c>
      <c r="J242" s="214" t="n">
        <v>0</v>
      </c>
      <c r="K242" s="87"/>
      <c r="L242" s="87"/>
      <c r="M242" s="87"/>
      <c r="N242" s="87"/>
      <c r="O242" s="87"/>
      <c r="P242" s="87"/>
      <c r="Q242" s="87"/>
      <c r="R242" s="87"/>
      <c r="S242" s="184"/>
    </row>
    <row r="243" customFormat="false" ht="12.75" hidden="false" customHeight="false" outlineLevel="0" collapsed="false">
      <c r="B243" s="0"/>
      <c r="C243" s="225"/>
      <c r="G243" s="224"/>
      <c r="H243" s="87"/>
      <c r="I243" s="87" t="s">
        <v>339</v>
      </c>
      <c r="J243" s="214" t="n">
        <v>0</v>
      </c>
      <c r="K243" s="87"/>
      <c r="L243" s="87"/>
      <c r="M243" s="87"/>
      <c r="N243" s="87"/>
      <c r="O243" s="87"/>
      <c r="P243" s="87"/>
      <c r="Q243" s="87"/>
      <c r="R243" s="87"/>
      <c r="S243" s="184"/>
    </row>
    <row r="244" customFormat="false" ht="12.75" hidden="false" customHeight="false" outlineLevel="0" collapsed="false">
      <c r="B244" s="0"/>
      <c r="C244" s="225"/>
      <c r="G244" s="224"/>
      <c r="H244" s="87"/>
      <c r="I244" s="87" t="s">
        <v>340</v>
      </c>
      <c r="J244" s="230" t="n">
        <v>0</v>
      </c>
      <c r="K244" s="87"/>
      <c r="L244" s="87"/>
      <c r="M244" s="87"/>
      <c r="N244" s="87"/>
      <c r="O244" s="87"/>
      <c r="P244" s="87"/>
      <c r="Q244" s="87"/>
      <c r="R244" s="87"/>
      <c r="S244" s="184"/>
    </row>
    <row r="245" customFormat="false" ht="12.75" hidden="false" customHeight="false" outlineLevel="0" collapsed="false">
      <c r="B245" s="0"/>
      <c r="C245" s="225"/>
      <c r="G245" s="224"/>
      <c r="H245" s="87" t="s">
        <v>333</v>
      </c>
      <c r="I245" s="87"/>
      <c r="J245" s="214" t="n">
        <f aca="false">SUM(J238:J244)</f>
        <v>0</v>
      </c>
      <c r="K245" s="87"/>
      <c r="L245" s="87"/>
      <c r="M245" s="87"/>
      <c r="N245" s="87"/>
      <c r="O245" s="87"/>
      <c r="P245" s="87"/>
      <c r="Q245" s="87"/>
      <c r="R245" s="87"/>
      <c r="S245" s="184"/>
    </row>
    <row r="246" customFormat="false" ht="12.75" hidden="false" customHeight="false" outlineLevel="0" collapsed="false">
      <c r="B246" s="0"/>
      <c r="C246" s="225"/>
      <c r="G246" s="224"/>
      <c r="H246" s="87"/>
      <c r="I246" s="87"/>
      <c r="J246" s="214"/>
      <c r="K246" s="87"/>
      <c r="L246" s="87"/>
      <c r="M246" s="87"/>
      <c r="N246" s="87"/>
      <c r="O246" s="87"/>
      <c r="P246" s="87"/>
      <c r="Q246" s="87"/>
      <c r="R246" s="87"/>
      <c r="S246" s="184"/>
    </row>
    <row r="247" customFormat="false" ht="12.75" hidden="false" customHeight="false" outlineLevel="0" collapsed="false">
      <c r="B247" s="0"/>
      <c r="C247" s="225"/>
      <c r="G247" s="224"/>
      <c r="H247" s="87"/>
      <c r="I247" s="87" t="s">
        <v>342</v>
      </c>
      <c r="J247" s="214" t="n">
        <v>0</v>
      </c>
      <c r="K247" s="87"/>
      <c r="L247" s="87"/>
      <c r="M247" s="87"/>
      <c r="N247" s="87"/>
      <c r="O247" s="87"/>
      <c r="P247" s="87"/>
      <c r="Q247" s="87"/>
      <c r="R247" s="87"/>
      <c r="S247" s="184"/>
    </row>
    <row r="248" customFormat="false" ht="12.75" hidden="false" customHeight="false" outlineLevel="0" collapsed="false">
      <c r="B248" s="0"/>
      <c r="C248" s="225"/>
      <c r="G248" s="224"/>
      <c r="H248" s="87"/>
      <c r="I248" s="87" t="s">
        <v>344</v>
      </c>
      <c r="J248" s="214" t="n">
        <v>0</v>
      </c>
      <c r="K248" s="87"/>
      <c r="L248" s="87"/>
      <c r="M248" s="87"/>
      <c r="N248" s="87"/>
      <c r="O248" s="87"/>
      <c r="P248" s="87"/>
      <c r="Q248" s="87"/>
      <c r="R248" s="87"/>
      <c r="S248" s="184"/>
    </row>
    <row r="249" customFormat="false" ht="12.75" hidden="false" customHeight="false" outlineLevel="0" collapsed="false">
      <c r="B249" s="0"/>
      <c r="C249" s="225"/>
      <c r="G249" s="224"/>
      <c r="H249" s="87"/>
      <c r="I249" s="87" t="s">
        <v>345</v>
      </c>
      <c r="J249" s="214" t="n">
        <v>0</v>
      </c>
      <c r="K249" s="87"/>
      <c r="L249" s="87"/>
      <c r="M249" s="87"/>
      <c r="N249" s="87"/>
      <c r="O249" s="87"/>
      <c r="P249" s="87"/>
      <c r="Q249" s="87"/>
      <c r="R249" s="87"/>
      <c r="S249" s="184"/>
    </row>
    <row r="250" customFormat="false" ht="12.75" hidden="false" customHeight="false" outlineLevel="0" collapsed="false">
      <c r="B250" s="0"/>
      <c r="C250" s="225"/>
      <c r="G250" s="224"/>
      <c r="H250" s="87"/>
      <c r="I250" s="87" t="s">
        <v>346</v>
      </c>
      <c r="J250" s="214" t="n">
        <v>0</v>
      </c>
      <c r="K250" s="87"/>
      <c r="L250" s="87"/>
      <c r="M250" s="87"/>
      <c r="N250" s="87"/>
      <c r="O250" s="87"/>
      <c r="P250" s="87"/>
      <c r="Q250" s="87"/>
      <c r="R250" s="87"/>
      <c r="S250" s="184"/>
    </row>
    <row r="251" customFormat="false" ht="12.75" hidden="false" customHeight="false" outlineLevel="0" collapsed="false">
      <c r="B251" s="0"/>
      <c r="C251" s="225"/>
      <c r="G251" s="224"/>
      <c r="H251" s="87"/>
      <c r="I251" s="87" t="s">
        <v>347</v>
      </c>
      <c r="J251" s="214" t="n">
        <v>0</v>
      </c>
      <c r="K251" s="87"/>
      <c r="L251" s="87"/>
      <c r="M251" s="87"/>
      <c r="N251" s="87"/>
      <c r="O251" s="87"/>
      <c r="P251" s="87"/>
      <c r="Q251" s="87"/>
      <c r="R251" s="87"/>
      <c r="S251" s="184"/>
    </row>
    <row r="252" customFormat="false" ht="12.75" hidden="false" customHeight="false" outlineLevel="0" collapsed="false">
      <c r="B252" s="48"/>
      <c r="C252" s="229"/>
      <c r="G252" s="224"/>
      <c r="H252" s="87"/>
      <c r="I252" s="87" t="s">
        <v>350</v>
      </c>
      <c r="J252" s="214" t="n">
        <v>0</v>
      </c>
      <c r="K252" s="87"/>
      <c r="L252" s="87"/>
      <c r="M252" s="87"/>
      <c r="N252" s="87"/>
      <c r="O252" s="87"/>
      <c r="P252" s="87"/>
      <c r="Q252" s="87"/>
      <c r="R252" s="87"/>
      <c r="S252" s="184"/>
    </row>
    <row r="253" customFormat="false" ht="12.75" hidden="false" customHeight="false" outlineLevel="0" collapsed="false">
      <c r="B253" s="0"/>
      <c r="C253" s="225"/>
      <c r="G253" s="224"/>
      <c r="H253" s="87"/>
      <c r="I253" s="87" t="s">
        <v>351</v>
      </c>
      <c r="J253" s="214" t="n">
        <v>0</v>
      </c>
      <c r="K253" s="87"/>
      <c r="L253" s="87"/>
      <c r="M253" s="87"/>
      <c r="N253" s="87"/>
      <c r="O253" s="87"/>
      <c r="P253" s="87"/>
      <c r="Q253" s="87"/>
      <c r="R253" s="87"/>
      <c r="S253" s="184"/>
    </row>
    <row r="254" customFormat="false" ht="12.75" hidden="false" customHeight="false" outlineLevel="0" collapsed="false">
      <c r="B254" s="0"/>
      <c r="C254" s="225"/>
      <c r="G254" s="224"/>
      <c r="H254" s="87"/>
      <c r="I254" s="87" t="s">
        <v>354</v>
      </c>
      <c r="J254" s="214" t="n">
        <v>0</v>
      </c>
      <c r="K254" s="87"/>
      <c r="L254" s="87"/>
      <c r="M254" s="87"/>
      <c r="N254" s="87"/>
      <c r="O254" s="87"/>
      <c r="P254" s="87"/>
      <c r="Q254" s="87"/>
      <c r="R254" s="87"/>
      <c r="S254" s="184"/>
    </row>
    <row r="255" customFormat="false" ht="12.75" hidden="false" customHeight="false" outlineLevel="0" collapsed="false">
      <c r="B255" s="0"/>
      <c r="C255" s="225"/>
      <c r="G255" s="224"/>
      <c r="H255" s="87"/>
      <c r="I255" s="87" t="s">
        <v>234</v>
      </c>
      <c r="J255" s="230" t="n">
        <v>0</v>
      </c>
      <c r="K255" s="87"/>
      <c r="L255" s="87"/>
      <c r="M255" s="87"/>
      <c r="N255" s="87"/>
      <c r="O255" s="87"/>
      <c r="P255" s="87"/>
      <c r="Q255" s="87"/>
      <c r="R255" s="87"/>
      <c r="S255" s="184"/>
    </row>
    <row r="256" customFormat="false" ht="12.75" hidden="false" customHeight="false" outlineLevel="0" collapsed="false">
      <c r="B256" s="0"/>
      <c r="C256" s="225"/>
      <c r="G256" s="224"/>
      <c r="H256" s="87"/>
      <c r="I256" s="87"/>
      <c r="J256" s="214" t="n">
        <f aca="false">SUM(J245:J255)</f>
        <v>0</v>
      </c>
      <c r="K256" s="87"/>
      <c r="L256" s="87"/>
      <c r="M256" s="87"/>
      <c r="N256" s="87"/>
      <c r="O256" s="87"/>
      <c r="P256" s="87"/>
      <c r="Q256" s="87"/>
      <c r="R256" s="87"/>
      <c r="S256" s="184"/>
    </row>
    <row r="257" customFormat="false" ht="12.75" hidden="false" customHeight="false" outlineLevel="0" collapsed="false">
      <c r="B257" s="0"/>
      <c r="C257" s="225"/>
      <c r="G257" s="224"/>
      <c r="H257" s="87" t="s">
        <v>341</v>
      </c>
      <c r="I257" s="87"/>
      <c r="J257" s="214"/>
      <c r="K257" s="87"/>
      <c r="L257" s="87"/>
      <c r="M257" s="87"/>
      <c r="N257" s="87"/>
      <c r="O257" s="87"/>
      <c r="P257" s="87"/>
      <c r="Q257" s="87"/>
      <c r="R257" s="87"/>
      <c r="S257" s="184"/>
    </row>
    <row r="258" customFormat="false" ht="12.75" hidden="false" customHeight="false" outlineLevel="0" collapsed="false">
      <c r="B258" s="0"/>
      <c r="C258" s="225"/>
      <c r="G258" s="224"/>
      <c r="H258" s="87"/>
      <c r="I258" s="87"/>
      <c r="J258" s="214"/>
      <c r="K258" s="87"/>
      <c r="L258" s="87"/>
      <c r="M258" s="87"/>
      <c r="N258" s="87"/>
      <c r="O258" s="87"/>
      <c r="P258" s="87"/>
      <c r="Q258" s="87" t="s">
        <v>343</v>
      </c>
      <c r="R258" s="87"/>
      <c r="S258" s="184"/>
    </row>
    <row r="259" customFormat="false" ht="12.75" hidden="false" customHeight="false" outlineLevel="0" collapsed="false">
      <c r="B259" s="0"/>
      <c r="C259" s="225"/>
      <c r="G259" s="224"/>
      <c r="H259" s="87"/>
      <c r="I259" s="87" t="s">
        <v>356</v>
      </c>
      <c r="J259" s="233" t="n">
        <v>-862</v>
      </c>
      <c r="K259" s="87"/>
      <c r="L259" s="87"/>
      <c r="M259" s="87"/>
      <c r="N259" s="87"/>
      <c r="O259" s="87"/>
      <c r="P259" s="214" t="n">
        <v>-31732</v>
      </c>
      <c r="Q259" s="87"/>
      <c r="R259" s="87"/>
      <c r="S259" s="184"/>
    </row>
    <row r="260" customFormat="false" ht="12.75" hidden="false" customHeight="false" outlineLevel="0" collapsed="false">
      <c r="B260" s="0"/>
      <c r="C260" s="225"/>
      <c r="G260" s="224"/>
      <c r="H260" s="87"/>
      <c r="I260" s="234" t="s">
        <v>356</v>
      </c>
      <c r="J260" s="235" t="n">
        <v>-1</v>
      </c>
      <c r="K260" s="87"/>
      <c r="L260" s="87"/>
      <c r="M260" s="87"/>
      <c r="N260" s="87"/>
      <c r="O260" s="87"/>
      <c r="P260" s="214"/>
      <c r="Q260" s="87"/>
      <c r="R260" s="87"/>
      <c r="S260" s="184"/>
    </row>
    <row r="261" customFormat="false" ht="12.75" hidden="false" customHeight="false" outlineLevel="0" collapsed="false">
      <c r="B261" s="0"/>
      <c r="C261" s="225"/>
      <c r="G261" s="224"/>
      <c r="H261" s="87"/>
      <c r="I261" s="234" t="s">
        <v>357</v>
      </c>
      <c r="J261" s="235" t="n">
        <v>-1</v>
      </c>
      <c r="K261" s="87"/>
      <c r="L261" s="87"/>
      <c r="M261" s="87"/>
      <c r="N261" s="87" t="s">
        <v>348</v>
      </c>
      <c r="O261" s="87"/>
      <c r="P261" s="214"/>
      <c r="Q261" s="87" t="s">
        <v>44</v>
      </c>
      <c r="R261" s="87"/>
      <c r="S261" s="184"/>
    </row>
    <row r="262" customFormat="false" ht="12.75" hidden="false" customHeight="false" outlineLevel="0" collapsed="false">
      <c r="B262" s="0"/>
      <c r="C262" s="225"/>
      <c r="G262" s="224"/>
      <c r="H262" s="87"/>
      <c r="I262" s="160" t="s">
        <v>359</v>
      </c>
      <c r="J262" s="237" t="n">
        <v>-1500</v>
      </c>
      <c r="K262" s="87"/>
      <c r="L262" s="87"/>
      <c r="M262" s="87"/>
      <c r="N262" s="87"/>
      <c r="O262" s="87"/>
      <c r="P262" s="214" t="n">
        <f aca="false">K268</f>
        <v>-4368</v>
      </c>
      <c r="Q262" s="87" t="s">
        <v>349</v>
      </c>
      <c r="R262" s="87"/>
      <c r="S262" s="184"/>
    </row>
    <row r="263" customFormat="false" ht="12.75" hidden="false" customHeight="false" outlineLevel="0" collapsed="false">
      <c r="B263" s="0"/>
      <c r="C263" s="0"/>
      <c r="G263" s="224"/>
      <c r="H263" s="87"/>
      <c r="I263" s="234" t="s">
        <v>360</v>
      </c>
      <c r="J263" s="235" t="n">
        <v>-1</v>
      </c>
      <c r="K263" s="87"/>
      <c r="L263" s="87"/>
      <c r="M263" s="87"/>
      <c r="N263" s="87" t="s">
        <v>352</v>
      </c>
      <c r="O263" s="87"/>
      <c r="P263" s="230" t="n">
        <v>-2500</v>
      </c>
      <c r="Q263" s="87"/>
      <c r="R263" s="87"/>
      <c r="S263" s="184"/>
    </row>
    <row r="264" customFormat="false" ht="12.75" hidden="false" customHeight="false" outlineLevel="0" collapsed="false">
      <c r="B264" s="0"/>
      <c r="C264" s="0"/>
      <c r="G264" s="224"/>
      <c r="H264" s="87"/>
      <c r="I264" s="234" t="s">
        <v>361</v>
      </c>
      <c r="J264" s="235" t="n">
        <v>-1</v>
      </c>
      <c r="K264" s="87"/>
      <c r="L264" s="87"/>
      <c r="M264" s="214" t="n">
        <v>525707</v>
      </c>
      <c r="N264" s="87"/>
      <c r="O264" s="214"/>
      <c r="P264" s="87"/>
      <c r="Q264" s="87" t="s">
        <v>353</v>
      </c>
      <c r="R264" s="87"/>
      <c r="S264" s="184"/>
    </row>
    <row r="265" customFormat="false" ht="12.75" hidden="false" customHeight="false" outlineLevel="0" collapsed="false">
      <c r="B265" s="0"/>
      <c r="C265" s="0"/>
      <c r="G265" s="224"/>
      <c r="H265" s="87"/>
      <c r="I265" s="160" t="s">
        <v>362</v>
      </c>
      <c r="J265" s="237" t="n">
        <v>-1000</v>
      </c>
      <c r="K265" s="87"/>
      <c r="L265" s="87"/>
      <c r="M265" s="214"/>
      <c r="N265" s="87"/>
      <c r="O265" s="87"/>
      <c r="P265" s="214" t="n">
        <f aca="false">SUM(P259:P263)</f>
        <v>-38600</v>
      </c>
      <c r="Q265" s="87"/>
      <c r="R265" s="87"/>
      <c r="S265" s="184"/>
    </row>
    <row r="266" customFormat="false" ht="12.75" hidden="false" customHeight="false" outlineLevel="0" collapsed="false">
      <c r="B266" s="0"/>
      <c r="C266" s="0"/>
      <c r="G266" s="224"/>
      <c r="H266" s="87"/>
      <c r="I266" s="234" t="s">
        <v>363</v>
      </c>
      <c r="J266" s="235" t="n">
        <v>-1</v>
      </c>
      <c r="K266" s="87"/>
      <c r="L266" s="87"/>
      <c r="M266" s="214"/>
      <c r="N266" s="87"/>
      <c r="O266" s="87"/>
      <c r="P266" s="87"/>
      <c r="Q266" s="87"/>
      <c r="R266" s="87"/>
      <c r="S266" s="184"/>
    </row>
    <row r="267" customFormat="false" ht="12.75" hidden="false" customHeight="false" outlineLevel="0" collapsed="false">
      <c r="B267" s="0"/>
      <c r="C267" s="0"/>
      <c r="G267" s="224"/>
      <c r="H267" s="87"/>
      <c r="I267" s="160" t="s">
        <v>364</v>
      </c>
      <c r="J267" s="237" t="n">
        <v>-1000</v>
      </c>
      <c r="K267" s="87"/>
      <c r="L267" s="87"/>
      <c r="M267" s="214" t="n">
        <v>493974</v>
      </c>
      <c r="N267" s="87"/>
      <c r="O267" s="87"/>
      <c r="P267" s="232" t="n">
        <f aca="false">P265+M269</f>
        <v>-6867</v>
      </c>
      <c r="Q267" s="87"/>
      <c r="R267" s="87"/>
      <c r="S267" s="231" t="n">
        <f aca="false">22000+P267</f>
        <v>15133</v>
      </c>
    </row>
    <row r="268" customFormat="false" ht="12.75" hidden="false" customHeight="false" outlineLevel="0" collapsed="false">
      <c r="B268" s="48"/>
      <c r="C268" s="48"/>
      <c r="G268" s="224"/>
      <c r="H268" s="87"/>
      <c r="I268" s="234" t="s">
        <v>365</v>
      </c>
      <c r="J268" s="235" t="n">
        <v>-1</v>
      </c>
      <c r="K268" s="232" t="n">
        <f aca="false">SUM(J259:J268)</f>
        <v>-4368</v>
      </c>
      <c r="L268" s="87"/>
      <c r="M268" s="214"/>
      <c r="N268" s="87"/>
      <c r="O268" s="87"/>
      <c r="P268" s="87"/>
      <c r="Q268" s="87"/>
      <c r="R268" s="87"/>
      <c r="S268" s="184"/>
    </row>
    <row r="269" customFormat="false" ht="12.75" hidden="false" customHeight="false" outlineLevel="0" collapsed="false">
      <c r="B269" s="0"/>
      <c r="C269" s="0"/>
      <c r="G269" s="224"/>
      <c r="H269" s="87"/>
      <c r="I269" s="87" t="s">
        <v>366</v>
      </c>
      <c r="J269" s="230" t="n">
        <f aca="false">-M269-K268</f>
        <v>-27365</v>
      </c>
      <c r="K269" s="232"/>
      <c r="L269" s="87"/>
      <c r="M269" s="214" t="n">
        <f aca="false">M264-M267</f>
        <v>31733</v>
      </c>
      <c r="N269" s="87"/>
      <c r="O269" s="87"/>
      <c r="P269" s="87"/>
      <c r="Q269" s="87"/>
      <c r="R269" s="87"/>
      <c r="S269" s="184"/>
    </row>
    <row r="270" customFormat="false" ht="12.75" hidden="false" customHeight="false" outlineLevel="0" collapsed="false">
      <c r="B270" s="0"/>
      <c r="C270" s="0"/>
      <c r="G270" s="224"/>
      <c r="H270" s="87" t="s">
        <v>355</v>
      </c>
      <c r="I270" s="87"/>
      <c r="J270" s="214" t="n">
        <f aca="false">SUM(J256:J269)</f>
        <v>-31733</v>
      </c>
      <c r="K270" s="87"/>
      <c r="L270" s="87"/>
      <c r="M270" s="87"/>
      <c r="N270" s="87"/>
      <c r="O270" s="87"/>
      <c r="P270" s="87"/>
      <c r="Q270" s="87"/>
      <c r="R270" s="87"/>
      <c r="S270" s="184"/>
    </row>
    <row r="271" customFormat="false" ht="12.75" hidden="false" customHeight="false" outlineLevel="0" collapsed="false">
      <c r="B271" s="0"/>
      <c r="C271" s="0"/>
      <c r="G271" s="224"/>
      <c r="H271" s="87"/>
      <c r="I271" s="87"/>
      <c r="J271" s="214"/>
      <c r="K271" s="87"/>
      <c r="L271" s="87"/>
      <c r="M271" s="87"/>
      <c r="N271" s="87"/>
      <c r="O271" s="87"/>
      <c r="P271" s="87"/>
      <c r="Q271" s="87"/>
      <c r="R271" s="87"/>
      <c r="S271" s="184"/>
    </row>
    <row r="272" customFormat="false" ht="12.75" hidden="false" customHeight="false" outlineLevel="0" collapsed="false">
      <c r="B272" s="0"/>
      <c r="C272" s="0"/>
      <c r="G272" s="224"/>
      <c r="H272" s="87"/>
      <c r="I272" s="87" t="s">
        <v>367</v>
      </c>
      <c r="J272" s="214" t="n">
        <v>3915</v>
      </c>
      <c r="K272" s="87"/>
      <c r="L272" s="87"/>
      <c r="M272" s="232" t="n">
        <f aca="false">M269+K268</f>
        <v>27365</v>
      </c>
      <c r="N272" s="87"/>
      <c r="O272" s="87"/>
      <c r="P272" s="87"/>
      <c r="Q272" s="87"/>
      <c r="R272" s="87"/>
      <c r="S272" s="184"/>
    </row>
    <row r="273" customFormat="false" ht="12.75" hidden="false" customHeight="false" outlineLevel="0" collapsed="false">
      <c r="B273" s="0"/>
      <c r="C273" s="0"/>
      <c r="G273" s="224"/>
      <c r="H273" s="236" t="s">
        <v>358</v>
      </c>
      <c r="I273" s="87"/>
      <c r="J273" s="214"/>
      <c r="K273" s="87"/>
      <c r="L273" s="87"/>
      <c r="M273" s="232"/>
      <c r="N273" s="87"/>
      <c r="O273" s="87"/>
      <c r="P273" s="87"/>
      <c r="Q273" s="87"/>
      <c r="R273" s="87"/>
      <c r="S273" s="184"/>
    </row>
    <row r="274" customFormat="false" ht="13.5" hidden="false" customHeight="false" outlineLevel="0" collapsed="false">
      <c r="B274" s="48"/>
      <c r="C274" s="48"/>
      <c r="G274" s="238"/>
      <c r="H274" s="239"/>
      <c r="I274" s="87"/>
      <c r="J274" s="240" t="n">
        <f aca="false">SUM(J270:J273)</f>
        <v>-27818</v>
      </c>
      <c r="K274" s="87"/>
      <c r="L274" s="87"/>
      <c r="M274" s="232"/>
      <c r="N274" s="239"/>
      <c r="O274" s="239"/>
      <c r="P274" s="239"/>
      <c r="Q274" s="239"/>
      <c r="R274" s="239"/>
      <c r="S274" s="174"/>
    </row>
    <row r="275" customFormat="false" ht="13.5" hidden="false" customHeight="false" outlineLevel="0" collapsed="false">
      <c r="B275" s="0"/>
      <c r="C275" s="0"/>
      <c r="I275" s="239"/>
      <c r="J275" s="230"/>
      <c r="K275" s="239"/>
      <c r="L275" s="87"/>
      <c r="M275" s="239"/>
      <c r="S275" s="174"/>
    </row>
    <row r="276" customFormat="false" ht="12.75" hidden="false" customHeight="false" outlineLevel="0" collapsed="false">
      <c r="B276" s="79"/>
      <c r="C276" s="79"/>
      <c r="J276" s="214"/>
      <c r="L276" s="239"/>
      <c r="M276" s="87"/>
    </row>
    <row r="277" customFormat="false" ht="12.75" hidden="false" customHeight="false" outlineLevel="0" collapsed="false">
      <c r="B277" s="0"/>
      <c r="C277" s="0"/>
      <c r="J277" s="214"/>
      <c r="L277" s="87"/>
      <c r="M277" s="87"/>
    </row>
    <row r="278" customFormat="false" ht="12.75" hidden="false" customHeight="false" outlineLevel="0" collapsed="false">
      <c r="B278" s="0"/>
      <c r="C278" s="0"/>
      <c r="J278" s="214" t="n">
        <f aca="false">551878-11621</f>
        <v>540257</v>
      </c>
      <c r="L278" s="87"/>
      <c r="M278" s="87"/>
    </row>
    <row r="279" customFormat="false" ht="12.75" hidden="false" customHeight="false" outlineLevel="0" collapsed="false">
      <c r="B279" s="0"/>
      <c r="C279" s="0"/>
      <c r="J279" s="214"/>
      <c r="L279" s="87"/>
      <c r="M279" s="87"/>
    </row>
    <row r="280" customFormat="false" ht="12.75" hidden="false" customHeight="false" outlineLevel="0" collapsed="false">
      <c r="B280" s="0"/>
      <c r="C280" s="0"/>
      <c r="J280" s="214"/>
      <c r="L280" s="87"/>
    </row>
    <row r="281" customFormat="false" ht="12.75" hidden="false" customHeight="false" outlineLevel="0" collapsed="false">
      <c r="B281" s="0"/>
      <c r="C281" s="0"/>
      <c r="J281" s="214"/>
      <c r="L281" s="87"/>
    </row>
    <row r="282" customFormat="false" ht="12.75" hidden="false" customHeight="false" outlineLevel="0" collapsed="false">
      <c r="B282" s="0"/>
      <c r="C282" s="0"/>
      <c r="J282" s="214"/>
    </row>
    <row r="283" customFormat="false" ht="12.75" hidden="false" customHeight="false" outlineLevel="0" collapsed="false">
      <c r="B283" s="0"/>
      <c r="C283" s="0"/>
      <c r="J283" s="214"/>
    </row>
    <row r="284" customFormat="false" ht="12.75" hidden="false" customHeight="false" outlineLevel="0" collapsed="false">
      <c r="B284" s="0"/>
      <c r="C284" s="0"/>
      <c r="J284" s="214"/>
    </row>
    <row r="285" customFormat="false" ht="12.75" hidden="false" customHeight="false" outlineLevel="0" collapsed="false">
      <c r="B285" s="0"/>
      <c r="C285" s="0"/>
      <c r="J285" s="214"/>
    </row>
    <row r="286" customFormat="false" ht="12.75" hidden="false" customHeight="false" outlineLevel="0" collapsed="false">
      <c r="B286" s="0"/>
      <c r="C286" s="0"/>
      <c r="J286" s="214"/>
    </row>
    <row r="287" customFormat="false" ht="12.75" hidden="false" customHeight="false" outlineLevel="0" collapsed="false">
      <c r="B287" s="0"/>
      <c r="C287" s="0"/>
      <c r="J287" s="214"/>
    </row>
    <row r="288" customFormat="false" ht="12.75" hidden="false" customHeight="false" outlineLevel="0" collapsed="false">
      <c r="B288" s="0"/>
      <c r="C288" s="0"/>
      <c r="J288" s="214"/>
    </row>
    <row r="289" customFormat="false" ht="12.75" hidden="false" customHeight="false" outlineLevel="0" collapsed="false">
      <c r="B289" s="0"/>
      <c r="C289" s="0"/>
      <c r="J289" s="214"/>
    </row>
    <row r="290" customFormat="false" ht="12.75" hidden="false" customHeight="false" outlineLevel="0" collapsed="false">
      <c r="B290" s="0"/>
      <c r="C290" s="0"/>
      <c r="J290" s="214"/>
    </row>
    <row r="291" customFormat="false" ht="12.75" hidden="false" customHeight="false" outlineLevel="0" collapsed="false">
      <c r="B291" s="0"/>
      <c r="C291" s="0"/>
      <c r="J291" s="214"/>
    </row>
    <row r="292" customFormat="false" ht="12.75" hidden="false" customHeight="false" outlineLevel="0" collapsed="false">
      <c r="B292" s="0"/>
      <c r="C292" s="0"/>
      <c r="J292" s="214"/>
    </row>
    <row r="293" customFormat="false" ht="12.75" hidden="false" customHeight="false" outlineLevel="0" collapsed="false">
      <c r="B293" s="0"/>
      <c r="C293" s="0"/>
      <c r="J293" s="214"/>
    </row>
    <row r="294" customFormat="false" ht="12.75" hidden="false" customHeight="false" outlineLevel="0" collapsed="false">
      <c r="B294" s="241"/>
      <c r="C294" s="241"/>
      <c r="J294" s="214"/>
    </row>
    <row r="295" customFormat="false" ht="12.75" hidden="false" customHeight="false" outlineLevel="0" collapsed="false">
      <c r="B295" s="241"/>
      <c r="C295" s="241"/>
      <c r="J295" s="214"/>
    </row>
    <row r="296" customFormat="false" ht="12.75" hidden="false" customHeight="false" outlineLevel="0" collapsed="false">
      <c r="B296" s="0"/>
      <c r="C296" s="0"/>
      <c r="J296" s="214"/>
    </row>
    <row r="297" customFormat="false" ht="12.75" hidden="false" customHeight="false" outlineLevel="0" collapsed="false">
      <c r="B297" s="0"/>
      <c r="C297" s="0"/>
      <c r="J297" s="214"/>
    </row>
    <row r="298" customFormat="false" ht="12" hidden="false" customHeight="false" outlineLevel="0" collapsed="false">
      <c r="J298" s="214"/>
    </row>
    <row r="299" customFormat="false" ht="12" hidden="false" customHeight="false" outlineLevel="0" collapsed="false">
      <c r="J299" s="214"/>
    </row>
    <row r="300" customFormat="false" ht="12" hidden="false" customHeight="false" outlineLevel="0" collapsed="false">
      <c r="J300" s="214"/>
    </row>
    <row r="301" customFormat="false" ht="12" hidden="false" customHeight="false" outlineLevel="0" collapsed="false">
      <c r="J301" s="214"/>
    </row>
    <row r="302" customFormat="false" ht="12" hidden="false" customHeight="false" outlineLevel="0" collapsed="false">
      <c r="J302" s="214"/>
    </row>
    <row r="303" customFormat="false" ht="12" hidden="false" customHeight="false" outlineLevel="0" collapsed="false">
      <c r="J303" s="214"/>
    </row>
    <row r="304" customFormat="false" ht="12" hidden="false" customHeight="false" outlineLevel="0" collapsed="false">
      <c r="J304" s="214"/>
    </row>
    <row r="305" customFormat="false" ht="12" hidden="false" customHeight="false" outlineLevel="0" collapsed="false">
      <c r="J305" s="214"/>
    </row>
    <row r="306" customFormat="false" ht="12" hidden="false" customHeight="false" outlineLevel="0" collapsed="false">
      <c r="J306" s="214"/>
    </row>
    <row r="307" customFormat="false" ht="12" hidden="false" customHeight="false" outlineLevel="0" collapsed="false">
      <c r="J307" s="214"/>
    </row>
    <row r="308" customFormat="false" ht="12" hidden="false" customHeight="false" outlineLevel="0" collapsed="false">
      <c r="J308" s="214"/>
    </row>
    <row r="309" customFormat="false" ht="12" hidden="false" customHeight="false" outlineLevel="0" collapsed="false">
      <c r="J309" s="214"/>
    </row>
    <row r="310" customFormat="false" ht="12" hidden="false" customHeight="false" outlineLevel="0" collapsed="false">
      <c r="J310" s="214"/>
    </row>
    <row r="311" customFormat="false" ht="12" hidden="false" customHeight="false" outlineLevel="0" collapsed="false">
      <c r="J311" s="214"/>
    </row>
    <row r="312" customFormat="false" ht="12" hidden="false" customHeight="false" outlineLevel="0" collapsed="false">
      <c r="J312" s="214"/>
    </row>
    <row r="313" customFormat="false" ht="12" hidden="false" customHeight="false" outlineLevel="0" collapsed="false">
      <c r="J313" s="214"/>
    </row>
    <row r="314" customFormat="false" ht="12" hidden="false" customHeight="false" outlineLevel="0" collapsed="false">
      <c r="J314" s="214"/>
    </row>
    <row r="315" customFormat="false" ht="12" hidden="false" customHeight="false" outlineLevel="0" collapsed="false">
      <c r="J315" s="214"/>
    </row>
    <row r="316" customFormat="false" ht="12" hidden="false" customHeight="false" outlineLevel="0" collapsed="false">
      <c r="J316" s="214"/>
    </row>
    <row r="317" customFormat="false" ht="12" hidden="false" customHeight="false" outlineLevel="0" collapsed="false">
      <c r="J317" s="214"/>
    </row>
    <row r="318" customFormat="false" ht="12" hidden="false" customHeight="false" outlineLevel="0" collapsed="false">
      <c r="J318" s="214"/>
    </row>
    <row r="319" customFormat="false" ht="12" hidden="false" customHeight="false" outlineLevel="0" collapsed="false">
      <c r="J319" s="214"/>
    </row>
    <row r="320" customFormat="false" ht="12" hidden="false" customHeight="false" outlineLevel="0" collapsed="false">
      <c r="J320" s="214"/>
    </row>
    <row r="321" customFormat="false" ht="12" hidden="false" customHeight="false" outlineLevel="0" collapsed="false">
      <c r="J321" s="214"/>
    </row>
    <row r="322" customFormat="false" ht="12" hidden="false" customHeight="false" outlineLevel="0" collapsed="false">
      <c r="J322" s="214"/>
    </row>
    <row r="323" customFormat="false" ht="12" hidden="false" customHeight="false" outlineLevel="0" collapsed="false">
      <c r="J323" s="214"/>
    </row>
    <row r="324" customFormat="false" ht="12" hidden="false" customHeight="false" outlineLevel="0" collapsed="false">
      <c r="J324" s="214"/>
    </row>
    <row r="325" customFormat="false" ht="12" hidden="false" customHeight="false" outlineLevel="0" collapsed="false">
      <c r="J325" s="214"/>
    </row>
    <row r="326" customFormat="false" ht="12" hidden="false" customHeight="false" outlineLevel="0" collapsed="false">
      <c r="J326" s="214"/>
    </row>
    <row r="327" customFormat="false" ht="12" hidden="false" customHeight="false" outlineLevel="0" collapsed="false">
      <c r="J327" s="214"/>
    </row>
    <row r="328" customFormat="false" ht="12" hidden="false" customHeight="false" outlineLevel="0" collapsed="false">
      <c r="J328" s="214"/>
    </row>
    <row r="329" customFormat="false" ht="12" hidden="false" customHeight="false" outlineLevel="0" collapsed="false">
      <c r="J329" s="214"/>
    </row>
    <row r="330" customFormat="false" ht="12" hidden="false" customHeight="false" outlineLevel="0" collapsed="false">
      <c r="J330" s="214"/>
    </row>
    <row r="331" customFormat="false" ht="12" hidden="false" customHeight="false" outlineLevel="0" collapsed="false">
      <c r="J331" s="214"/>
    </row>
    <row r="332" customFormat="false" ht="12" hidden="false" customHeight="false" outlineLevel="0" collapsed="false">
      <c r="J332" s="214"/>
    </row>
    <row r="333" customFormat="false" ht="12" hidden="false" customHeight="false" outlineLevel="0" collapsed="false">
      <c r="J333" s="214"/>
    </row>
    <row r="334" customFormat="false" ht="12" hidden="false" customHeight="false" outlineLevel="0" collapsed="false">
      <c r="J334" s="214"/>
    </row>
    <row r="335" customFormat="false" ht="12" hidden="false" customHeight="false" outlineLevel="0" collapsed="false">
      <c r="J335" s="214"/>
    </row>
    <row r="336" customFormat="false" ht="12" hidden="false" customHeight="false" outlineLevel="0" collapsed="false">
      <c r="J336" s="214"/>
    </row>
    <row r="337" customFormat="false" ht="12" hidden="false" customHeight="false" outlineLevel="0" collapsed="false">
      <c r="J337" s="214"/>
    </row>
    <row r="338" customFormat="false" ht="12" hidden="false" customHeight="false" outlineLevel="0" collapsed="false">
      <c r="J338" s="214"/>
    </row>
    <row r="339" customFormat="false" ht="12" hidden="false" customHeight="false" outlineLevel="0" collapsed="false">
      <c r="J339" s="214"/>
    </row>
    <row r="340" customFormat="false" ht="12" hidden="false" customHeight="false" outlineLevel="0" collapsed="false">
      <c r="J340" s="214"/>
    </row>
    <row r="341" customFormat="false" ht="12" hidden="false" customHeight="false" outlineLevel="0" collapsed="false">
      <c r="J341" s="214"/>
    </row>
    <row r="342" customFormat="false" ht="12" hidden="false" customHeight="false" outlineLevel="0" collapsed="false">
      <c r="J342" s="214"/>
    </row>
    <row r="343" customFormat="false" ht="12" hidden="false" customHeight="false" outlineLevel="0" collapsed="false">
      <c r="J343" s="214"/>
    </row>
    <row r="344" customFormat="false" ht="12" hidden="false" customHeight="false" outlineLevel="0" collapsed="false">
      <c r="J344" s="214"/>
    </row>
    <row r="345" customFormat="false" ht="12" hidden="false" customHeight="false" outlineLevel="0" collapsed="false">
      <c r="J345" s="214"/>
    </row>
    <row r="346" customFormat="false" ht="12" hidden="false" customHeight="false" outlineLevel="0" collapsed="false">
      <c r="J346" s="214"/>
    </row>
    <row r="347" customFormat="false" ht="12" hidden="false" customHeight="false" outlineLevel="0" collapsed="false">
      <c r="J347" s="214"/>
    </row>
    <row r="348" customFormat="false" ht="12" hidden="false" customHeight="false" outlineLevel="0" collapsed="false">
      <c r="J348" s="214"/>
    </row>
    <row r="349" customFormat="false" ht="12" hidden="false" customHeight="false" outlineLevel="0" collapsed="false">
      <c r="J349" s="214"/>
    </row>
    <row r="350" customFormat="false" ht="12" hidden="false" customHeight="false" outlineLevel="0" collapsed="false">
      <c r="J350" s="214"/>
    </row>
    <row r="351" customFormat="false" ht="12" hidden="false" customHeight="false" outlineLevel="0" collapsed="false">
      <c r="J351" s="214"/>
    </row>
    <row r="352" customFormat="false" ht="12" hidden="false" customHeight="false" outlineLevel="0" collapsed="false">
      <c r="J352" s="214"/>
    </row>
    <row r="353" customFormat="false" ht="12" hidden="false" customHeight="false" outlineLevel="0" collapsed="false">
      <c r="J353" s="214"/>
    </row>
    <row r="354" customFormat="false" ht="12" hidden="false" customHeight="false" outlineLevel="0" collapsed="false">
      <c r="J354" s="214"/>
    </row>
    <row r="355" customFormat="false" ht="12" hidden="false" customHeight="false" outlineLevel="0" collapsed="false">
      <c r="J355" s="214"/>
    </row>
    <row r="356" customFormat="false" ht="12" hidden="false" customHeight="false" outlineLevel="0" collapsed="false">
      <c r="J356" s="214"/>
    </row>
    <row r="357" customFormat="false" ht="12" hidden="false" customHeight="false" outlineLevel="0" collapsed="false">
      <c r="J357" s="214"/>
    </row>
    <row r="358" customFormat="false" ht="12" hidden="false" customHeight="false" outlineLevel="0" collapsed="false">
      <c r="J358" s="214"/>
    </row>
    <row r="359" customFormat="false" ht="12" hidden="false" customHeight="false" outlineLevel="0" collapsed="false">
      <c r="J359" s="214"/>
    </row>
    <row r="360" customFormat="false" ht="12" hidden="false" customHeight="false" outlineLevel="0" collapsed="false">
      <c r="J360" s="214"/>
    </row>
    <row r="361" customFormat="false" ht="12" hidden="false" customHeight="false" outlineLevel="0" collapsed="false">
      <c r="J361" s="214"/>
    </row>
    <row r="362" customFormat="false" ht="12" hidden="false" customHeight="false" outlineLevel="0" collapsed="false">
      <c r="J362" s="214"/>
    </row>
    <row r="363" customFormat="false" ht="12" hidden="false" customHeight="false" outlineLevel="0" collapsed="false">
      <c r="J363" s="214"/>
    </row>
    <row r="364" customFormat="false" ht="12" hidden="false" customHeight="false" outlineLevel="0" collapsed="false">
      <c r="J364" s="214"/>
    </row>
    <row r="365" customFormat="false" ht="12" hidden="false" customHeight="false" outlineLevel="0" collapsed="false">
      <c r="J365" s="214"/>
    </row>
    <row r="366" customFormat="false" ht="12" hidden="false" customHeight="false" outlineLevel="0" collapsed="false">
      <c r="J366" s="214"/>
    </row>
    <row r="367" customFormat="false" ht="12" hidden="false" customHeight="false" outlineLevel="0" collapsed="false">
      <c r="J367" s="214"/>
    </row>
    <row r="368" customFormat="false" ht="12" hidden="false" customHeight="false" outlineLevel="0" collapsed="false">
      <c r="J368" s="214"/>
    </row>
    <row r="369" customFormat="false" ht="12" hidden="false" customHeight="false" outlineLevel="0" collapsed="false">
      <c r="J369" s="214"/>
    </row>
    <row r="370" customFormat="false" ht="12" hidden="false" customHeight="false" outlineLevel="0" collapsed="false">
      <c r="J370" s="214"/>
    </row>
    <row r="371" customFormat="false" ht="12" hidden="false" customHeight="false" outlineLevel="0" collapsed="false">
      <c r="J371" s="214"/>
    </row>
    <row r="372" customFormat="false" ht="12" hidden="false" customHeight="false" outlineLevel="0" collapsed="false">
      <c r="J372" s="214"/>
    </row>
    <row r="373" customFormat="false" ht="12" hidden="false" customHeight="false" outlineLevel="0" collapsed="false">
      <c r="J373" s="214"/>
    </row>
    <row r="374" customFormat="false" ht="12" hidden="false" customHeight="false" outlineLevel="0" collapsed="false">
      <c r="J374" s="214"/>
    </row>
    <row r="375" customFormat="false" ht="12" hidden="false" customHeight="false" outlineLevel="0" collapsed="false">
      <c r="J375" s="214"/>
    </row>
    <row r="376" customFormat="false" ht="12" hidden="false" customHeight="false" outlineLevel="0" collapsed="false">
      <c r="J376" s="214"/>
    </row>
    <row r="377" customFormat="false" ht="12" hidden="false" customHeight="false" outlineLevel="0" collapsed="false">
      <c r="J377" s="214"/>
    </row>
    <row r="378" customFormat="false" ht="12" hidden="false" customHeight="false" outlineLevel="0" collapsed="false">
      <c r="J378" s="214"/>
    </row>
  </sheetData>
  <mergeCells count="22">
    <mergeCell ref="A1:H1"/>
    <mergeCell ref="K6:L6"/>
    <mergeCell ref="A31:D31"/>
    <mergeCell ref="E31:H31"/>
    <mergeCell ref="I31:J31"/>
    <mergeCell ref="E32:F32"/>
    <mergeCell ref="G32:H32"/>
    <mergeCell ref="I36:J36"/>
    <mergeCell ref="A37:D37"/>
    <mergeCell ref="I43:J43"/>
    <mergeCell ref="A46:D46"/>
    <mergeCell ref="G46:L46"/>
    <mergeCell ref="A47:B47"/>
    <mergeCell ref="C47:D47"/>
    <mergeCell ref="E47:F47"/>
    <mergeCell ref="I47:J47"/>
    <mergeCell ref="K47:L47"/>
    <mergeCell ref="E59:F59"/>
    <mergeCell ref="K59:L59"/>
    <mergeCell ref="E67:F67"/>
    <mergeCell ref="K67:L67"/>
    <mergeCell ref="A128:C128"/>
  </mergeCells>
  <printOptions headings="false" gridLines="false" gridLinesSet="true" horizontalCentered="true" verticalCentered="true"/>
  <pageMargins left="0.25" right="0.25" top="0.75" bottom="0.25" header="0.511811023622047" footer="0.2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&amp;L&amp;8Tx Desk Logistics - Daren Farmer&amp;R&amp;8&amp;D
&amp;T</oddFoot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384"/>
  <sheetViews>
    <sheetView showFormulas="false" showGridLines="false" showRowColHeaders="true" showZeros="true" rightToLeft="false" tabSelected="false" showOutlineSymbols="true" defaultGridColor="true" view="normal" topLeftCell="A3" colorId="64" zoomScale="80" zoomScaleNormal="80" zoomScalePageLayoutView="100" workbookViewId="0">
      <selection pane="topLeft" activeCell="D25" activeCellId="0" sqref="D25"/>
    </sheetView>
  </sheetViews>
  <sheetFormatPr defaultColWidth="9.13671875" defaultRowHeight="12" customHeight="true" zeroHeight="false" outlineLevelRow="0" outlineLevelCol="0"/>
  <cols>
    <col collapsed="false" customWidth="true" hidden="false" outlineLevel="0" max="2" min="1" style="1" width="12.14"/>
    <col collapsed="false" customWidth="true" hidden="false" outlineLevel="0" max="3" min="3" style="1" width="11.28"/>
    <col collapsed="false" customWidth="true" hidden="false" outlineLevel="0" max="4" min="4" style="1" width="11.85"/>
    <col collapsed="false" customWidth="true" hidden="false" outlineLevel="0" max="5" min="5" style="1" width="11.56"/>
    <col collapsed="false" customWidth="true" hidden="false" outlineLevel="0" max="6" min="6" style="1" width="11.7"/>
    <col collapsed="false" customWidth="true" hidden="false" outlineLevel="0" max="7" min="7" style="1" width="11.85"/>
    <col collapsed="false" customWidth="true" hidden="false" outlineLevel="0" max="8" min="8" style="1" width="11.7"/>
    <col collapsed="false" customWidth="true" hidden="false" outlineLevel="0" max="9" min="9" style="1" width="11.85"/>
    <col collapsed="false" customWidth="true" hidden="false" outlineLevel="0" max="10" min="10" style="1" width="8.85"/>
    <col collapsed="false" customWidth="true" hidden="false" outlineLevel="0" max="11" min="11" style="1" width="11.85"/>
    <col collapsed="false" customWidth="false" hidden="false" outlineLevel="0" max="12" min="12" style="1" width="9.14"/>
    <col collapsed="false" customWidth="true" hidden="false" outlineLevel="0" max="13" min="13" style="1" width="10.99"/>
    <col collapsed="false" customWidth="false" hidden="false" outlineLevel="0" max="14" min="14" style="1" width="9.14"/>
    <col collapsed="false" customWidth="true" hidden="false" outlineLevel="0" max="15" min="15" style="1" width="5.56"/>
    <col collapsed="false" customWidth="false" hidden="false" outlineLevel="0" max="257" min="16" style="1" width="9.14"/>
  </cols>
  <sheetData>
    <row r="1" customFormat="false" ht="16.5" hidden="false" customHeight="fals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  <c r="IP1" s="3"/>
      <c r="IQ1" s="3"/>
      <c r="IR1" s="3"/>
      <c r="IS1" s="3"/>
      <c r="IT1" s="3"/>
      <c r="IU1" s="3"/>
      <c r="IV1" s="3"/>
      <c r="IW1" s="3"/>
    </row>
    <row r="2" customFormat="false" ht="12.75" hidden="false" customHeight="false" outlineLevel="0" collapsed="false">
      <c r="A2" s="4"/>
      <c r="B2" s="5"/>
      <c r="C2" s="5"/>
      <c r="D2" s="6"/>
      <c r="E2" s="6"/>
      <c r="F2" s="6"/>
      <c r="G2" s="5"/>
      <c r="H2" s="7"/>
    </row>
    <row r="3" customFormat="false" ht="13.5" hidden="false" customHeight="false" outlineLevel="0" collapsed="false">
      <c r="A3" s="8"/>
      <c r="B3" s="9"/>
      <c r="C3" s="10"/>
      <c r="D3" s="6"/>
      <c r="E3" s="10"/>
      <c r="F3" s="10"/>
      <c r="G3" s="10"/>
      <c r="H3" s="7"/>
    </row>
    <row r="4" customFormat="false" ht="12.75" hidden="false" customHeight="false" outlineLevel="0" collapsed="false">
      <c r="A4" s="11"/>
      <c r="B4" s="5"/>
      <c r="C4" s="5"/>
      <c r="D4" s="12" t="s">
        <v>479</v>
      </c>
      <c r="E4" s="13"/>
      <c r="F4" s="13"/>
      <c r="G4" s="14"/>
      <c r="H4" s="15"/>
      <c r="L4" s="0"/>
    </row>
    <row r="5" customFormat="false" ht="13.5" hidden="false" customHeight="false" outlineLevel="0" collapsed="false">
      <c r="A5" s="16"/>
      <c r="B5" s="6"/>
      <c r="C5" s="6"/>
      <c r="D5" s="17" t="s">
        <v>2</v>
      </c>
      <c r="E5" s="18" t="s">
        <v>443</v>
      </c>
      <c r="F5" s="18" t="str">
        <f aca="false">D4</f>
        <v>May</v>
      </c>
      <c r="G5" s="19" t="str">
        <f aca="false">+F5</f>
        <v>May</v>
      </c>
      <c r="H5" s="20" t="str">
        <f aca="false">+F5</f>
        <v>May</v>
      </c>
      <c r="L5" s="0"/>
    </row>
    <row r="6" customFormat="false" ht="13.5" hidden="false" customHeight="false" outlineLevel="0" collapsed="false">
      <c r="A6" s="16"/>
      <c r="B6" s="6"/>
      <c r="C6" s="6"/>
      <c r="D6" s="21" t="s">
        <v>4</v>
      </c>
      <c r="E6" s="22" t="s">
        <v>2</v>
      </c>
      <c r="F6" s="22" t="n">
        <v>99</v>
      </c>
      <c r="G6" s="23" t="s">
        <v>5</v>
      </c>
      <c r="H6" s="24" t="s">
        <v>6</v>
      </c>
      <c r="I6" s="25"/>
      <c r="K6" s="26" t="s">
        <v>7</v>
      </c>
      <c r="L6" s="26"/>
    </row>
    <row r="7" customFormat="false" ht="12.75" hidden="false" customHeight="false" outlineLevel="0" collapsed="false">
      <c r="A7" s="27" t="s">
        <v>8</v>
      </c>
      <c r="B7" s="6"/>
      <c r="D7" s="28" t="n">
        <f aca="false">C214+C234</f>
        <v>462.186</v>
      </c>
      <c r="E7" s="29" t="n">
        <f aca="false">(20280.525*0.75)/22-E11-E12</f>
        <v>487.565534090909</v>
      </c>
      <c r="F7" s="28" t="n">
        <v>600</v>
      </c>
      <c r="G7" s="30" t="n">
        <f aca="false">D7*1.1</f>
        <v>508.4046</v>
      </c>
      <c r="H7" s="31" t="n">
        <f aca="false">D7*0.9</f>
        <v>415.9674</v>
      </c>
      <c r="I7" s="32"/>
      <c r="K7" s="33" t="s">
        <v>9</v>
      </c>
      <c r="L7" s="34" t="n">
        <f aca="false">C139</f>
        <v>13</v>
      </c>
      <c r="N7" s="0"/>
      <c r="O7" s="0"/>
    </row>
    <row r="8" customFormat="false" ht="12.75" hidden="false" customHeight="false" outlineLevel="0" collapsed="false">
      <c r="A8" s="27" t="s">
        <v>480</v>
      </c>
      <c r="B8" s="6"/>
      <c r="C8" s="35"/>
      <c r="D8" s="348" t="n">
        <f aca="false">73+85</f>
        <v>158</v>
      </c>
      <c r="E8" s="29" t="n">
        <f aca="false">(1538.234/22)+(1841.558/22)</f>
        <v>153.626909090909</v>
      </c>
      <c r="F8" s="37" t="n">
        <v>109.3</v>
      </c>
      <c r="G8" s="38" t="n">
        <f aca="false">73+105</f>
        <v>178</v>
      </c>
      <c r="H8" s="31" t="n">
        <f aca="false">65.7+60</f>
        <v>125.7</v>
      </c>
      <c r="I8" s="25"/>
      <c r="K8" s="39" t="s">
        <v>11</v>
      </c>
      <c r="L8" s="40" t="n">
        <f aca="false">C140+C218</f>
        <v>0</v>
      </c>
      <c r="N8" s="0"/>
      <c r="O8" s="0"/>
    </row>
    <row r="9" customFormat="false" ht="12.75" hidden="false" customHeight="false" outlineLevel="0" collapsed="false">
      <c r="A9" s="27" t="s">
        <v>12</v>
      </c>
      <c r="B9" s="6"/>
      <c r="C9" s="6"/>
      <c r="D9" s="348" t="n">
        <v>25</v>
      </c>
      <c r="E9" s="29" t="n">
        <f aca="false">(529.546-8.263)/19</f>
        <v>27.4359473684211</v>
      </c>
      <c r="F9" s="37" t="n">
        <v>33</v>
      </c>
      <c r="G9" s="38" t="n">
        <v>60</v>
      </c>
      <c r="H9" s="31" t="n">
        <v>20</v>
      </c>
      <c r="I9" s="25"/>
      <c r="K9" s="39" t="s">
        <v>13</v>
      </c>
      <c r="L9" s="41" t="n">
        <f aca="false">C145+C220</f>
        <v>20</v>
      </c>
      <c r="N9" s="0"/>
      <c r="O9" s="0"/>
    </row>
    <row r="10" customFormat="false" ht="12.75" hidden="false" customHeight="false" outlineLevel="0" collapsed="false">
      <c r="A10" s="27" t="s">
        <v>14</v>
      </c>
      <c r="B10" s="6"/>
      <c r="C10" s="6"/>
      <c r="D10" s="348" t="n">
        <f aca="false">31.723+10</f>
        <v>41.723</v>
      </c>
      <c r="E10" s="29" t="n">
        <f aca="false">(660.659/22)+(20.811/22)+10</f>
        <v>40.9759090909091</v>
      </c>
      <c r="F10" s="37" t="n">
        <v>93.5</v>
      </c>
      <c r="G10" s="38" t="n">
        <v>0</v>
      </c>
      <c r="H10" s="31" t="n">
        <v>0</v>
      </c>
      <c r="I10" s="42"/>
      <c r="K10" s="39" t="s">
        <v>15</v>
      </c>
      <c r="L10" s="40" t="n">
        <f aca="false">C147+C221</f>
        <v>5</v>
      </c>
      <c r="N10" s="0"/>
      <c r="O10" s="0"/>
    </row>
    <row r="11" customFormat="false" ht="12.75" hidden="false" customHeight="false" outlineLevel="0" collapsed="false">
      <c r="A11" s="27" t="s">
        <v>16</v>
      </c>
      <c r="B11" s="6"/>
      <c r="C11" s="6"/>
      <c r="D11" s="348" t="n">
        <f aca="false">90+15+0.4</f>
        <v>105.4</v>
      </c>
      <c r="E11" s="29" t="n">
        <f aca="false">+(2074.026+39.511+271.7)/22</f>
        <v>108.419863636364</v>
      </c>
      <c r="F11" s="37" t="n">
        <v>103.5</v>
      </c>
      <c r="G11" s="38" t="n">
        <v>145</v>
      </c>
      <c r="H11" s="31" t="n">
        <v>90</v>
      </c>
      <c r="I11" s="25"/>
      <c r="K11" s="39" t="s">
        <v>17</v>
      </c>
      <c r="L11" s="40" t="n">
        <f aca="false">C155+C222</f>
        <v>0.6</v>
      </c>
      <c r="N11" s="0"/>
      <c r="O11" s="0"/>
    </row>
    <row r="12" customFormat="false" ht="12.75" hidden="false" customHeight="false" outlineLevel="0" collapsed="false">
      <c r="A12" s="27" t="s">
        <v>18</v>
      </c>
      <c r="B12" s="6"/>
      <c r="C12" s="6"/>
      <c r="D12" s="348" t="n">
        <v>95</v>
      </c>
      <c r="E12" s="29" t="n">
        <f aca="false">+(1098.402+17.843+0.289+881.598+116.092)/22-(15.509/22)</f>
        <v>95.3961363636364</v>
      </c>
      <c r="F12" s="37" t="n">
        <v>108.8</v>
      </c>
      <c r="G12" s="38" t="n">
        <f aca="false">90*1.05</f>
        <v>94.5</v>
      </c>
      <c r="H12" s="31" t="n">
        <f aca="false">90*0.95</f>
        <v>85.5</v>
      </c>
      <c r="I12" s="25"/>
      <c r="K12" s="39" t="s">
        <v>19</v>
      </c>
      <c r="L12" s="40" t="n">
        <f aca="false">C167+C225</f>
        <v>2.5</v>
      </c>
      <c r="N12" s="0"/>
      <c r="O12" s="0"/>
    </row>
    <row r="13" customFormat="false" ht="12.75" hidden="false" customHeight="false" outlineLevel="0" collapsed="false">
      <c r="A13" s="27" t="s">
        <v>20</v>
      </c>
      <c r="B13" s="6"/>
      <c r="C13" s="6"/>
      <c r="D13" s="348" t="n">
        <f aca="false">40+30</f>
        <v>70</v>
      </c>
      <c r="E13" s="29" t="n">
        <v>69.009</v>
      </c>
      <c r="F13" s="37" t="n">
        <v>85.403</v>
      </c>
      <c r="G13" s="38" t="n">
        <v>180</v>
      </c>
      <c r="H13" s="31" t="n">
        <v>0</v>
      </c>
      <c r="I13" s="25"/>
      <c r="J13" s="0"/>
      <c r="K13" s="39" t="s">
        <v>21</v>
      </c>
      <c r="L13" s="40" t="n">
        <f aca="false">C166+C224</f>
        <v>0.18</v>
      </c>
      <c r="N13" s="0"/>
      <c r="O13" s="0"/>
    </row>
    <row r="14" customFormat="false" ht="12.75" hidden="false" customHeight="false" outlineLevel="0" collapsed="false">
      <c r="A14" s="27" t="s">
        <v>22</v>
      </c>
      <c r="B14" s="6"/>
      <c r="C14" s="6"/>
      <c r="D14" s="37" t="n">
        <f aca="false">B93</f>
        <v>10.017</v>
      </c>
      <c r="E14" s="29" t="n">
        <f aca="false">'Mar prebid'!D14</f>
        <v>5.358</v>
      </c>
      <c r="F14" s="37" t="n">
        <v>4.5</v>
      </c>
      <c r="G14" s="38" t="n">
        <f aca="false">D14*1.05</f>
        <v>10.51785</v>
      </c>
      <c r="H14" s="31" t="n">
        <f aca="false">D14*0.95</f>
        <v>9.51615</v>
      </c>
      <c r="I14" s="25"/>
      <c r="K14" s="39" t="s">
        <v>23</v>
      </c>
      <c r="L14" s="40" t="n">
        <f aca="false">C170+C226</f>
        <v>10.9</v>
      </c>
      <c r="N14" s="0"/>
      <c r="O14" s="0"/>
    </row>
    <row r="15" customFormat="false" ht="12.75" hidden="false" customHeight="false" outlineLevel="0" collapsed="false">
      <c r="A15" s="27" t="s">
        <v>370</v>
      </c>
      <c r="B15" s="6"/>
      <c r="C15" s="338" t="s">
        <v>481</v>
      </c>
      <c r="D15" s="348" t="n">
        <f aca="false">SUM(D16:D18)</f>
        <v>155</v>
      </c>
      <c r="E15" s="29" t="n">
        <f aca="false">SUM(E16:E18)</f>
        <v>185</v>
      </c>
      <c r="F15" s="37" t="n">
        <f aca="false">SUM(F16:F18)</f>
        <v>130</v>
      </c>
      <c r="G15" s="38" t="n">
        <v>1174</v>
      </c>
      <c r="H15" s="31" t="n">
        <v>0</v>
      </c>
      <c r="I15" s="25"/>
      <c r="K15" s="39" t="s">
        <v>25</v>
      </c>
      <c r="L15" s="40" t="n">
        <f aca="false">C182+C228</f>
        <v>10</v>
      </c>
      <c r="N15" s="0"/>
      <c r="O15" s="0"/>
    </row>
    <row r="16" customFormat="false" ht="12.75" hidden="false" customHeight="false" outlineLevel="0" collapsed="false">
      <c r="A16" s="27" t="s">
        <v>371</v>
      </c>
      <c r="B16" s="43"/>
      <c r="C16" s="6"/>
      <c r="D16" s="44" t="n">
        <f aca="false">90+4</f>
        <v>94</v>
      </c>
      <c r="E16" s="29" t="n">
        <v>121</v>
      </c>
      <c r="F16" s="37" t="n">
        <v>67</v>
      </c>
      <c r="G16" s="38"/>
      <c r="H16" s="31"/>
      <c r="I16" s="25"/>
      <c r="K16" s="39" t="s">
        <v>27</v>
      </c>
      <c r="L16" s="40" t="n">
        <f aca="false">C136</f>
        <v>0</v>
      </c>
      <c r="N16" s="0"/>
      <c r="O16" s="0"/>
      <c r="P16" s="0"/>
    </row>
    <row r="17" customFormat="false" ht="12.75" hidden="false" customHeight="false" outlineLevel="0" collapsed="false">
      <c r="A17" s="27" t="s">
        <v>372</v>
      </c>
      <c r="B17" s="43"/>
      <c r="C17" s="6"/>
      <c r="D17" s="44" t="n">
        <v>3</v>
      </c>
      <c r="E17" s="29" t="n">
        <v>6</v>
      </c>
      <c r="F17" s="37" t="n">
        <v>4</v>
      </c>
      <c r="G17" s="38"/>
      <c r="H17" s="31"/>
      <c r="I17" s="25"/>
      <c r="K17" s="39" t="s">
        <v>29</v>
      </c>
      <c r="L17" s="40" t="n">
        <f aca="false">C200+C230</f>
        <v>40</v>
      </c>
      <c r="N17" s="0"/>
      <c r="O17" s="0"/>
      <c r="P17" s="0"/>
    </row>
    <row r="18" customFormat="false" ht="12.75" hidden="false" customHeight="false" outlineLevel="0" collapsed="false">
      <c r="A18" s="27" t="s">
        <v>373</v>
      </c>
      <c r="B18" s="43"/>
      <c r="C18" s="6"/>
      <c r="D18" s="44" t="n">
        <v>58</v>
      </c>
      <c r="E18" s="29" t="n">
        <v>58</v>
      </c>
      <c r="F18" s="37" t="n">
        <v>59</v>
      </c>
      <c r="G18" s="38"/>
      <c r="H18" s="31"/>
      <c r="I18" s="25"/>
      <c r="K18" s="39" t="s">
        <v>31</v>
      </c>
      <c r="L18" s="40" t="n">
        <f aca="false">C201</f>
        <v>15</v>
      </c>
      <c r="N18" s="0"/>
      <c r="O18" s="0"/>
      <c r="P18" s="0"/>
    </row>
    <row r="19" customFormat="false" ht="13.5" hidden="false" customHeight="false" outlineLevel="0" collapsed="false">
      <c r="A19" s="27" t="s">
        <v>26</v>
      </c>
      <c r="B19" s="35"/>
      <c r="C19" s="35"/>
      <c r="D19" s="37" t="n">
        <f aca="false">F94-B93</f>
        <v>360.781</v>
      </c>
      <c r="E19" s="29" t="n">
        <f aca="false">'Mar prebid'!D19</f>
        <v>220.481</v>
      </c>
      <c r="F19" s="37" t="n">
        <v>0</v>
      </c>
      <c r="G19" s="38" t="n">
        <v>0</v>
      </c>
      <c r="H19" s="31" t="n">
        <v>0</v>
      </c>
      <c r="I19" s="45"/>
      <c r="K19" s="55" t="s">
        <v>33</v>
      </c>
      <c r="L19" s="56" t="n">
        <f aca="false">C205+C233</f>
        <v>60</v>
      </c>
      <c r="N19" s="0"/>
      <c r="O19" s="0"/>
    </row>
    <row r="20" customFormat="false" ht="12.75" hidden="false" customHeight="false" outlineLevel="0" collapsed="false">
      <c r="A20" s="27" t="s">
        <v>28</v>
      </c>
      <c r="B20" s="6"/>
      <c r="C20" s="6"/>
      <c r="D20" s="46" t="n">
        <f aca="false">SUM(D7:D19)-D15</f>
        <v>1483.107</v>
      </c>
      <c r="E20" s="46" t="n">
        <f aca="false">SUM(E7:E19)-E15</f>
        <v>1393.26829964115</v>
      </c>
      <c r="F20" s="46" t="n">
        <f aca="false">SUM(F7:F19)-F15</f>
        <v>1268.003</v>
      </c>
      <c r="G20" s="46" t="n">
        <f aca="false">SUM(G7:G19)</f>
        <v>2350.42245</v>
      </c>
      <c r="H20" s="47" t="n">
        <f aca="false">SUM(H7:H19)</f>
        <v>746.68355</v>
      </c>
      <c r="I20" s="32"/>
      <c r="L20" s="0"/>
      <c r="N20" s="0"/>
      <c r="O20" s="48"/>
    </row>
    <row r="21" customFormat="false" ht="12.75" hidden="false" customHeight="false" outlineLevel="0" collapsed="false">
      <c r="A21" s="27" t="s">
        <v>30</v>
      </c>
      <c r="B21" s="6"/>
      <c r="C21" s="6"/>
      <c r="D21" s="49" t="n">
        <f aca="false">D32</f>
        <v>0</v>
      </c>
      <c r="E21" s="50" t="n">
        <v>-64.5161290322581</v>
      </c>
      <c r="F21" s="51" t="n">
        <v>0</v>
      </c>
      <c r="G21" s="52" t="n">
        <v>0</v>
      </c>
      <c r="H21" s="53" t="n">
        <v>0</v>
      </c>
      <c r="I21" s="25"/>
      <c r="L21" s="0"/>
      <c r="N21" s="48"/>
      <c r="O21" s="0"/>
    </row>
    <row r="22" customFormat="false" ht="12.75" hidden="false" customHeight="false" outlineLevel="0" collapsed="false">
      <c r="A22" s="27" t="s">
        <v>445</v>
      </c>
      <c r="B22" s="6"/>
      <c r="C22" s="6"/>
      <c r="D22" s="348" t="n">
        <v>2.5</v>
      </c>
      <c r="E22" s="37" t="n">
        <v>2.5</v>
      </c>
      <c r="F22" s="37" t="n">
        <v>2.5</v>
      </c>
      <c r="G22" s="54" t="n">
        <v>0</v>
      </c>
      <c r="H22" s="53" t="n">
        <v>0</v>
      </c>
      <c r="I22" s="25"/>
      <c r="L22" s="0"/>
      <c r="N22" s="0"/>
    </row>
    <row r="23" customFormat="false" ht="12.75" hidden="false" customHeight="false" outlineLevel="0" collapsed="false">
      <c r="A23" s="16"/>
      <c r="B23" s="6"/>
      <c r="C23" s="57" t="s">
        <v>34</v>
      </c>
      <c r="D23" s="46" t="n">
        <f aca="false">D22+D21+D20</f>
        <v>1485.607</v>
      </c>
      <c r="E23" s="46" t="n">
        <f aca="false">E22+E21+E20</f>
        <v>1331.25217060889</v>
      </c>
      <c r="F23" s="46" t="n">
        <f aca="false">F22+F21+F20</f>
        <v>1270.503</v>
      </c>
      <c r="G23" s="46" t="n">
        <f aca="false">G22+G21+G20</f>
        <v>2350.42245</v>
      </c>
      <c r="H23" s="58" t="n">
        <f aca="false">H22+H21+H20</f>
        <v>746.68355</v>
      </c>
      <c r="I23" s="25"/>
      <c r="L23" s="0"/>
    </row>
    <row r="24" customFormat="false" ht="12.75" hidden="false" customHeight="false" outlineLevel="0" collapsed="false">
      <c r="A24" s="27" t="s">
        <v>35</v>
      </c>
      <c r="B24" s="6"/>
      <c r="C24" s="6"/>
      <c r="D24" s="49" t="n">
        <f aca="false">D44</f>
        <v>1378.6492</v>
      </c>
      <c r="E24" s="279" t="n">
        <f aca="false">'Mar prebid'!D24</f>
        <v>1494.069</v>
      </c>
      <c r="F24" s="279" t="n">
        <v>1660</v>
      </c>
      <c r="G24" s="280" t="n">
        <f aca="false">D24</f>
        <v>1378.6492</v>
      </c>
      <c r="H24" s="281" t="n">
        <f aca="false">D24</f>
        <v>1378.6492</v>
      </c>
      <c r="I24" s="25"/>
      <c r="L24" s="0"/>
    </row>
    <row r="25" customFormat="false" ht="13.5" hidden="false" customHeight="false" outlineLevel="0" collapsed="false">
      <c r="A25" s="282" t="s">
        <v>37</v>
      </c>
      <c r="B25" s="6"/>
      <c r="C25" s="6"/>
      <c r="D25" s="49" t="n">
        <v>111.238</v>
      </c>
      <c r="E25" s="37" t="n">
        <f aca="false">'Mar prebid'!D25</f>
        <v>53.755</v>
      </c>
      <c r="F25" s="37"/>
      <c r="G25" s="51"/>
      <c r="H25" s="53"/>
      <c r="I25" s="25"/>
      <c r="L25" s="0"/>
    </row>
    <row r="26" customFormat="false" ht="13.5" hidden="false" customHeight="false" outlineLevel="0" collapsed="false">
      <c r="A26" s="62"/>
      <c r="B26" s="63"/>
      <c r="C26" s="64" t="s">
        <v>36</v>
      </c>
      <c r="D26" s="65" t="n">
        <f aca="false">D24+D25-D23</f>
        <v>4.28020000000015</v>
      </c>
      <c r="E26" s="65" t="n">
        <f aca="false">E24-E23+E25</f>
        <v>216.57182939111</v>
      </c>
      <c r="F26" s="65" t="n">
        <f aca="false">F24-F23</f>
        <v>389.497</v>
      </c>
      <c r="G26" s="65" t="n">
        <f aca="false">+G23-G24</f>
        <v>971.77325</v>
      </c>
      <c r="H26" s="65" t="n">
        <f aca="false">+(H23-H24)</f>
        <v>-631.96565</v>
      </c>
      <c r="I26" s="32"/>
      <c r="J26" s="93" t="s">
        <v>482</v>
      </c>
      <c r="L26" s="0"/>
    </row>
    <row r="27" customFormat="false" ht="4.5" hidden="false" customHeight="true" outlineLevel="0" collapsed="false">
      <c r="A27" s="66"/>
      <c r="B27" s="6"/>
      <c r="C27" s="67"/>
      <c r="D27" s="68"/>
      <c r="E27" s="69"/>
      <c r="F27" s="69"/>
      <c r="G27" s="70"/>
      <c r="H27" s="70"/>
      <c r="I27" s="32"/>
      <c r="J27" s="349"/>
      <c r="K27" s="78"/>
      <c r="L27" s="79"/>
    </row>
    <row r="28" customFormat="false" ht="13.5" hidden="false" customHeight="false" outlineLevel="0" collapsed="false">
      <c r="A28" s="16"/>
      <c r="C28" s="73" t="s">
        <v>38</v>
      </c>
      <c r="D28" s="72" t="n">
        <v>0</v>
      </c>
      <c r="E28" s="69"/>
      <c r="F28" s="69"/>
      <c r="G28" s="69"/>
      <c r="H28" s="69"/>
      <c r="J28" s="350" t="n">
        <f aca="false">10+88.34-20-10</f>
        <v>68.34</v>
      </c>
      <c r="L28" s="0"/>
    </row>
    <row r="29" customFormat="false" ht="13.5" hidden="false" customHeight="true" outlineLevel="0" collapsed="false">
      <c r="A29" s="74"/>
      <c r="B29" s="75"/>
      <c r="C29" s="76" t="s">
        <v>39</v>
      </c>
      <c r="D29" s="77" t="n">
        <f aca="false">D26+D28</f>
        <v>4.28020000000015</v>
      </c>
      <c r="E29" s="69"/>
      <c r="F29" s="69"/>
      <c r="G29" s="69"/>
      <c r="H29" s="69"/>
      <c r="I29" s="32"/>
      <c r="J29" s="78"/>
      <c r="L29" s="0"/>
      <c r="M29" s="78"/>
      <c r="N29" s="78"/>
      <c r="O29" s="78"/>
      <c r="P29" s="78"/>
      <c r="Q29" s="78"/>
      <c r="R29" s="78"/>
      <c r="S29" s="78"/>
      <c r="T29" s="78"/>
      <c r="U29" s="78"/>
      <c r="V29" s="78"/>
      <c r="W29" s="78"/>
      <c r="X29" s="78"/>
      <c r="Y29" s="78"/>
      <c r="Z29" s="78"/>
      <c r="AA29" s="78"/>
      <c r="AB29" s="78"/>
      <c r="AC29" s="78"/>
      <c r="AD29" s="78"/>
      <c r="AE29" s="78"/>
      <c r="AF29" s="78"/>
      <c r="AG29" s="78"/>
      <c r="AH29" s="78"/>
      <c r="AI29" s="78"/>
      <c r="AJ29" s="78"/>
      <c r="AK29" s="80"/>
      <c r="AL29" s="80"/>
      <c r="AM29" s="80"/>
      <c r="AN29" s="80"/>
      <c r="AO29" s="80"/>
      <c r="AP29" s="80"/>
      <c r="AQ29" s="80"/>
      <c r="AR29" s="80"/>
      <c r="AS29" s="80"/>
      <c r="AT29" s="80"/>
      <c r="AU29" s="80"/>
      <c r="AV29" s="80"/>
      <c r="AW29" s="80"/>
      <c r="AX29" s="80"/>
      <c r="AY29" s="80"/>
      <c r="AZ29" s="80"/>
      <c r="BA29" s="80"/>
      <c r="BB29" s="80"/>
      <c r="BC29" s="80"/>
      <c r="BD29" s="80"/>
      <c r="BE29" s="80"/>
      <c r="BF29" s="80"/>
      <c r="BG29" s="80"/>
      <c r="BH29" s="80"/>
      <c r="BI29" s="80"/>
      <c r="BJ29" s="80"/>
      <c r="BK29" s="80"/>
      <c r="BL29" s="80"/>
      <c r="BM29" s="80"/>
      <c r="BN29" s="80"/>
      <c r="BO29" s="80"/>
      <c r="BP29" s="80"/>
      <c r="BQ29" s="80"/>
      <c r="BR29" s="80"/>
      <c r="BS29" s="80"/>
      <c r="BT29" s="80"/>
      <c r="BU29" s="80"/>
      <c r="BV29" s="80"/>
      <c r="BW29" s="80"/>
      <c r="BX29" s="80"/>
      <c r="BY29" s="80"/>
      <c r="BZ29" s="80"/>
      <c r="CA29" s="80"/>
      <c r="CB29" s="80"/>
      <c r="CC29" s="80"/>
      <c r="CD29" s="80"/>
      <c r="CE29" s="80"/>
      <c r="CF29" s="80"/>
      <c r="CG29" s="80"/>
      <c r="CH29" s="80"/>
      <c r="CI29" s="80"/>
      <c r="CJ29" s="80"/>
      <c r="CK29" s="80"/>
      <c r="CL29" s="80"/>
      <c r="CM29" s="80"/>
      <c r="CN29" s="80"/>
      <c r="CO29" s="80"/>
      <c r="CP29" s="80"/>
      <c r="CQ29" s="80"/>
      <c r="CR29" s="80"/>
      <c r="CS29" s="80"/>
      <c r="CT29" s="80"/>
      <c r="CU29" s="80"/>
      <c r="CV29" s="80"/>
      <c r="CW29" s="80"/>
      <c r="CX29" s="80"/>
      <c r="CY29" s="80"/>
      <c r="CZ29" s="80"/>
      <c r="DA29" s="80"/>
      <c r="DB29" s="80"/>
      <c r="DC29" s="80"/>
      <c r="DD29" s="80"/>
      <c r="DE29" s="80"/>
      <c r="DF29" s="80"/>
      <c r="DG29" s="80"/>
      <c r="DH29" s="80"/>
      <c r="DI29" s="80"/>
      <c r="DJ29" s="80"/>
      <c r="DK29" s="80"/>
      <c r="DL29" s="80"/>
      <c r="DM29" s="80"/>
      <c r="DN29" s="80"/>
      <c r="DO29" s="80"/>
      <c r="DP29" s="80"/>
      <c r="DQ29" s="80"/>
      <c r="DR29" s="80"/>
      <c r="DS29" s="80"/>
      <c r="DT29" s="80"/>
      <c r="DU29" s="80"/>
      <c r="DV29" s="80"/>
      <c r="DW29" s="80"/>
      <c r="DX29" s="80"/>
      <c r="DY29" s="80"/>
      <c r="DZ29" s="80"/>
      <c r="EA29" s="80"/>
      <c r="EB29" s="80"/>
      <c r="EC29" s="80"/>
      <c r="ED29" s="80"/>
      <c r="EE29" s="80"/>
      <c r="EF29" s="80"/>
      <c r="EG29" s="80"/>
      <c r="EH29" s="80"/>
      <c r="EI29" s="80"/>
      <c r="EJ29" s="80"/>
      <c r="EK29" s="80"/>
      <c r="EL29" s="80"/>
      <c r="EM29" s="80"/>
      <c r="EN29" s="80"/>
      <c r="EO29" s="80"/>
      <c r="EP29" s="80"/>
      <c r="EQ29" s="80"/>
      <c r="ER29" s="80"/>
      <c r="ES29" s="80"/>
      <c r="ET29" s="80"/>
      <c r="EU29" s="80"/>
      <c r="EV29" s="80"/>
      <c r="EW29" s="80"/>
      <c r="EX29" s="80"/>
      <c r="EY29" s="80"/>
      <c r="EZ29" s="80"/>
      <c r="FA29" s="80"/>
      <c r="FB29" s="80"/>
      <c r="FC29" s="80"/>
      <c r="FD29" s="80"/>
      <c r="FE29" s="80"/>
      <c r="FF29" s="80"/>
      <c r="FG29" s="80"/>
      <c r="FH29" s="80"/>
      <c r="FI29" s="80"/>
      <c r="FJ29" s="80"/>
      <c r="FK29" s="80"/>
      <c r="FL29" s="80"/>
      <c r="FM29" s="80"/>
      <c r="FN29" s="80"/>
      <c r="FO29" s="80"/>
      <c r="FP29" s="80"/>
      <c r="FQ29" s="80"/>
      <c r="FR29" s="80"/>
      <c r="FS29" s="80"/>
      <c r="FT29" s="80"/>
      <c r="FU29" s="80"/>
      <c r="FV29" s="80"/>
      <c r="FW29" s="80"/>
      <c r="FX29" s="80"/>
      <c r="FY29" s="80"/>
      <c r="FZ29" s="80"/>
      <c r="GA29" s="80"/>
      <c r="GB29" s="80"/>
      <c r="GC29" s="80"/>
      <c r="GD29" s="80"/>
      <c r="GE29" s="80"/>
      <c r="GF29" s="80"/>
      <c r="GG29" s="80"/>
      <c r="GH29" s="80"/>
      <c r="GI29" s="80"/>
      <c r="GJ29" s="80"/>
      <c r="GK29" s="80"/>
      <c r="GL29" s="80"/>
      <c r="GM29" s="80"/>
      <c r="GN29" s="80"/>
      <c r="GO29" s="80"/>
      <c r="GP29" s="80"/>
      <c r="GQ29" s="80"/>
      <c r="GR29" s="80"/>
      <c r="GS29" s="80"/>
      <c r="GT29" s="80"/>
      <c r="GU29" s="80"/>
      <c r="GV29" s="80"/>
      <c r="GW29" s="80"/>
      <c r="GX29" s="80"/>
      <c r="GY29" s="80"/>
      <c r="GZ29" s="80"/>
      <c r="HA29" s="80"/>
      <c r="HB29" s="80"/>
      <c r="HC29" s="80"/>
      <c r="HD29" s="80"/>
      <c r="HE29" s="80"/>
      <c r="HF29" s="80"/>
      <c r="HG29" s="80"/>
      <c r="HH29" s="80"/>
      <c r="HI29" s="80"/>
      <c r="HJ29" s="80"/>
      <c r="HK29" s="80"/>
      <c r="HL29" s="80"/>
      <c r="HM29" s="80"/>
      <c r="HN29" s="80"/>
      <c r="HO29" s="80"/>
      <c r="HP29" s="80"/>
      <c r="HQ29" s="80"/>
      <c r="HR29" s="80"/>
      <c r="HS29" s="80"/>
      <c r="HT29" s="80"/>
      <c r="HU29" s="80"/>
      <c r="HV29" s="80"/>
      <c r="HW29" s="80"/>
      <c r="HX29" s="80"/>
      <c r="HY29" s="80"/>
      <c r="HZ29" s="80"/>
      <c r="IA29" s="80"/>
      <c r="IB29" s="80"/>
      <c r="IC29" s="80"/>
      <c r="ID29" s="80"/>
      <c r="IE29" s="80"/>
      <c r="IF29" s="80"/>
      <c r="IG29" s="80"/>
      <c r="IH29" s="80"/>
      <c r="II29" s="80"/>
      <c r="IJ29" s="80"/>
      <c r="IK29" s="80"/>
      <c r="IL29" s="80"/>
      <c r="IM29" s="80"/>
      <c r="IN29" s="80"/>
      <c r="IO29" s="80"/>
      <c r="IP29" s="80"/>
      <c r="IQ29" s="80"/>
      <c r="IR29" s="80"/>
      <c r="IS29" s="80"/>
      <c r="IT29" s="80"/>
      <c r="IU29" s="80"/>
      <c r="IV29" s="80"/>
      <c r="IW29" s="80"/>
    </row>
    <row r="30" customFormat="false" ht="8.25" hidden="false" customHeight="true" outlineLevel="0" collapsed="false">
      <c r="A30" s="81"/>
      <c r="B30" s="82"/>
      <c r="C30" s="83"/>
      <c r="D30" s="84"/>
      <c r="E30" s="6"/>
      <c r="F30" s="6"/>
      <c r="G30" s="85"/>
      <c r="H30" s="86"/>
      <c r="I30" s="87"/>
      <c r="K30" s="0"/>
    </row>
    <row r="31" customFormat="false" ht="13.5" hidden="false" customHeight="false" outlineLevel="0" collapsed="false">
      <c r="A31" s="88" t="s">
        <v>376</v>
      </c>
      <c r="B31" s="88"/>
      <c r="C31" s="88"/>
      <c r="D31" s="88"/>
      <c r="E31" s="89" t="s">
        <v>41</v>
      </c>
      <c r="F31" s="89"/>
      <c r="G31" s="89"/>
      <c r="H31" s="89"/>
      <c r="I31" s="90" t="s">
        <v>42</v>
      </c>
      <c r="J31" s="90"/>
      <c r="K31" s="109"/>
      <c r="L31" s="109"/>
    </row>
    <row r="32" customFormat="false" ht="13.5" hidden="false" customHeight="false" outlineLevel="0" collapsed="false">
      <c r="A32" s="27" t="s">
        <v>43</v>
      </c>
      <c r="B32" s="85"/>
      <c r="C32" s="85"/>
      <c r="D32" s="268" t="n">
        <f aca="false">B33/30</f>
        <v>0</v>
      </c>
      <c r="E32" s="92" t="s">
        <v>44</v>
      </c>
      <c r="F32" s="92"/>
      <c r="G32" s="90" t="s">
        <v>45</v>
      </c>
      <c r="H32" s="90"/>
      <c r="I32" s="93" t="s">
        <v>46</v>
      </c>
      <c r="J32" s="94" t="s">
        <v>47</v>
      </c>
      <c r="K32" s="112"/>
      <c r="L32" s="112"/>
    </row>
    <row r="33" customFormat="false" ht="13.5" hidden="false" customHeight="false" outlineLevel="0" collapsed="false">
      <c r="A33" s="16" t="s">
        <v>48</v>
      </c>
      <c r="B33" s="95" t="n">
        <v>0</v>
      </c>
      <c r="C33" s="0" t="s">
        <v>49</v>
      </c>
      <c r="D33" s="96"/>
      <c r="E33" s="269" t="s">
        <v>105</v>
      </c>
      <c r="F33" s="351" t="n">
        <v>0.55</v>
      </c>
      <c r="G33" s="99"/>
      <c r="H33" s="100"/>
      <c r="I33" s="101" t="n">
        <f aca="false">7.5+20+15+15+15+5+5+10+5+5</f>
        <v>102.5</v>
      </c>
      <c r="J33" s="102" t="n">
        <f aca="false">15+15+15</f>
        <v>45</v>
      </c>
      <c r="K33" s="87"/>
      <c r="L33" s="87"/>
    </row>
    <row r="34" customFormat="false" ht="13.5" hidden="false" customHeight="false" outlineLevel="0" collapsed="false">
      <c r="A34" s="16" t="s">
        <v>52</v>
      </c>
      <c r="B34" s="103" t="n">
        <v>0</v>
      </c>
      <c r="C34" s="6"/>
      <c r="D34" s="104"/>
      <c r="E34" s="269" t="s">
        <v>23</v>
      </c>
      <c r="F34" s="270" t="n">
        <v>10</v>
      </c>
      <c r="G34" s="99"/>
      <c r="H34" s="100"/>
      <c r="I34" s="283" t="s">
        <v>55</v>
      </c>
      <c r="J34" s="108" t="n">
        <f aca="false">+I33-J33</f>
        <v>57.5</v>
      </c>
      <c r="K34" s="0"/>
      <c r="L34" s="0"/>
    </row>
    <row r="35" customFormat="false" ht="13.5" hidden="false" customHeight="false" outlineLevel="0" collapsed="false">
      <c r="A35" s="110"/>
      <c r="B35" s="63"/>
      <c r="C35" s="63"/>
      <c r="D35" s="111"/>
      <c r="E35" s="269" t="s">
        <v>311</v>
      </c>
      <c r="F35" s="351" t="n">
        <v>0.025</v>
      </c>
      <c r="G35" s="99"/>
      <c r="H35" s="100"/>
      <c r="I35" s="0"/>
      <c r="J35" s="0"/>
      <c r="K35" s="0"/>
      <c r="L35" s="0"/>
    </row>
    <row r="36" customFormat="false" ht="13.5" hidden="false" customHeight="false" outlineLevel="0" collapsed="false">
      <c r="A36" s="113"/>
      <c r="B36" s="114"/>
      <c r="C36" s="114"/>
      <c r="D36" s="115"/>
      <c r="E36" s="99" t="s">
        <v>19</v>
      </c>
      <c r="F36" s="100" t="n">
        <v>10</v>
      </c>
      <c r="G36" s="99"/>
      <c r="H36" s="100"/>
      <c r="I36" s="90" t="s">
        <v>60</v>
      </c>
      <c r="J36" s="90"/>
      <c r="K36" s="126"/>
      <c r="L36" s="0"/>
    </row>
    <row r="37" customFormat="false" ht="13.5" hidden="false" customHeight="false" outlineLevel="0" collapsed="false">
      <c r="A37" s="116" t="s">
        <v>61</v>
      </c>
      <c r="B37" s="116"/>
      <c r="C37" s="116"/>
      <c r="D37" s="116"/>
      <c r="E37" s="269"/>
      <c r="F37" s="270"/>
      <c r="G37" s="119"/>
      <c r="H37" s="120"/>
      <c r="I37" s="93" t="s">
        <v>64</v>
      </c>
      <c r="J37" s="94" t="s">
        <v>65</v>
      </c>
      <c r="K37" s="126"/>
      <c r="L37" s="0"/>
    </row>
    <row r="38" customFormat="false" ht="13.5" hidden="false" customHeight="false" outlineLevel="0" collapsed="false">
      <c r="A38" s="27"/>
      <c r="B38" s="6"/>
      <c r="C38" s="6"/>
      <c r="D38" s="121"/>
      <c r="E38" s="339"/>
      <c r="F38" s="270"/>
      <c r="G38" s="119"/>
      <c r="H38" s="120"/>
      <c r="I38" s="284" t="n">
        <v>5</v>
      </c>
      <c r="J38" s="123" t="n">
        <f aca="false">20+10-30</f>
        <v>0</v>
      </c>
      <c r="K38" s="126"/>
      <c r="L38" s="0"/>
    </row>
    <row r="39" customFormat="false" ht="13.5" hidden="false" customHeight="false" outlineLevel="0" collapsed="false">
      <c r="A39" s="27" t="s">
        <v>67</v>
      </c>
      <c r="B39" s="6"/>
      <c r="C39" s="6"/>
      <c r="D39" s="124" t="n">
        <f aca="false">K212/1000</f>
        <v>54.2972</v>
      </c>
      <c r="E39" s="117"/>
      <c r="F39" s="118"/>
      <c r="G39" s="119"/>
      <c r="H39" s="120"/>
      <c r="I39" s="125" t="s">
        <v>68</v>
      </c>
      <c r="J39" s="94" t="s">
        <v>69</v>
      </c>
      <c r="K39" s="0"/>
      <c r="L39" s="0"/>
    </row>
    <row r="40" customFormat="false" ht="13.5" hidden="false" customHeight="false" outlineLevel="0" collapsed="false">
      <c r="A40" s="27" t="s">
        <v>70</v>
      </c>
      <c r="B40" s="6"/>
      <c r="C40" s="6"/>
      <c r="D40" s="121" t="n">
        <f aca="false">L94</f>
        <v>576.282</v>
      </c>
      <c r="E40" s="117"/>
      <c r="F40" s="118"/>
      <c r="G40" s="127"/>
      <c r="H40" s="128"/>
      <c r="I40" s="129" t="n">
        <f aca="false">10+20+20+10+10+20+25-15</f>
        <v>100</v>
      </c>
      <c r="J40" s="285" t="n">
        <v>0</v>
      </c>
      <c r="K40" s="0"/>
      <c r="L40" s="0"/>
    </row>
    <row r="41" customFormat="false" ht="13.5" hidden="false" customHeight="false" outlineLevel="0" collapsed="false">
      <c r="A41" s="27" t="s">
        <v>71</v>
      </c>
      <c r="B41" s="6"/>
      <c r="C41" s="6"/>
      <c r="D41" s="352" t="n">
        <v>40</v>
      </c>
      <c r="E41" s="117"/>
      <c r="F41" s="118"/>
      <c r="G41" s="127"/>
      <c r="H41" s="128"/>
      <c r="I41" s="287" t="s">
        <v>72</v>
      </c>
      <c r="J41" s="108" t="n">
        <f aca="false">J34+I38+J38+I40+J40</f>
        <v>162.5</v>
      </c>
      <c r="K41" s="0"/>
      <c r="L41" s="0"/>
    </row>
    <row r="42" customFormat="false" ht="13.5" hidden="false" customHeight="false" outlineLevel="0" collapsed="false">
      <c r="A42" s="27" t="s">
        <v>73</v>
      </c>
      <c r="B42" s="6"/>
      <c r="C42" s="6"/>
      <c r="D42" s="133" t="n">
        <f aca="false">741.07-23-10</f>
        <v>708.07</v>
      </c>
      <c r="E42" s="117"/>
      <c r="F42" s="118"/>
      <c r="G42" s="6"/>
      <c r="H42" s="7"/>
      <c r="K42" s="0"/>
      <c r="L42" s="0"/>
    </row>
    <row r="43" customFormat="false" ht="13.5" hidden="false" customHeight="false" outlineLevel="0" collapsed="false">
      <c r="A43" s="27"/>
      <c r="B43" s="6"/>
      <c r="C43" s="6"/>
      <c r="D43" s="121"/>
      <c r="E43" s="117"/>
      <c r="F43" s="118"/>
      <c r="G43" s="6"/>
      <c r="H43" s="7"/>
      <c r="I43" s="90" t="s">
        <v>74</v>
      </c>
      <c r="J43" s="90"/>
      <c r="K43" s="0"/>
      <c r="L43" s="0"/>
    </row>
    <row r="44" customFormat="false" ht="13.5" hidden="false" customHeight="false" outlineLevel="0" collapsed="false">
      <c r="A44" s="62"/>
      <c r="B44" s="134" t="s">
        <v>75</v>
      </c>
      <c r="C44" s="135" t="str">
        <f aca="false">+F5</f>
        <v>May</v>
      </c>
      <c r="D44" s="136" t="n">
        <f aca="false">SUM(D39:D42)</f>
        <v>1378.6492</v>
      </c>
      <c r="E44" s="137" t="s">
        <v>76</v>
      </c>
      <c r="F44" s="136" t="n">
        <f aca="false">SUM(F33:F42)</f>
        <v>20.575</v>
      </c>
      <c r="G44" s="137" t="s">
        <v>76</v>
      </c>
      <c r="H44" s="136" t="n">
        <f aca="false">SUM(H33:H43)</f>
        <v>0</v>
      </c>
      <c r="I44" s="0"/>
      <c r="J44" s="320" t="n">
        <v>15</v>
      </c>
      <c r="K44" s="0"/>
      <c r="L44" s="0"/>
    </row>
    <row r="45" customFormat="false" ht="12.75" hidden="false" customHeight="false" outlineLevel="0" collapsed="false"/>
    <row r="46" customFormat="false" ht="12.75" hidden="false" customHeight="false" outlineLevel="0" collapsed="false">
      <c r="A46" s="138" t="s">
        <v>77</v>
      </c>
      <c r="B46" s="138"/>
      <c r="C46" s="138"/>
      <c r="D46" s="138"/>
      <c r="E46" s="139"/>
      <c r="F46" s="140"/>
      <c r="G46" s="93" t="s">
        <v>78</v>
      </c>
      <c r="H46" s="93"/>
      <c r="I46" s="93"/>
      <c r="J46" s="93"/>
      <c r="K46" s="93"/>
      <c r="L46" s="93"/>
    </row>
    <row r="47" customFormat="false" ht="12" hidden="false" customHeight="false" outlineLevel="0" collapsed="false">
      <c r="A47" s="141" t="s">
        <v>80</v>
      </c>
      <c r="B47" s="141"/>
      <c r="C47" s="142" t="s">
        <v>81</v>
      </c>
      <c r="D47" s="142"/>
      <c r="E47" s="143" t="s">
        <v>82</v>
      </c>
      <c r="F47" s="143"/>
      <c r="G47" s="144"/>
      <c r="H47" s="142"/>
      <c r="I47" s="142" t="s">
        <v>81</v>
      </c>
      <c r="J47" s="142"/>
      <c r="K47" s="143" t="s">
        <v>82</v>
      </c>
      <c r="L47" s="143"/>
    </row>
    <row r="48" customFormat="false" ht="12" hidden="false" customHeight="false" outlineLevel="0" collapsed="false">
      <c r="A48" s="145" t="s">
        <v>89</v>
      </c>
      <c r="B48" s="353" t="n">
        <v>0.096</v>
      </c>
      <c r="C48" s="147" t="s">
        <v>452</v>
      </c>
      <c r="D48" s="353" t="n">
        <v>15</v>
      </c>
      <c r="E48" s="147" t="s">
        <v>111</v>
      </c>
      <c r="F48" s="353" t="n">
        <v>20</v>
      </c>
      <c r="G48" s="149"/>
      <c r="H48" s="150"/>
      <c r="I48" s="147" t="s">
        <v>87</v>
      </c>
      <c r="J48" s="354" t="n">
        <v>40</v>
      </c>
      <c r="K48" s="147" t="s">
        <v>94</v>
      </c>
      <c r="L48" s="340" t="n">
        <v>15</v>
      </c>
    </row>
    <row r="49" customFormat="false" ht="12" hidden="false" customHeight="false" outlineLevel="0" collapsed="false">
      <c r="A49" s="145" t="s">
        <v>92</v>
      </c>
      <c r="B49" s="353" t="n">
        <v>0.048</v>
      </c>
      <c r="C49" s="147" t="s">
        <v>128</v>
      </c>
      <c r="D49" s="353" t="n">
        <v>2</v>
      </c>
      <c r="E49" s="147" t="s">
        <v>109</v>
      </c>
      <c r="F49" s="340" t="n">
        <v>5.031</v>
      </c>
      <c r="G49" s="149"/>
      <c r="H49" s="150"/>
      <c r="I49" s="153" t="s">
        <v>87</v>
      </c>
      <c r="J49" s="353" t="n">
        <v>6</v>
      </c>
      <c r="K49" s="147" t="s">
        <v>94</v>
      </c>
      <c r="L49" s="340" t="n">
        <v>15</v>
      </c>
    </row>
    <row r="50" customFormat="false" ht="12" hidden="false" customHeight="false" outlineLevel="0" collapsed="false">
      <c r="A50" s="145" t="s">
        <v>101</v>
      </c>
      <c r="B50" s="353" t="n">
        <v>0.048</v>
      </c>
      <c r="C50" s="147" t="s">
        <v>483</v>
      </c>
      <c r="D50" s="353" t="n">
        <v>20</v>
      </c>
      <c r="E50" s="147" t="s">
        <v>365</v>
      </c>
      <c r="F50" s="340" t="n">
        <v>15</v>
      </c>
      <c r="G50" s="149"/>
      <c r="H50" s="150"/>
      <c r="I50" s="153" t="s">
        <v>91</v>
      </c>
      <c r="J50" s="355" t="n">
        <v>20</v>
      </c>
      <c r="K50" s="147" t="s">
        <v>385</v>
      </c>
      <c r="L50" s="340" t="n">
        <v>10</v>
      </c>
    </row>
    <row r="51" customFormat="false" ht="12" hidden="false" customHeight="false" outlineLevel="0" collapsed="false">
      <c r="A51" s="145" t="s">
        <v>105</v>
      </c>
      <c r="B51" s="146" t="n">
        <v>0</v>
      </c>
      <c r="C51" s="147"/>
      <c r="D51" s="146"/>
      <c r="E51" s="147" t="s">
        <v>484</v>
      </c>
      <c r="F51" s="340" t="n">
        <v>9</v>
      </c>
      <c r="G51" s="149"/>
      <c r="H51" s="150"/>
      <c r="I51" s="153" t="s">
        <v>91</v>
      </c>
      <c r="J51" s="353" t="n">
        <v>20</v>
      </c>
      <c r="K51" s="147" t="s">
        <v>457</v>
      </c>
      <c r="L51" s="340" t="n">
        <v>10</v>
      </c>
    </row>
    <row r="52" customFormat="false" ht="12" hidden="false" customHeight="false" outlineLevel="0" collapsed="false">
      <c r="A52" s="145" t="s">
        <v>109</v>
      </c>
      <c r="B52" s="356" t="n">
        <f aca="false">2.825+7</f>
        <v>9.825</v>
      </c>
      <c r="C52" s="147"/>
      <c r="D52" s="146"/>
      <c r="E52" s="147" t="s">
        <v>483</v>
      </c>
      <c r="F52" s="340" t="n">
        <v>15</v>
      </c>
      <c r="G52" s="149"/>
      <c r="H52" s="150"/>
      <c r="I52" s="153" t="s">
        <v>94</v>
      </c>
      <c r="J52" s="353" t="n">
        <v>20</v>
      </c>
      <c r="K52" s="147" t="s">
        <v>457</v>
      </c>
      <c r="L52" s="340" t="n">
        <v>5</v>
      </c>
    </row>
    <row r="53" customFormat="false" ht="12" hidden="false" customHeight="false" outlineLevel="0" collapsed="false">
      <c r="A53" s="145"/>
      <c r="B53" s="146"/>
      <c r="C53" s="147"/>
      <c r="D53" s="146"/>
      <c r="E53" s="147" t="s">
        <v>485</v>
      </c>
      <c r="F53" s="340" t="n">
        <v>15</v>
      </c>
      <c r="G53" s="149"/>
      <c r="H53" s="150"/>
      <c r="I53" s="153" t="s">
        <v>102</v>
      </c>
      <c r="J53" s="353" t="n">
        <v>2.729</v>
      </c>
      <c r="K53" s="147" t="s">
        <v>457</v>
      </c>
      <c r="L53" s="353" t="n">
        <v>25</v>
      </c>
    </row>
    <row r="54" customFormat="false" ht="12" hidden="false" customHeight="false" outlineLevel="0" collapsed="false">
      <c r="A54" s="145"/>
      <c r="B54" s="146"/>
      <c r="C54" s="147"/>
      <c r="D54" s="146"/>
      <c r="E54" s="147" t="s">
        <v>486</v>
      </c>
      <c r="F54" s="340" t="n">
        <v>5</v>
      </c>
      <c r="G54" s="149"/>
      <c r="H54" s="150"/>
      <c r="I54" s="153" t="s">
        <v>455</v>
      </c>
      <c r="J54" s="353" t="n">
        <v>10</v>
      </c>
      <c r="K54" s="147" t="s">
        <v>403</v>
      </c>
      <c r="L54" s="340" t="n">
        <v>15</v>
      </c>
    </row>
    <row r="55" customFormat="false" ht="12" hidden="false" customHeight="false" outlineLevel="0" collapsed="false">
      <c r="A55" s="145"/>
      <c r="B55" s="146"/>
      <c r="C55" s="147"/>
      <c r="D55" s="146"/>
      <c r="E55" s="147" t="s">
        <v>487</v>
      </c>
      <c r="F55" s="340" t="n">
        <v>4</v>
      </c>
      <c r="G55" s="149"/>
      <c r="H55" s="150"/>
      <c r="I55" s="153" t="s">
        <v>457</v>
      </c>
      <c r="J55" s="357" t="n">
        <v>10</v>
      </c>
      <c r="K55" s="147" t="s">
        <v>111</v>
      </c>
      <c r="L55" s="340" t="n">
        <v>20</v>
      </c>
    </row>
    <row r="56" customFormat="false" ht="12" hidden="false" customHeight="false" outlineLevel="0" collapsed="false">
      <c r="A56" s="149"/>
      <c r="B56" s="150"/>
      <c r="C56" s="147"/>
      <c r="D56" s="146"/>
      <c r="E56" s="147" t="s">
        <v>459</v>
      </c>
      <c r="F56" s="152" t="n">
        <v>20</v>
      </c>
      <c r="G56" s="149"/>
      <c r="H56" s="150"/>
      <c r="I56" s="153" t="s">
        <v>427</v>
      </c>
      <c r="J56" s="358" t="n">
        <v>15</v>
      </c>
      <c r="K56" s="147" t="s">
        <v>488</v>
      </c>
      <c r="L56" s="340" t="n">
        <v>5</v>
      </c>
    </row>
    <row r="57" customFormat="false" ht="12" hidden="false" customHeight="false" outlineLevel="0" collapsed="false">
      <c r="A57" s="149"/>
      <c r="B57" s="150"/>
      <c r="C57" s="147"/>
      <c r="D57" s="146"/>
      <c r="E57" s="147" t="s">
        <v>111</v>
      </c>
      <c r="F57" s="146" t="n">
        <v>10</v>
      </c>
      <c r="G57" s="149"/>
      <c r="H57" s="150"/>
      <c r="I57" s="153" t="s">
        <v>112</v>
      </c>
      <c r="J57" s="353" t="n">
        <v>2</v>
      </c>
      <c r="K57" s="147" t="s">
        <v>489</v>
      </c>
      <c r="L57" s="340" t="n">
        <v>10</v>
      </c>
    </row>
    <row r="58" customFormat="false" ht="12" hidden="false" customHeight="false" outlineLevel="0" collapsed="false">
      <c r="A58" s="149"/>
      <c r="B58" s="150"/>
      <c r="C58" s="147"/>
      <c r="D58" s="146"/>
      <c r="E58" s="147" t="s">
        <v>490</v>
      </c>
      <c r="F58" s="146" t="n">
        <v>10</v>
      </c>
      <c r="G58" s="149"/>
      <c r="H58" s="150"/>
      <c r="I58" s="153" t="s">
        <v>115</v>
      </c>
      <c r="J58" s="353" t="n">
        <v>30</v>
      </c>
      <c r="K58" s="147" t="s">
        <v>95</v>
      </c>
      <c r="L58" s="340" t="n">
        <v>20</v>
      </c>
    </row>
    <row r="59" customFormat="false" ht="12" hidden="false" customHeight="false" outlineLevel="0" collapsed="false">
      <c r="A59" s="162"/>
      <c r="B59" s="163"/>
      <c r="C59" s="147"/>
      <c r="D59" s="146"/>
      <c r="E59" s="147" t="s">
        <v>491</v>
      </c>
      <c r="F59" s="146" t="n">
        <v>15</v>
      </c>
      <c r="G59" s="149"/>
      <c r="H59" s="150"/>
      <c r="I59" s="147" t="s">
        <v>117</v>
      </c>
      <c r="J59" s="353" t="n">
        <v>10</v>
      </c>
      <c r="K59" s="147" t="s">
        <v>100</v>
      </c>
      <c r="L59" s="340" t="n">
        <v>5</v>
      </c>
    </row>
    <row r="60" customFormat="false" ht="12" hidden="false" customHeight="false" outlineLevel="0" collapsed="false">
      <c r="A60" s="162"/>
      <c r="B60" s="163"/>
      <c r="C60" s="147"/>
      <c r="D60" s="146"/>
      <c r="E60" s="147" t="s">
        <v>492</v>
      </c>
      <c r="F60" s="160" t="n">
        <v>10</v>
      </c>
      <c r="G60" s="149"/>
      <c r="H60" s="150"/>
      <c r="I60" s="147" t="s">
        <v>121</v>
      </c>
      <c r="J60" s="353" t="n">
        <v>20</v>
      </c>
      <c r="K60" s="147" t="s">
        <v>100</v>
      </c>
      <c r="L60" s="340" t="n">
        <v>5</v>
      </c>
    </row>
    <row r="61" customFormat="false" ht="12" hidden="false" customHeight="false" outlineLevel="0" collapsed="false">
      <c r="A61" s="162"/>
      <c r="B61" s="163"/>
      <c r="C61" s="147"/>
      <c r="D61" s="146"/>
      <c r="E61" s="147" t="s">
        <v>493</v>
      </c>
      <c r="F61" s="160" t="n">
        <v>6</v>
      </c>
      <c r="G61" s="149"/>
      <c r="H61" s="150"/>
      <c r="I61" s="147"/>
      <c r="J61" s="146"/>
      <c r="K61" s="147" t="s">
        <v>383</v>
      </c>
      <c r="L61" s="340" t="n">
        <v>1.3</v>
      </c>
    </row>
    <row r="62" customFormat="false" ht="12" hidden="false" customHeight="false" outlineLevel="0" collapsed="false">
      <c r="A62" s="162"/>
      <c r="B62" s="163"/>
      <c r="C62" s="147"/>
      <c r="D62" s="146"/>
      <c r="E62" s="147" t="s">
        <v>494</v>
      </c>
      <c r="F62" s="160" t="n">
        <v>10</v>
      </c>
      <c r="G62" s="149"/>
      <c r="H62" s="150"/>
      <c r="I62" s="147"/>
      <c r="J62" s="146"/>
      <c r="K62" s="147" t="s">
        <v>383</v>
      </c>
      <c r="L62" s="340" t="n">
        <v>3</v>
      </c>
    </row>
    <row r="63" customFormat="false" ht="12" hidden="false" customHeight="false" outlineLevel="0" collapsed="false">
      <c r="A63" s="162"/>
      <c r="B63" s="163"/>
      <c r="C63" s="147"/>
      <c r="D63" s="146"/>
      <c r="E63" s="147" t="s">
        <v>380</v>
      </c>
      <c r="F63" s="160" t="n">
        <v>15</v>
      </c>
      <c r="G63" s="149"/>
      <c r="H63" s="150"/>
      <c r="I63" s="147"/>
      <c r="J63" s="146"/>
      <c r="K63" s="147" t="s">
        <v>400</v>
      </c>
      <c r="L63" s="340" t="n">
        <v>10</v>
      </c>
    </row>
    <row r="64" customFormat="false" ht="12" hidden="false" customHeight="false" outlineLevel="0" collapsed="false">
      <c r="A64" s="162"/>
      <c r="B64" s="163"/>
      <c r="C64" s="147"/>
      <c r="D64" s="146"/>
      <c r="E64" s="147" t="s">
        <v>495</v>
      </c>
      <c r="F64" s="160" t="n">
        <v>15</v>
      </c>
      <c r="G64" s="149"/>
      <c r="H64" s="150"/>
      <c r="I64" s="147"/>
      <c r="J64" s="146"/>
      <c r="K64" s="147" t="s">
        <v>400</v>
      </c>
      <c r="L64" s="340" t="n">
        <v>5</v>
      </c>
    </row>
    <row r="65" customFormat="false" ht="12" hidden="false" customHeight="false" outlineLevel="0" collapsed="false">
      <c r="A65" s="162"/>
      <c r="B65" s="163"/>
      <c r="C65" s="147"/>
      <c r="D65" s="146"/>
      <c r="E65" s="147" t="s">
        <v>106</v>
      </c>
      <c r="F65" s="160" t="n">
        <v>8</v>
      </c>
      <c r="G65" s="149"/>
      <c r="H65" s="150"/>
      <c r="I65" s="147"/>
      <c r="J65" s="146"/>
      <c r="K65" s="147" t="s">
        <v>121</v>
      </c>
      <c r="L65" s="340" t="n">
        <v>12.5</v>
      </c>
    </row>
    <row r="66" customFormat="false" ht="12" hidden="false" customHeight="false" outlineLevel="0" collapsed="false">
      <c r="A66" s="162"/>
      <c r="B66" s="163"/>
      <c r="C66" s="147"/>
      <c r="D66" s="146"/>
      <c r="E66" s="147" t="s">
        <v>111</v>
      </c>
      <c r="F66" s="160" t="n">
        <v>15</v>
      </c>
      <c r="G66" s="149"/>
      <c r="H66" s="150"/>
      <c r="I66" s="147"/>
      <c r="J66" s="146"/>
      <c r="K66" s="147" t="s">
        <v>457</v>
      </c>
      <c r="L66" s="340" t="n">
        <v>5</v>
      </c>
    </row>
    <row r="67" customFormat="false" ht="12" hidden="false" customHeight="false" outlineLevel="0" collapsed="false">
      <c r="A67" s="162"/>
      <c r="B67" s="163"/>
      <c r="C67" s="147"/>
      <c r="D67" s="146"/>
      <c r="E67" s="147"/>
      <c r="F67" s="160"/>
      <c r="G67" s="149"/>
      <c r="H67" s="150"/>
      <c r="I67" s="147"/>
      <c r="J67" s="146"/>
      <c r="K67" s="147" t="s">
        <v>488</v>
      </c>
      <c r="L67" s="340" t="n">
        <v>5</v>
      </c>
    </row>
    <row r="68" customFormat="false" ht="12" hidden="false" customHeight="false" outlineLevel="0" collapsed="false">
      <c r="A68" s="162"/>
      <c r="B68" s="163"/>
      <c r="C68" s="147"/>
      <c r="D68" s="146"/>
      <c r="E68" s="147"/>
      <c r="F68" s="160"/>
      <c r="G68" s="149"/>
      <c r="H68" s="150"/>
      <c r="I68" s="147"/>
      <c r="J68" s="146"/>
      <c r="K68" s="147" t="s">
        <v>488</v>
      </c>
      <c r="L68" s="340" t="n">
        <v>10</v>
      </c>
    </row>
    <row r="69" customFormat="false" ht="12" hidden="false" customHeight="false" outlineLevel="0" collapsed="false">
      <c r="A69" s="162"/>
      <c r="B69" s="163"/>
      <c r="C69" s="147"/>
      <c r="D69" s="146"/>
      <c r="E69" s="147"/>
      <c r="F69" s="160"/>
      <c r="G69" s="149"/>
      <c r="H69" s="150"/>
      <c r="I69" s="147"/>
      <c r="J69" s="146"/>
      <c r="K69" s="147" t="s">
        <v>457</v>
      </c>
      <c r="L69" s="340" t="n">
        <v>5</v>
      </c>
    </row>
    <row r="70" customFormat="false" ht="12" hidden="false" customHeight="false" outlineLevel="0" collapsed="false">
      <c r="A70" s="162"/>
      <c r="B70" s="163"/>
      <c r="C70" s="147"/>
      <c r="D70" s="146"/>
      <c r="E70" s="147"/>
      <c r="F70" s="160"/>
      <c r="G70" s="149"/>
      <c r="H70" s="150"/>
      <c r="I70" s="147"/>
      <c r="J70" s="146"/>
      <c r="K70" s="147" t="s">
        <v>469</v>
      </c>
      <c r="L70" s="152" t="n">
        <v>21.866</v>
      </c>
    </row>
    <row r="71" customFormat="false" ht="12" hidden="false" customHeight="false" outlineLevel="0" collapsed="false">
      <c r="A71" s="162"/>
      <c r="B71" s="163"/>
      <c r="C71" s="147"/>
      <c r="D71" s="146"/>
      <c r="E71" s="147"/>
      <c r="F71" s="160"/>
      <c r="G71" s="149"/>
      <c r="H71" s="150"/>
      <c r="I71" s="147"/>
      <c r="J71" s="146"/>
      <c r="K71" s="147" t="s">
        <v>118</v>
      </c>
      <c r="L71" s="152" t="n">
        <v>0.33</v>
      </c>
    </row>
    <row r="72" customFormat="false" ht="12" hidden="false" customHeight="false" outlineLevel="0" collapsed="false">
      <c r="A72" s="162"/>
      <c r="B72" s="163"/>
      <c r="C72" s="147"/>
      <c r="D72" s="146"/>
      <c r="E72" s="147"/>
      <c r="F72" s="160"/>
      <c r="G72" s="149"/>
      <c r="H72" s="150"/>
      <c r="I72" s="147"/>
      <c r="J72" s="146"/>
      <c r="K72" s="147" t="s">
        <v>391</v>
      </c>
      <c r="L72" s="152" t="n">
        <v>0.375</v>
      </c>
    </row>
    <row r="73" customFormat="false" ht="12" hidden="false" customHeight="false" outlineLevel="0" collapsed="false">
      <c r="A73" s="162"/>
      <c r="B73" s="163"/>
      <c r="C73" s="147"/>
      <c r="D73" s="146"/>
      <c r="E73" s="147"/>
      <c r="F73" s="160"/>
      <c r="G73" s="149"/>
      <c r="H73" s="150"/>
      <c r="I73" s="147"/>
      <c r="J73" s="146"/>
      <c r="K73" s="147" t="s">
        <v>457</v>
      </c>
      <c r="L73" s="152" t="n">
        <v>1.742</v>
      </c>
    </row>
    <row r="74" customFormat="false" ht="12" hidden="false" customHeight="false" outlineLevel="0" collapsed="false">
      <c r="A74" s="162"/>
      <c r="B74" s="163"/>
      <c r="C74" s="147"/>
      <c r="D74" s="146"/>
      <c r="E74" s="147"/>
      <c r="F74" s="160"/>
      <c r="G74" s="149"/>
      <c r="H74" s="150"/>
      <c r="I74" s="147"/>
      <c r="J74" s="146"/>
      <c r="K74" s="147" t="s">
        <v>365</v>
      </c>
      <c r="L74" s="152" t="n">
        <v>10</v>
      </c>
    </row>
    <row r="75" customFormat="false" ht="12" hidden="false" customHeight="false" outlineLevel="0" collapsed="false">
      <c r="A75" s="162"/>
      <c r="B75" s="163"/>
      <c r="C75" s="147"/>
      <c r="D75" s="146"/>
      <c r="E75" s="147"/>
      <c r="F75" s="160"/>
      <c r="G75" s="149"/>
      <c r="H75" s="150"/>
      <c r="I75" s="147"/>
      <c r="J75" s="146"/>
      <c r="K75" s="147" t="s">
        <v>387</v>
      </c>
      <c r="L75" s="152" t="n">
        <v>20</v>
      </c>
    </row>
    <row r="76" customFormat="false" ht="12" hidden="false" customHeight="false" outlineLevel="0" collapsed="false">
      <c r="A76" s="162"/>
      <c r="B76" s="163"/>
      <c r="C76" s="147"/>
      <c r="D76" s="146"/>
      <c r="E76" s="147"/>
      <c r="F76" s="160"/>
      <c r="G76" s="149"/>
      <c r="H76" s="150"/>
      <c r="I76" s="147"/>
      <c r="J76" s="146"/>
      <c r="K76" s="147"/>
      <c r="L76" s="152"/>
    </row>
    <row r="77" customFormat="false" ht="12" hidden="false" customHeight="false" outlineLevel="0" collapsed="false">
      <c r="A77" s="162"/>
      <c r="B77" s="163"/>
      <c r="C77" s="147"/>
      <c r="D77" s="146"/>
      <c r="E77" s="147"/>
      <c r="F77" s="160"/>
      <c r="G77" s="149"/>
      <c r="H77" s="150"/>
      <c r="I77" s="147"/>
      <c r="J77" s="146"/>
      <c r="K77" s="147"/>
      <c r="L77" s="152"/>
    </row>
    <row r="78" customFormat="false" ht="12" hidden="false" customHeight="false" outlineLevel="0" collapsed="false">
      <c r="A78" s="162"/>
      <c r="B78" s="163"/>
      <c r="C78" s="164" t="s">
        <v>129</v>
      </c>
      <c r="D78" s="165"/>
      <c r="E78" s="166"/>
      <c r="F78" s="167"/>
      <c r="G78" s="149"/>
      <c r="H78" s="150"/>
      <c r="I78" s="164" t="s">
        <v>129</v>
      </c>
      <c r="J78" s="168"/>
      <c r="K78" s="169"/>
      <c r="L78" s="170"/>
    </row>
    <row r="79" customFormat="false" ht="12" hidden="false" customHeight="false" outlineLevel="0" collapsed="false">
      <c r="A79" s="162"/>
      <c r="B79" s="163"/>
      <c r="C79" s="147" t="s">
        <v>130</v>
      </c>
      <c r="D79" s="353" t="n">
        <v>18</v>
      </c>
      <c r="E79" s="147" t="s">
        <v>133</v>
      </c>
      <c r="F79" s="340" t="n">
        <v>8.75</v>
      </c>
      <c r="G79" s="171"/>
      <c r="H79" s="150"/>
      <c r="I79" s="147" t="s">
        <v>132</v>
      </c>
      <c r="J79" s="353" t="n">
        <v>8</v>
      </c>
      <c r="K79" s="147" t="s">
        <v>387</v>
      </c>
      <c r="L79" s="340" t="n">
        <v>20</v>
      </c>
    </row>
    <row r="80" customFormat="false" ht="12" hidden="false" customHeight="false" outlineLevel="0" collapsed="false">
      <c r="A80" s="162"/>
      <c r="B80" s="163"/>
      <c r="C80" s="147" t="s">
        <v>437</v>
      </c>
      <c r="D80" s="353" t="n">
        <v>5</v>
      </c>
      <c r="E80" s="147" t="s">
        <v>496</v>
      </c>
      <c r="F80" s="340" t="n">
        <v>20</v>
      </c>
      <c r="G80" s="149"/>
      <c r="H80" s="150"/>
      <c r="I80" s="147"/>
      <c r="J80" s="146"/>
      <c r="K80" s="147" t="s">
        <v>420</v>
      </c>
      <c r="L80" s="340" t="n">
        <v>5</v>
      </c>
    </row>
    <row r="81" customFormat="false" ht="12" hidden="false" customHeight="false" outlineLevel="0" collapsed="false">
      <c r="A81" s="162"/>
      <c r="B81" s="163"/>
      <c r="C81" s="147" t="s">
        <v>435</v>
      </c>
      <c r="D81" s="353" t="n">
        <v>5</v>
      </c>
      <c r="E81" s="147" t="s">
        <v>420</v>
      </c>
      <c r="F81" s="340" t="n">
        <v>5</v>
      </c>
      <c r="G81" s="149"/>
      <c r="H81" s="150"/>
      <c r="I81" s="147"/>
      <c r="J81" s="146"/>
      <c r="K81" s="147" t="s">
        <v>420</v>
      </c>
      <c r="L81" s="340" t="n">
        <v>5</v>
      </c>
    </row>
    <row r="82" customFormat="false" ht="12" hidden="false" customHeight="false" outlineLevel="0" collapsed="false">
      <c r="A82" s="162"/>
      <c r="B82" s="163"/>
      <c r="C82" s="147"/>
      <c r="D82" s="146"/>
      <c r="E82" s="147" t="s">
        <v>420</v>
      </c>
      <c r="F82" s="340" t="n">
        <v>5</v>
      </c>
      <c r="G82" s="149"/>
      <c r="H82" s="150"/>
      <c r="I82" s="147"/>
      <c r="J82" s="146"/>
      <c r="K82" s="147" t="s">
        <v>496</v>
      </c>
      <c r="L82" s="340" t="n">
        <v>19.94</v>
      </c>
    </row>
    <row r="83" customFormat="false" ht="12" hidden="false" customHeight="false" outlineLevel="0" collapsed="false">
      <c r="A83" s="162"/>
      <c r="B83" s="163"/>
      <c r="C83" s="147"/>
      <c r="D83" s="146"/>
      <c r="E83" s="147" t="s">
        <v>462</v>
      </c>
      <c r="F83" s="340" t="n">
        <v>5</v>
      </c>
      <c r="G83" s="149"/>
      <c r="H83" s="150"/>
      <c r="I83" s="147"/>
      <c r="J83" s="146"/>
      <c r="K83" s="147" t="s">
        <v>311</v>
      </c>
      <c r="L83" s="340" t="n">
        <v>10</v>
      </c>
    </row>
    <row r="84" customFormat="false" ht="12" hidden="false" customHeight="false" outlineLevel="0" collapsed="false">
      <c r="A84" s="162"/>
      <c r="B84" s="163"/>
      <c r="C84" s="147"/>
      <c r="D84" s="146"/>
      <c r="E84" s="147" t="s">
        <v>121</v>
      </c>
      <c r="F84" s="340" t="n">
        <v>10</v>
      </c>
      <c r="G84" s="149"/>
      <c r="H84" s="150"/>
      <c r="I84" s="147"/>
      <c r="J84" s="146"/>
      <c r="K84" s="147" t="s">
        <v>113</v>
      </c>
      <c r="L84" s="340" t="n">
        <v>5</v>
      </c>
    </row>
    <row r="85" customFormat="false" ht="12" hidden="false" customHeight="false" outlineLevel="0" collapsed="false">
      <c r="A85" s="162"/>
      <c r="B85" s="163"/>
      <c r="C85" s="147"/>
      <c r="D85" s="146"/>
      <c r="E85" s="147" t="s">
        <v>497</v>
      </c>
      <c r="F85" s="340" t="n">
        <v>5</v>
      </c>
      <c r="G85" s="149"/>
      <c r="H85" s="150"/>
      <c r="I85" s="147"/>
      <c r="J85" s="146"/>
      <c r="K85" s="343" t="s">
        <v>497</v>
      </c>
      <c r="L85" s="340" t="n">
        <v>5</v>
      </c>
    </row>
    <row r="86" customFormat="false" ht="12" hidden="false" customHeight="false" outlineLevel="0" collapsed="false">
      <c r="A86" s="162"/>
      <c r="B86" s="163"/>
      <c r="C86" s="147"/>
      <c r="D86" s="146"/>
      <c r="E86" s="147" t="s">
        <v>88</v>
      </c>
      <c r="F86" s="152" t="n">
        <v>5</v>
      </c>
      <c r="G86" s="149"/>
      <c r="H86" s="150"/>
      <c r="I86" s="147"/>
      <c r="J86" s="146"/>
      <c r="K86" s="147" t="s">
        <v>497</v>
      </c>
      <c r="L86" s="340" t="n">
        <v>5</v>
      </c>
    </row>
    <row r="87" customFormat="false" ht="12" hidden="false" customHeight="false" outlineLevel="0" collapsed="false">
      <c r="A87" s="162"/>
      <c r="B87" s="163"/>
      <c r="C87" s="147"/>
      <c r="D87" s="146"/>
      <c r="E87" s="147" t="s">
        <v>88</v>
      </c>
      <c r="F87" s="152" t="n">
        <v>5</v>
      </c>
      <c r="G87" s="149"/>
      <c r="H87" s="150"/>
      <c r="I87" s="147"/>
      <c r="J87" s="146"/>
      <c r="K87" s="147" t="s">
        <v>497</v>
      </c>
      <c r="L87" s="340" t="n">
        <v>5</v>
      </c>
    </row>
    <row r="88" customFormat="false" ht="12" hidden="false" customHeight="false" outlineLevel="0" collapsed="false">
      <c r="A88" s="162"/>
      <c r="B88" s="163"/>
      <c r="C88" s="147"/>
      <c r="D88" s="146"/>
      <c r="E88" s="147" t="s">
        <v>131</v>
      </c>
      <c r="F88" s="152" t="n">
        <v>5</v>
      </c>
      <c r="G88" s="149"/>
      <c r="H88" s="150"/>
      <c r="I88" s="147"/>
      <c r="J88" s="146"/>
      <c r="K88" s="147" t="s">
        <v>405</v>
      </c>
      <c r="L88" s="152" t="n">
        <v>1.5</v>
      </c>
    </row>
    <row r="89" customFormat="false" ht="12" hidden="false" customHeight="false" outlineLevel="0" collapsed="false">
      <c r="A89" s="162"/>
      <c r="B89" s="163"/>
      <c r="C89" s="147"/>
      <c r="D89" s="146"/>
      <c r="E89" s="147"/>
      <c r="F89" s="152"/>
      <c r="G89" s="149"/>
      <c r="H89" s="150"/>
      <c r="I89" s="147"/>
      <c r="J89" s="146"/>
      <c r="K89" s="147" t="s">
        <v>498</v>
      </c>
      <c r="L89" s="152" t="n">
        <v>10</v>
      </c>
    </row>
    <row r="90" customFormat="false" ht="12" hidden="false" customHeight="false" outlineLevel="0" collapsed="false">
      <c r="A90" s="162"/>
      <c r="B90" s="163"/>
      <c r="C90" s="147"/>
      <c r="D90" s="146"/>
      <c r="E90" s="147"/>
      <c r="F90" s="152"/>
      <c r="G90" s="149"/>
      <c r="H90" s="150"/>
      <c r="I90" s="147"/>
      <c r="J90" s="146"/>
      <c r="K90" s="147"/>
      <c r="L90" s="152"/>
    </row>
    <row r="91" customFormat="false" ht="12" hidden="false" customHeight="false" outlineLevel="0" collapsed="false">
      <c r="A91" s="162"/>
      <c r="B91" s="163"/>
      <c r="C91" s="147"/>
      <c r="D91" s="146"/>
      <c r="E91" s="147"/>
      <c r="F91" s="152"/>
      <c r="G91" s="149"/>
      <c r="H91" s="150"/>
      <c r="I91" s="147"/>
      <c r="J91" s="146"/>
      <c r="K91" s="147"/>
      <c r="L91" s="152"/>
    </row>
    <row r="92" customFormat="false" ht="12" hidden="false" customHeight="false" outlineLevel="0" collapsed="false">
      <c r="A92" s="173"/>
      <c r="B92" s="174"/>
      <c r="C92" s="175"/>
      <c r="D92" s="174"/>
      <c r="E92" s="176"/>
      <c r="F92" s="177"/>
      <c r="G92" s="173"/>
      <c r="H92" s="174"/>
      <c r="I92" s="175"/>
      <c r="J92" s="316"/>
      <c r="K92" s="178"/>
      <c r="L92" s="179"/>
    </row>
    <row r="93" customFormat="false" ht="12" hidden="false" customHeight="false" outlineLevel="0" collapsed="false">
      <c r="A93" s="180" t="s">
        <v>137</v>
      </c>
      <c r="B93" s="181" t="n">
        <f aca="false">SUM(B47:B92)</f>
        <v>10.017</v>
      </c>
      <c r="C93" s="182" t="s">
        <v>137</v>
      </c>
      <c r="D93" s="181" t="n">
        <f aca="false">SUM(D47:D92)</f>
        <v>65</v>
      </c>
      <c r="E93" s="182" t="s">
        <v>137</v>
      </c>
      <c r="F93" s="183" t="n">
        <f aca="false">SUM(F47:F92)</f>
        <v>295.781</v>
      </c>
      <c r="G93" s="180"/>
      <c r="H93" s="181"/>
      <c r="I93" s="182" t="s">
        <v>137</v>
      </c>
      <c r="J93" s="184" t="n">
        <f aca="false">SUM(J47:J92)</f>
        <v>213.729</v>
      </c>
      <c r="K93" s="182" t="s">
        <v>137</v>
      </c>
      <c r="L93" s="185" t="n">
        <f aca="false">SUM(L47:L92)</f>
        <v>362.553</v>
      </c>
    </row>
    <row r="94" customFormat="false" ht="12.75" hidden="false" customHeight="false" outlineLevel="0" collapsed="false">
      <c r="A94" s="186"/>
      <c r="B94" s="187"/>
      <c r="C94" s="188"/>
      <c r="D94" s="187"/>
      <c r="E94" s="189" t="s">
        <v>138</v>
      </c>
      <c r="F94" s="190" t="n">
        <f aca="false">+B93+F93+D93</f>
        <v>370.798</v>
      </c>
      <c r="G94" s="186"/>
      <c r="H94" s="187"/>
      <c r="I94" s="188"/>
      <c r="J94" s="187"/>
      <c r="K94" s="189" t="s">
        <v>138</v>
      </c>
      <c r="L94" s="190" t="n">
        <f aca="false">J93+L93</f>
        <v>576.282</v>
      </c>
    </row>
    <row r="95" customFormat="false" ht="12.75" hidden="false" customHeight="false" outlineLevel="0" collapsed="false">
      <c r="G95" s="191"/>
      <c r="H95" s="0"/>
    </row>
    <row r="96" customFormat="false" ht="12.75" hidden="false" customHeight="false" outlineLevel="0" collapsed="false">
      <c r="A96" s="1" t="s">
        <v>499</v>
      </c>
      <c r="H96" s="0"/>
    </row>
    <row r="97" customFormat="false" ht="12.75" hidden="false" customHeight="false" outlineLevel="0" collapsed="false">
      <c r="G97" s="295"/>
      <c r="H97" s="0"/>
    </row>
    <row r="98" customFormat="false" ht="12.75" hidden="true" customHeight="false" outlineLevel="0" collapsed="false">
      <c r="E98" s="0"/>
      <c r="G98" s="1" t="s">
        <v>139</v>
      </c>
      <c r="H98" s="0"/>
    </row>
    <row r="99" customFormat="false" ht="24" hidden="true" customHeight="false" outlineLevel="0" collapsed="false">
      <c r="A99" s="192" t="s">
        <v>140</v>
      </c>
      <c r="B99" s="192" t="s">
        <v>141</v>
      </c>
      <c r="C99" s="192" t="s">
        <v>142</v>
      </c>
      <c r="D99" s="192" t="s">
        <v>143</v>
      </c>
      <c r="E99" s="192" t="s">
        <v>144</v>
      </c>
      <c r="F99" s="192" t="s">
        <v>145</v>
      </c>
      <c r="G99" s="1" t="n">
        <v>1.65</v>
      </c>
      <c r="H99" s="0"/>
    </row>
    <row r="100" customFormat="false" ht="12.75" hidden="true" customHeight="false" outlineLevel="0" collapsed="false">
      <c r="A100" s="0" t="s">
        <v>146</v>
      </c>
      <c r="B100" s="0" t="s">
        <v>147</v>
      </c>
      <c r="C100" s="0" t="n">
        <v>10</v>
      </c>
      <c r="D100" s="0" t="n">
        <v>95</v>
      </c>
      <c r="E100" s="0" t="n">
        <v>0.09</v>
      </c>
      <c r="F100" s="0" t="n">
        <f aca="false">+$G$99*(E100/100)</f>
        <v>0.001485</v>
      </c>
      <c r="G100" s="0"/>
      <c r="H100" s="0"/>
      <c r="I100" s="0"/>
      <c r="J100" s="0"/>
      <c r="K100" s="0"/>
      <c r="L100" s="0"/>
      <c r="M100" s="0"/>
      <c r="N100" s="0"/>
      <c r="O100" s="0"/>
    </row>
    <row r="101" customFormat="false" ht="12.75" hidden="true" customHeight="false" outlineLevel="0" collapsed="false">
      <c r="A101" s="0"/>
      <c r="B101" s="0" t="s">
        <v>148</v>
      </c>
      <c r="C101" s="0" t="n">
        <v>42</v>
      </c>
      <c r="D101" s="0" t="n">
        <v>65</v>
      </c>
      <c r="E101" s="0" t="n">
        <v>0.27</v>
      </c>
      <c r="F101" s="0" t="n">
        <f aca="false">+$G$99*(E101/100)</f>
        <v>0.004455</v>
      </c>
      <c r="G101" s="0"/>
      <c r="H101" s="0"/>
      <c r="I101" s="0"/>
      <c r="J101" s="0"/>
      <c r="K101" s="0"/>
      <c r="L101" s="0"/>
      <c r="M101" s="0"/>
      <c r="N101" s="0"/>
      <c r="O101" s="0"/>
    </row>
    <row r="102" customFormat="false" ht="12.75" hidden="true" customHeight="false" outlineLevel="0" collapsed="false">
      <c r="A102" s="0"/>
      <c r="B102" s="0" t="s">
        <v>149</v>
      </c>
      <c r="C102" s="0" t="n">
        <v>89</v>
      </c>
      <c r="D102" s="0" t="n">
        <v>43.87</v>
      </c>
      <c r="E102" s="0" t="n">
        <v>0.39</v>
      </c>
      <c r="F102" s="0" t="n">
        <f aca="false">+$G$99*(E102/100)</f>
        <v>0.006435</v>
      </c>
      <c r="G102" s="0"/>
      <c r="H102" s="0"/>
      <c r="I102" s="0"/>
      <c r="J102" s="0"/>
      <c r="K102" s="0"/>
      <c r="L102" s="0"/>
      <c r="M102" s="0"/>
      <c r="N102" s="0"/>
      <c r="O102" s="0"/>
    </row>
    <row r="103" customFormat="false" ht="12.75" hidden="true" customHeight="false" outlineLevel="0" collapsed="false">
      <c r="A103" s="0"/>
      <c r="B103" s="0" t="s">
        <v>150</v>
      </c>
      <c r="C103" s="0" t="n">
        <v>2.44</v>
      </c>
      <c r="D103" s="0" t="n">
        <v>1.05</v>
      </c>
      <c r="E103" s="0" t="n">
        <v>0.03</v>
      </c>
      <c r="F103" s="0" t="n">
        <f aca="false">+$G$99*(E103/100)</f>
        <v>0.000495</v>
      </c>
      <c r="G103" s="0"/>
      <c r="H103" s="0"/>
      <c r="I103" s="0"/>
      <c r="J103" s="0"/>
      <c r="K103" s="0"/>
      <c r="L103" s="0"/>
      <c r="M103" s="0"/>
      <c r="N103" s="0"/>
      <c r="O103" s="0"/>
    </row>
    <row r="104" customFormat="false" ht="12.75" hidden="true" customHeight="false" outlineLevel="0" collapsed="false">
      <c r="A104" s="0"/>
      <c r="B104" s="0"/>
      <c r="C104" s="0"/>
      <c r="D104" s="0"/>
      <c r="E104" s="193" t="s">
        <v>138</v>
      </c>
      <c r="F104" s="0" t="n">
        <f aca="false">SUM(F100:F103)</f>
        <v>0.01287</v>
      </c>
      <c r="G104" s="0"/>
      <c r="H104" s="0"/>
      <c r="I104" s="0"/>
      <c r="J104" s="0"/>
      <c r="K104" s="0"/>
      <c r="L104" s="0"/>
      <c r="M104" s="0"/>
      <c r="N104" s="0"/>
      <c r="O104" s="0"/>
    </row>
    <row r="105" customFormat="false" ht="12.75" hidden="true" customHeight="false" outlineLevel="0" collapsed="false">
      <c r="A105" s="0"/>
      <c r="B105" s="0"/>
      <c r="C105" s="0"/>
      <c r="D105" s="0"/>
      <c r="E105" s="193"/>
      <c r="F105" s="0"/>
      <c r="G105" s="0"/>
      <c r="H105" s="0"/>
      <c r="I105" s="0"/>
      <c r="J105" s="0"/>
      <c r="K105" s="0"/>
      <c r="L105" s="0"/>
      <c r="M105" s="0"/>
      <c r="N105" s="0"/>
      <c r="O105" s="0"/>
    </row>
    <row r="106" customFormat="false" ht="12.75" hidden="true" customHeight="false" outlineLevel="0" collapsed="false">
      <c r="A106" s="0" t="s">
        <v>151</v>
      </c>
      <c r="B106" s="0" t="s">
        <v>152</v>
      </c>
      <c r="C106" s="194" t="n">
        <v>0.27</v>
      </c>
      <c r="D106" s="194" t="n">
        <v>96.33</v>
      </c>
      <c r="E106" s="194" t="n">
        <v>0.26</v>
      </c>
      <c r="F106" s="194" t="n">
        <f aca="false">+$G$99*(E106/100)</f>
        <v>0.00429</v>
      </c>
      <c r="G106" s="0"/>
      <c r="H106" s="0"/>
      <c r="I106" s="0"/>
      <c r="J106" s="0"/>
      <c r="K106" s="0"/>
      <c r="L106" s="0"/>
      <c r="M106" s="0"/>
      <c r="N106" s="0"/>
      <c r="O106" s="0"/>
    </row>
    <row r="107" customFormat="false" ht="12.75" hidden="true" customHeight="false" outlineLevel="0" collapsed="false">
      <c r="A107" s="0"/>
      <c r="B107" s="0" t="s">
        <v>153</v>
      </c>
      <c r="C107" s="194" t="n">
        <v>0.36</v>
      </c>
      <c r="D107" s="194" t="n">
        <v>85.77</v>
      </c>
      <c r="E107" s="194" t="n">
        <v>0.31</v>
      </c>
      <c r="F107" s="194" t="n">
        <f aca="false">+$G$99*(E107/100)</f>
        <v>0.005115</v>
      </c>
      <c r="G107" s="0"/>
      <c r="H107" s="0"/>
      <c r="I107" s="0"/>
      <c r="J107" s="0"/>
      <c r="K107" s="0"/>
      <c r="L107" s="0"/>
      <c r="M107" s="0"/>
      <c r="N107" s="0"/>
      <c r="O107" s="0"/>
    </row>
    <row r="108" customFormat="false" ht="12.75" hidden="true" customHeight="false" outlineLevel="0" collapsed="false">
      <c r="A108" s="0"/>
      <c r="B108" s="0" t="s">
        <v>154</v>
      </c>
      <c r="C108" s="194" t="n">
        <v>0.8</v>
      </c>
      <c r="D108" s="194" t="n">
        <v>9.94</v>
      </c>
      <c r="E108" s="194" t="n">
        <v>0.08</v>
      </c>
      <c r="F108" s="194" t="n">
        <f aca="false">+$G$99*(E108/100)</f>
        <v>0.00132</v>
      </c>
      <c r="G108" s="0"/>
      <c r="H108" s="0"/>
      <c r="I108" s="0"/>
      <c r="J108" s="0"/>
      <c r="K108" s="0"/>
      <c r="L108" s="0"/>
      <c r="M108" s="0"/>
      <c r="N108" s="0"/>
      <c r="O108" s="0"/>
    </row>
    <row r="109" customFormat="false" ht="12.75" hidden="true" customHeight="false" outlineLevel="0" collapsed="false">
      <c r="A109" s="0"/>
      <c r="B109" s="0" t="s">
        <v>155</v>
      </c>
      <c r="C109" s="194" t="n">
        <v>1.14</v>
      </c>
      <c r="D109" s="194" t="n">
        <v>6.21</v>
      </c>
      <c r="E109" s="194" t="n">
        <v>0.07</v>
      </c>
      <c r="F109" s="194" t="n">
        <f aca="false">+$G$99*(E109/100)</f>
        <v>0.001155</v>
      </c>
      <c r="G109" s="0"/>
      <c r="H109" s="0"/>
      <c r="I109" s="0"/>
      <c r="J109" s="0"/>
      <c r="K109" s="0"/>
      <c r="L109" s="0"/>
      <c r="M109" s="0"/>
      <c r="N109" s="0"/>
      <c r="O109" s="0"/>
    </row>
    <row r="110" customFormat="false" ht="12.75" hidden="true" customHeight="false" outlineLevel="0" collapsed="false">
      <c r="A110" s="0"/>
      <c r="B110" s="0"/>
      <c r="C110" s="194"/>
      <c r="D110" s="194"/>
      <c r="E110" s="195" t="s">
        <v>156</v>
      </c>
      <c r="F110" s="194" t="n">
        <f aca="false">SUM(F107:F109)</f>
        <v>0.00759</v>
      </c>
      <c r="G110" s="0"/>
      <c r="H110" s="0"/>
      <c r="I110" s="0"/>
      <c r="J110" s="0"/>
      <c r="K110" s="0"/>
      <c r="L110" s="0"/>
      <c r="M110" s="0"/>
      <c r="N110" s="0"/>
      <c r="O110" s="0"/>
    </row>
    <row r="111" customFormat="false" ht="12.75" hidden="true" customHeight="false" outlineLevel="0" collapsed="false">
      <c r="A111" s="0"/>
      <c r="B111" s="0"/>
      <c r="C111" s="194"/>
      <c r="D111" s="194"/>
      <c r="E111" s="195" t="s">
        <v>157</v>
      </c>
      <c r="F111" s="194" t="n">
        <f aca="false">SUM(F106:F109)</f>
        <v>0.01188</v>
      </c>
      <c r="G111" s="0"/>
      <c r="H111" s="0"/>
      <c r="I111" s="0"/>
      <c r="J111" s="0"/>
      <c r="K111" s="0"/>
      <c r="L111" s="0"/>
      <c r="M111" s="0"/>
      <c r="N111" s="0"/>
      <c r="O111" s="0"/>
    </row>
    <row r="112" customFormat="false" ht="12.75" hidden="true" customHeight="false" outlineLevel="0" collapsed="false">
      <c r="A112" s="0"/>
      <c r="B112" s="0"/>
      <c r="C112" s="194"/>
      <c r="D112" s="194"/>
      <c r="E112" s="194"/>
      <c r="F112" s="194"/>
      <c r="G112" s="0"/>
      <c r="H112" s="0"/>
      <c r="I112" s="0"/>
      <c r="J112" s="0"/>
      <c r="K112" s="0"/>
      <c r="L112" s="0"/>
      <c r="M112" s="0"/>
      <c r="N112" s="0"/>
      <c r="O112" s="0"/>
    </row>
    <row r="113" customFormat="false" ht="12.75" hidden="true" customHeight="false" outlineLevel="0" collapsed="false">
      <c r="A113" s="0" t="s">
        <v>158</v>
      </c>
      <c r="B113" s="0" t="s">
        <v>158</v>
      </c>
      <c r="C113" s="194" t="n">
        <v>0.62</v>
      </c>
      <c r="D113" s="194" t="n">
        <v>94.29</v>
      </c>
      <c r="E113" s="194" t="n">
        <v>0.58</v>
      </c>
      <c r="F113" s="194" t="n">
        <f aca="false">+$G$99*(E113/100)</f>
        <v>0.00957</v>
      </c>
      <c r="G113" s="0"/>
      <c r="H113" s="0"/>
      <c r="I113" s="0"/>
      <c r="J113" s="0"/>
      <c r="K113" s="0"/>
      <c r="L113" s="0"/>
      <c r="M113" s="0"/>
      <c r="N113" s="0"/>
      <c r="O113" s="0"/>
    </row>
    <row r="114" customFormat="false" ht="12.75" hidden="true" customHeight="false" outlineLevel="0" collapsed="false">
      <c r="A114" s="0"/>
      <c r="B114" s="0"/>
      <c r="C114" s="194"/>
      <c r="D114" s="194"/>
      <c r="E114" s="194"/>
      <c r="F114" s="194"/>
      <c r="G114" s="0"/>
      <c r="H114" s="0"/>
      <c r="I114" s="0"/>
      <c r="J114" s="0"/>
      <c r="K114" s="0"/>
      <c r="L114" s="0"/>
      <c r="M114" s="0"/>
      <c r="N114" s="0"/>
      <c r="O114" s="0"/>
    </row>
    <row r="115" customFormat="false" ht="12.75" hidden="true" customHeight="false" outlineLevel="0" collapsed="false">
      <c r="A115" s="0" t="s">
        <v>159</v>
      </c>
      <c r="B115" s="0" t="s">
        <v>160</v>
      </c>
      <c r="C115" s="194" t="n">
        <v>0.85</v>
      </c>
      <c r="D115" s="194" t="n">
        <v>100</v>
      </c>
      <c r="E115" s="194" t="n">
        <v>0.85</v>
      </c>
      <c r="F115" s="194" t="n">
        <f aca="false">+$G$99*(E115/100)</f>
        <v>0.014025</v>
      </c>
      <c r="G115" s="0"/>
      <c r="H115" s="0"/>
      <c r="I115" s="0"/>
      <c r="J115" s="0"/>
      <c r="K115" s="0"/>
      <c r="L115" s="0"/>
      <c r="M115" s="0"/>
      <c r="N115" s="0"/>
      <c r="O115" s="0"/>
    </row>
    <row r="116" customFormat="false" ht="12.75" hidden="true" customHeight="false" outlineLevel="0" collapsed="false">
      <c r="A116" s="0"/>
      <c r="B116" s="0"/>
      <c r="C116" s="194"/>
      <c r="D116" s="194"/>
      <c r="E116" s="194"/>
      <c r="F116" s="194"/>
      <c r="G116" s="0"/>
      <c r="H116" s="0"/>
      <c r="I116" s="0"/>
      <c r="J116" s="0"/>
      <c r="K116" s="0"/>
      <c r="L116" s="0"/>
      <c r="M116" s="0"/>
      <c r="N116" s="0"/>
      <c r="O116" s="0"/>
    </row>
    <row r="117" customFormat="false" ht="12.75" hidden="true" customHeight="false" outlineLevel="0" collapsed="false">
      <c r="A117" s="0" t="s">
        <v>161</v>
      </c>
      <c r="B117" s="0" t="s">
        <v>162</v>
      </c>
      <c r="C117" s="194" t="s">
        <v>163</v>
      </c>
      <c r="D117" s="194"/>
      <c r="E117" s="194" t="n">
        <v>0.3546</v>
      </c>
      <c r="F117" s="194" t="n">
        <f aca="false">+$G$99*(E117/100)</f>
        <v>0.0058509</v>
      </c>
      <c r="G117" s="0"/>
      <c r="H117" s="0"/>
      <c r="I117" s="0"/>
      <c r="J117" s="0"/>
      <c r="K117" s="0"/>
      <c r="L117" s="0"/>
      <c r="M117" s="0"/>
      <c r="N117" s="0"/>
      <c r="O117" s="0"/>
    </row>
    <row r="118" customFormat="false" ht="12.75" hidden="true" customHeight="false" outlineLevel="0" collapsed="false">
      <c r="A118" s="0"/>
      <c r="B118" s="0" t="s">
        <v>164</v>
      </c>
      <c r="C118" s="194" t="s">
        <v>165</v>
      </c>
      <c r="D118" s="194"/>
      <c r="E118" s="194" t="n">
        <v>0.557</v>
      </c>
      <c r="F118" s="194" t="n">
        <f aca="false">+$G$99*(E118/100)</f>
        <v>0.0091905</v>
      </c>
      <c r="G118" s="0"/>
      <c r="H118" s="0"/>
      <c r="I118" s="0"/>
    </row>
    <row r="119" customFormat="false" ht="12.75" hidden="true" customHeight="false" outlineLevel="0" collapsed="false">
      <c r="A119" s="0"/>
      <c r="B119" s="0" t="s">
        <v>166</v>
      </c>
      <c r="C119" s="194" t="s">
        <v>167</v>
      </c>
      <c r="D119" s="194"/>
      <c r="E119" s="194" t="n">
        <v>0.628</v>
      </c>
      <c r="F119" s="194" t="n">
        <f aca="false">+$G$99*(E119/100)</f>
        <v>0.010362</v>
      </c>
      <c r="G119" s="0"/>
      <c r="H119" s="0"/>
      <c r="I119" s="0"/>
    </row>
    <row r="120" customFormat="false" ht="12.75" hidden="true" customHeight="false" outlineLevel="0" collapsed="false">
      <c r="A120" s="0"/>
      <c r="B120" s="0"/>
      <c r="C120" s="194"/>
      <c r="D120" s="194"/>
      <c r="E120" s="194"/>
      <c r="F120" s="194"/>
      <c r="G120" s="0"/>
      <c r="H120" s="0"/>
      <c r="I120" s="0"/>
    </row>
    <row r="121" customFormat="false" ht="12.75" hidden="true" customHeight="false" outlineLevel="0" collapsed="false">
      <c r="A121" s="0" t="s">
        <v>168</v>
      </c>
      <c r="B121" s="0" t="s">
        <v>169</v>
      </c>
      <c r="C121" s="194" t="s">
        <v>170</v>
      </c>
      <c r="D121" s="194"/>
      <c r="E121" s="194" t="n">
        <v>0.309</v>
      </c>
      <c r="F121" s="194" t="n">
        <f aca="false">+$G$99*(E121/100)</f>
        <v>0.0050985</v>
      </c>
      <c r="G121" s="0"/>
      <c r="H121" s="0"/>
      <c r="I121" s="0"/>
    </row>
    <row r="122" customFormat="false" ht="12.75" hidden="true" customHeight="false" outlineLevel="0" collapsed="false">
      <c r="A122" s="0"/>
      <c r="B122" s="0"/>
      <c r="C122" s="194"/>
      <c r="D122" s="194"/>
      <c r="E122" s="194"/>
      <c r="F122" s="194"/>
      <c r="G122" s="0"/>
      <c r="H122" s="0"/>
      <c r="I122" s="0"/>
    </row>
    <row r="123" customFormat="false" ht="12.75" hidden="true" customHeight="false" outlineLevel="0" collapsed="false">
      <c r="A123" s="0" t="s">
        <v>171</v>
      </c>
      <c r="B123" s="0" t="s">
        <v>172</v>
      </c>
      <c r="C123" s="194" t="s">
        <v>173</v>
      </c>
      <c r="D123" s="194"/>
      <c r="E123" s="194" t="n">
        <v>0.3748</v>
      </c>
      <c r="F123" s="194" t="n">
        <f aca="false">+$G$99*(E123/100)</f>
        <v>0.0061842</v>
      </c>
      <c r="G123" s="0"/>
      <c r="H123" s="0"/>
      <c r="I123" s="0"/>
    </row>
    <row r="124" customFormat="false" ht="12.75" hidden="true" customHeight="false" outlineLevel="0" collapsed="false">
      <c r="A124" s="0"/>
      <c r="B124" s="0"/>
      <c r="C124" s="0"/>
      <c r="D124" s="0"/>
      <c r="E124" s="0"/>
      <c r="F124" s="0"/>
      <c r="G124" s="0"/>
      <c r="H124" s="0"/>
      <c r="I124" s="0"/>
    </row>
    <row r="125" customFormat="false" ht="12.75" hidden="false" customHeight="false" outlineLevel="0" collapsed="false">
      <c r="B125" s="0"/>
      <c r="C125" s="0"/>
      <c r="D125" s="0"/>
      <c r="E125" s="0"/>
      <c r="F125" s="0"/>
      <c r="G125" s="0"/>
      <c r="H125" s="0"/>
      <c r="I125" s="0"/>
    </row>
    <row r="126" customFormat="false" ht="12.75" hidden="false" customHeight="false" outlineLevel="0" collapsed="false">
      <c r="A126" s="0"/>
      <c r="B126" s="0"/>
      <c r="C126" s="0"/>
      <c r="D126" s="0"/>
      <c r="E126" s="0"/>
      <c r="F126" s="0"/>
      <c r="G126" s="0"/>
      <c r="H126" s="0"/>
      <c r="I126" s="0"/>
    </row>
    <row r="127" customFormat="false" ht="12.75" hidden="false" customHeight="false" outlineLevel="0" collapsed="false">
      <c r="A127" s="0"/>
      <c r="B127" s="0"/>
      <c r="C127" s="0"/>
      <c r="D127" s="0"/>
      <c r="E127" s="0"/>
      <c r="F127" s="0"/>
      <c r="G127" s="0"/>
      <c r="H127" s="0"/>
      <c r="I127" s="0"/>
    </row>
    <row r="128" customFormat="false" ht="12.75" hidden="false" customHeight="false" outlineLevel="0" collapsed="false">
      <c r="A128" s="0"/>
      <c r="B128" s="0"/>
      <c r="C128" s="0"/>
      <c r="D128" s="0"/>
      <c r="E128" s="0"/>
      <c r="F128" s="0"/>
      <c r="G128" s="0"/>
      <c r="H128" s="0"/>
      <c r="I128" s="0"/>
      <c r="N128" s="1" t="s">
        <v>439</v>
      </c>
    </row>
    <row r="129" customFormat="false" ht="12.75" hidden="false" customHeight="false" outlineLevel="0" collapsed="false">
      <c r="A129" s="196" t="s">
        <v>174</v>
      </c>
      <c r="B129" s="196"/>
      <c r="C129" s="196"/>
      <c r="D129" s="0"/>
      <c r="E129" s="197"/>
      <c r="F129" s="0"/>
      <c r="G129" s="198"/>
      <c r="H129" s="0"/>
      <c r="I129" s="296" t="s">
        <v>61</v>
      </c>
      <c r="J129" s="297"/>
      <c r="K129" s="298"/>
      <c r="N129" s="1" t="s">
        <v>176</v>
      </c>
    </row>
    <row r="130" customFormat="false" ht="12.75" hidden="false" customHeight="false" outlineLevel="0" collapsed="false">
      <c r="A130" s="199" t="s">
        <v>177</v>
      </c>
      <c r="B130" s="200" t="s">
        <v>178</v>
      </c>
      <c r="C130" s="333" t="n">
        <v>0.63</v>
      </c>
      <c r="D130" s="78"/>
      <c r="E130" s="200"/>
      <c r="F130" s="79"/>
      <c r="G130" s="199"/>
      <c r="H130" s="79"/>
      <c r="I130" s="199" t="s">
        <v>179</v>
      </c>
      <c r="J130" s="78"/>
      <c r="K130" s="202" t="n">
        <v>0</v>
      </c>
      <c r="L130" s="78"/>
      <c r="N130" s="1" t="s">
        <v>180</v>
      </c>
      <c r="O130" s="1" t="n">
        <v>1024</v>
      </c>
    </row>
    <row r="131" customFormat="false" ht="12.75" hidden="false" customHeight="false" outlineLevel="0" collapsed="false">
      <c r="A131" s="78"/>
      <c r="B131" s="200" t="s">
        <v>181</v>
      </c>
      <c r="C131" s="333" t="n">
        <v>0.001</v>
      </c>
      <c r="D131" s="78"/>
      <c r="E131" s="79"/>
      <c r="F131" s="79"/>
      <c r="G131" s="199"/>
      <c r="H131" s="79"/>
      <c r="I131" s="199" t="s">
        <v>182</v>
      </c>
      <c r="J131" s="78" t="n">
        <v>6688</v>
      </c>
      <c r="K131" s="212" t="n">
        <v>13</v>
      </c>
      <c r="L131" s="78"/>
      <c r="N131" s="1" t="s">
        <v>135</v>
      </c>
      <c r="O131" s="346" t="n">
        <v>1500</v>
      </c>
    </row>
    <row r="132" customFormat="false" ht="12.75" hidden="false" customHeight="false" outlineLevel="0" collapsed="false">
      <c r="A132" s="78"/>
      <c r="B132" s="200" t="s">
        <v>183</v>
      </c>
      <c r="C132" s="333" t="n">
        <v>0.5</v>
      </c>
      <c r="D132" s="78"/>
      <c r="E132" s="79"/>
      <c r="F132" s="79"/>
      <c r="G132" s="199"/>
      <c r="H132" s="79" t="s">
        <v>470</v>
      </c>
      <c r="I132" s="199" t="s">
        <v>87</v>
      </c>
      <c r="J132" s="78" t="n">
        <v>6888</v>
      </c>
      <c r="K132" s="359" t="n">
        <v>0</v>
      </c>
      <c r="L132" s="78"/>
      <c r="N132" s="1" t="s">
        <v>184</v>
      </c>
      <c r="O132" s="1" t="n">
        <v>219</v>
      </c>
    </row>
    <row r="133" customFormat="false" ht="12.75" hidden="false" customHeight="false" outlineLevel="0" collapsed="false">
      <c r="A133" s="78"/>
      <c r="B133" s="200" t="s">
        <v>185</v>
      </c>
      <c r="C133" s="333" t="n">
        <v>10</v>
      </c>
      <c r="D133" s="78" t="n">
        <v>2</v>
      </c>
      <c r="E133" s="79"/>
      <c r="F133" s="79"/>
      <c r="G133" s="199"/>
      <c r="H133" s="79"/>
      <c r="I133" s="199" t="s">
        <v>500</v>
      </c>
      <c r="J133" s="78"/>
      <c r="K133" s="360" t="n">
        <v>4106</v>
      </c>
      <c r="L133" s="78"/>
    </row>
    <row r="134" customFormat="false" ht="12.75" hidden="false" customHeight="false" outlineLevel="0" collapsed="false">
      <c r="A134" s="199" t="s">
        <v>187</v>
      </c>
      <c r="B134" s="200" t="s">
        <v>188</v>
      </c>
      <c r="C134" s="333" t="n">
        <v>3.6</v>
      </c>
      <c r="D134" s="78"/>
      <c r="E134" s="79"/>
      <c r="F134" s="79"/>
      <c r="G134" s="199"/>
      <c r="H134" s="79"/>
      <c r="I134" s="199" t="s">
        <v>500</v>
      </c>
      <c r="J134" s="78"/>
      <c r="K134" s="360" t="n">
        <v>5268</v>
      </c>
      <c r="L134" s="78"/>
    </row>
    <row r="135" customFormat="false" ht="12.75" hidden="false" customHeight="false" outlineLevel="0" collapsed="false">
      <c r="A135" s="199"/>
      <c r="B135" s="200"/>
      <c r="C135" s="200"/>
      <c r="D135" s="78"/>
      <c r="E135" s="79"/>
      <c r="F135" s="79"/>
      <c r="G135" s="199"/>
      <c r="H135" s="79"/>
      <c r="I135" s="199" t="s">
        <v>189</v>
      </c>
      <c r="J135" s="78" t="n">
        <v>900338</v>
      </c>
      <c r="K135" s="204" t="n">
        <v>0</v>
      </c>
      <c r="L135" s="78"/>
      <c r="N135" s="1" t="s">
        <v>186</v>
      </c>
      <c r="O135" s="346" t="n">
        <v>1</v>
      </c>
    </row>
    <row r="136" customFormat="false" ht="12.75" hidden="false" customHeight="false" outlineLevel="0" collapsed="false">
      <c r="A136" s="78"/>
      <c r="B136" s="200"/>
      <c r="C136" s="199"/>
      <c r="D136" s="78"/>
      <c r="E136" s="79"/>
      <c r="F136" s="79"/>
      <c r="G136" s="199"/>
      <c r="H136" s="79"/>
      <c r="I136" s="199" t="s">
        <v>195</v>
      </c>
      <c r="J136" s="78"/>
      <c r="K136" s="204" t="n">
        <v>0</v>
      </c>
      <c r="L136" s="78"/>
      <c r="N136" s="1" t="s">
        <v>190</v>
      </c>
      <c r="O136" s="1" t="n">
        <v>90</v>
      </c>
    </row>
    <row r="137" customFormat="false" ht="12.75" hidden="false" customHeight="false" outlineLevel="0" collapsed="false">
      <c r="A137" s="78"/>
      <c r="B137" s="200"/>
      <c r="C137" s="200"/>
      <c r="D137" s="78"/>
      <c r="E137" s="79"/>
      <c r="F137" s="79"/>
      <c r="G137" s="199"/>
      <c r="H137" s="79"/>
      <c r="I137" s="199" t="s">
        <v>198</v>
      </c>
      <c r="J137" s="78" t="n">
        <v>5333</v>
      </c>
      <c r="K137" s="204" t="n">
        <v>3.2</v>
      </c>
      <c r="L137" s="78" t="s">
        <v>199</v>
      </c>
      <c r="N137" s="1" t="s">
        <v>501</v>
      </c>
      <c r="O137" s="346" t="n">
        <v>10</v>
      </c>
    </row>
    <row r="138" customFormat="false" ht="12.75" hidden="false" customHeight="false" outlineLevel="0" collapsed="false">
      <c r="A138" s="199" t="s">
        <v>196</v>
      </c>
      <c r="B138" s="200" t="s">
        <v>197</v>
      </c>
      <c r="C138" s="333" t="n">
        <v>0.8</v>
      </c>
      <c r="D138" s="79"/>
      <c r="E138" s="79"/>
      <c r="F138" s="79"/>
      <c r="G138" s="199"/>
      <c r="H138" s="79"/>
      <c r="I138" s="202" t="s">
        <v>207</v>
      </c>
      <c r="J138" s="78" t="n">
        <v>6373</v>
      </c>
      <c r="K138" s="204" t="n">
        <v>0</v>
      </c>
      <c r="L138" s="78"/>
      <c r="N138" s="1" t="s">
        <v>123</v>
      </c>
      <c r="O138" s="346" t="n">
        <v>1000</v>
      </c>
    </row>
    <row r="139" customFormat="false" ht="12.75" hidden="false" customHeight="false" outlineLevel="0" collapsed="false">
      <c r="A139" s="79"/>
      <c r="B139" s="200" t="s">
        <v>9</v>
      </c>
      <c r="C139" s="333" t="n">
        <v>13</v>
      </c>
      <c r="D139" s="79"/>
      <c r="E139" s="79"/>
      <c r="F139" s="79"/>
      <c r="G139" s="199"/>
      <c r="H139" s="79"/>
      <c r="I139" s="202" t="s">
        <v>201</v>
      </c>
      <c r="J139" s="78" t="n">
        <v>4286</v>
      </c>
      <c r="K139" s="361" t="n">
        <v>0</v>
      </c>
      <c r="L139" s="78"/>
      <c r="N139" s="1" t="s">
        <v>361</v>
      </c>
      <c r="O139" s="362" t="n">
        <v>1</v>
      </c>
    </row>
    <row r="140" customFormat="false" ht="12.75" hidden="false" customHeight="false" outlineLevel="0" collapsed="false">
      <c r="A140" s="79"/>
      <c r="B140" s="200" t="s">
        <v>11</v>
      </c>
      <c r="C140" s="199" t="n">
        <v>0</v>
      </c>
      <c r="D140" s="79" t="s">
        <v>82</v>
      </c>
      <c r="E140" s="79"/>
      <c r="F140" s="79"/>
      <c r="G140" s="199"/>
      <c r="H140" s="79" t="s">
        <v>470</v>
      </c>
      <c r="I140" s="202" t="s">
        <v>411</v>
      </c>
      <c r="J140" s="78" t="n">
        <v>6480</v>
      </c>
      <c r="K140" s="361" t="n">
        <v>0</v>
      </c>
      <c r="L140" s="206"/>
      <c r="N140" s="1" t="s">
        <v>365</v>
      </c>
      <c r="O140" s="362" t="n">
        <v>1</v>
      </c>
    </row>
    <row r="141" customFormat="false" ht="12.75" hidden="false" customHeight="false" outlineLevel="0" collapsed="false">
      <c r="A141" s="79"/>
      <c r="B141" s="200" t="s">
        <v>204</v>
      </c>
      <c r="C141" s="333" t="n">
        <v>0.025</v>
      </c>
      <c r="D141" s="79"/>
      <c r="E141" s="79"/>
      <c r="F141" s="79"/>
      <c r="G141" s="199"/>
      <c r="H141" s="199"/>
      <c r="I141" s="202" t="s">
        <v>205</v>
      </c>
      <c r="J141" s="78" t="n">
        <v>6551</v>
      </c>
      <c r="K141" s="204" t="n">
        <v>0</v>
      </c>
      <c r="L141" s="78" t="s">
        <v>471</v>
      </c>
    </row>
    <row r="142" customFormat="false" ht="12.75" hidden="false" customHeight="false" outlineLevel="0" collapsed="false">
      <c r="A142" s="79"/>
      <c r="B142" s="200" t="s">
        <v>206</v>
      </c>
      <c r="C142" s="199" t="n">
        <v>0</v>
      </c>
      <c r="D142" s="79"/>
      <c r="E142" s="79"/>
      <c r="F142" s="79"/>
      <c r="G142" s="199"/>
      <c r="H142" s="79"/>
      <c r="I142" s="202" t="s">
        <v>200</v>
      </c>
      <c r="J142" s="78" t="n">
        <v>6835</v>
      </c>
      <c r="K142" s="204" t="n">
        <v>0</v>
      </c>
      <c r="L142" s="78" t="s">
        <v>471</v>
      </c>
    </row>
    <row r="143" customFormat="false" ht="12.75" hidden="false" customHeight="false" outlineLevel="0" collapsed="false">
      <c r="A143" s="79"/>
      <c r="B143" s="200" t="s">
        <v>502</v>
      </c>
      <c r="C143" s="333" t="n">
        <v>0.02</v>
      </c>
      <c r="D143" s="78"/>
      <c r="E143" s="79"/>
      <c r="F143" s="79"/>
      <c r="G143" s="199"/>
      <c r="H143" s="79"/>
      <c r="I143" s="202" t="s">
        <v>202</v>
      </c>
      <c r="J143" s="78" t="n">
        <v>9676</v>
      </c>
      <c r="K143" s="204" t="n">
        <v>0</v>
      </c>
      <c r="L143" s="206"/>
    </row>
    <row r="144" customFormat="false" ht="12.75" hidden="false" customHeight="false" outlineLevel="0" collapsed="false">
      <c r="A144" s="79"/>
      <c r="B144" s="200" t="s">
        <v>208</v>
      </c>
      <c r="C144" s="333" t="n">
        <v>7.68</v>
      </c>
      <c r="D144" s="79"/>
      <c r="E144" s="79"/>
      <c r="F144" s="79"/>
      <c r="G144" s="199"/>
      <c r="H144" s="79" t="s">
        <v>470</v>
      </c>
      <c r="I144" s="202" t="s">
        <v>412</v>
      </c>
      <c r="J144" s="78" t="n">
        <v>4056</v>
      </c>
      <c r="K144" s="361" t="n">
        <v>0</v>
      </c>
      <c r="L144" s="78"/>
    </row>
    <row r="145" customFormat="false" ht="12.75" hidden="false" customHeight="false" outlineLevel="0" collapsed="false">
      <c r="A145" s="79"/>
      <c r="B145" s="200" t="s">
        <v>211</v>
      </c>
      <c r="C145" s="363" t="n">
        <v>20</v>
      </c>
      <c r="D145" s="79"/>
      <c r="E145" s="79"/>
      <c r="F145" s="79"/>
      <c r="G145" s="199"/>
      <c r="H145" s="79" t="s">
        <v>470</v>
      </c>
      <c r="I145" s="202" t="s">
        <v>412</v>
      </c>
      <c r="J145" s="78" t="n">
        <v>6855</v>
      </c>
      <c r="K145" s="361" t="n">
        <v>0</v>
      </c>
      <c r="L145" s="78"/>
    </row>
    <row r="146" customFormat="false" ht="12.75" hidden="false" customHeight="false" outlineLevel="0" collapsed="false">
      <c r="A146" s="79"/>
      <c r="B146" s="200" t="s">
        <v>213</v>
      </c>
      <c r="C146" s="333" t="n">
        <v>3.85</v>
      </c>
      <c r="D146" s="79"/>
      <c r="E146" s="79"/>
      <c r="F146" s="79"/>
      <c r="G146" s="199"/>
      <c r="H146" s="79"/>
      <c r="I146" s="202" t="s">
        <v>209</v>
      </c>
      <c r="J146" s="78" t="n">
        <v>4132</v>
      </c>
      <c r="K146" s="360" t="n">
        <v>144</v>
      </c>
      <c r="L146" s="78"/>
    </row>
    <row r="147" customFormat="false" ht="12.75" hidden="false" customHeight="false" outlineLevel="0" collapsed="false">
      <c r="A147" s="79"/>
      <c r="B147" s="200" t="s">
        <v>15</v>
      </c>
      <c r="C147" s="333" t="n">
        <v>5</v>
      </c>
      <c r="D147" s="79"/>
      <c r="E147" s="79"/>
      <c r="F147" s="79"/>
      <c r="G147" s="199"/>
      <c r="H147" s="79"/>
      <c r="I147" s="202" t="s">
        <v>210</v>
      </c>
      <c r="J147" s="78" t="n">
        <v>4120</v>
      </c>
      <c r="K147" s="212" t="n">
        <v>821</v>
      </c>
      <c r="L147" s="78"/>
    </row>
    <row r="148" customFormat="false" ht="12.75" hidden="false" customHeight="false" outlineLevel="0" collapsed="false">
      <c r="A148" s="79"/>
      <c r="B148" s="200" t="s">
        <v>15</v>
      </c>
      <c r="C148" s="200" t="n">
        <v>0</v>
      </c>
      <c r="D148" s="79"/>
      <c r="E148" s="79"/>
      <c r="F148" s="79"/>
      <c r="G148" s="199"/>
      <c r="H148" s="78"/>
      <c r="I148" s="202" t="s">
        <v>99</v>
      </c>
      <c r="J148" s="78" t="n">
        <v>639</v>
      </c>
      <c r="K148" s="212" t="n">
        <v>465</v>
      </c>
      <c r="L148" s="78"/>
    </row>
    <row r="149" customFormat="false" ht="12.75" hidden="false" customHeight="false" outlineLevel="0" collapsed="false">
      <c r="A149" s="79"/>
      <c r="B149" s="200" t="s">
        <v>216</v>
      </c>
      <c r="C149" s="333" t="n">
        <v>0.025</v>
      </c>
      <c r="D149" s="79"/>
      <c r="E149" s="79"/>
      <c r="F149" s="79"/>
      <c r="G149" s="199"/>
      <c r="H149" s="78"/>
      <c r="I149" s="345" t="s">
        <v>212</v>
      </c>
      <c r="J149" s="346" t="n">
        <v>6840</v>
      </c>
      <c r="K149" s="204" t="n">
        <v>0</v>
      </c>
      <c r="L149" s="346"/>
    </row>
    <row r="150" customFormat="false" ht="12.75" hidden="false" customHeight="false" outlineLevel="0" collapsed="false">
      <c r="A150" s="79"/>
      <c r="B150" s="79" t="s">
        <v>216</v>
      </c>
      <c r="C150" s="79" t="n">
        <v>0</v>
      </c>
      <c r="D150" s="78"/>
      <c r="E150" s="79"/>
      <c r="F150" s="79"/>
      <c r="G150" s="199"/>
      <c r="H150" s="78"/>
      <c r="I150" s="202" t="s">
        <v>215</v>
      </c>
      <c r="J150" s="78" t="n">
        <v>6519</v>
      </c>
      <c r="K150" s="361" t="n">
        <v>0</v>
      </c>
      <c r="L150" s="78"/>
    </row>
    <row r="151" customFormat="false" ht="12.75" hidden="false" customHeight="false" outlineLevel="0" collapsed="false">
      <c r="A151" s="79"/>
      <c r="B151" s="200" t="s">
        <v>97</v>
      </c>
      <c r="C151" s="333" t="n">
        <v>4.3</v>
      </c>
      <c r="D151" s="79"/>
      <c r="E151" s="79"/>
      <c r="F151" s="79"/>
      <c r="G151" s="199"/>
      <c r="H151" s="78"/>
      <c r="I151" s="202" t="s">
        <v>217</v>
      </c>
      <c r="J151" s="78" t="n">
        <v>5502</v>
      </c>
      <c r="K151" s="360" t="n">
        <v>37</v>
      </c>
      <c r="L151" s="78"/>
    </row>
    <row r="152" customFormat="false" ht="12.75" hidden="false" customHeight="false" outlineLevel="0" collapsed="false">
      <c r="A152" s="79"/>
      <c r="B152" s="200" t="s">
        <v>503</v>
      </c>
      <c r="C152" s="333" t="n">
        <v>5</v>
      </c>
      <c r="D152" s="78"/>
      <c r="E152" s="79"/>
      <c r="F152" s="79"/>
      <c r="G152" s="199"/>
      <c r="H152" s="78"/>
      <c r="I152" s="202" t="s">
        <v>219</v>
      </c>
      <c r="J152" s="78" t="n">
        <v>6789</v>
      </c>
      <c r="K152" s="204" t="n">
        <v>0</v>
      </c>
      <c r="L152" s="78" t="s">
        <v>471</v>
      </c>
    </row>
    <row r="153" customFormat="false" ht="12.75" hidden="false" customHeight="false" outlineLevel="0" collapsed="false">
      <c r="A153" s="79"/>
      <c r="B153" s="200" t="s">
        <v>218</v>
      </c>
      <c r="C153" s="333" t="n">
        <v>0.05</v>
      </c>
      <c r="D153" s="79"/>
      <c r="E153" s="79"/>
      <c r="F153" s="79"/>
      <c r="G153" s="199"/>
      <c r="H153" s="78"/>
      <c r="I153" s="202" t="s">
        <v>221</v>
      </c>
      <c r="J153" s="78" t="n">
        <v>6545</v>
      </c>
      <c r="K153" s="204" t="n">
        <v>0</v>
      </c>
      <c r="L153" s="78" t="s">
        <v>471</v>
      </c>
    </row>
    <row r="154" customFormat="false" ht="12.75" hidden="false" customHeight="false" outlineLevel="0" collapsed="false">
      <c r="A154" s="78"/>
      <c r="B154" s="200" t="s">
        <v>220</v>
      </c>
      <c r="C154" s="200" t="s">
        <v>472</v>
      </c>
      <c r="D154" s="79" t="s">
        <v>473</v>
      </c>
      <c r="E154" s="79"/>
      <c r="F154" s="79"/>
      <c r="G154" s="199"/>
      <c r="H154" s="78"/>
      <c r="I154" s="202" t="s">
        <v>221</v>
      </c>
      <c r="J154" s="78" t="n">
        <v>275</v>
      </c>
      <c r="K154" s="360" t="n">
        <v>70</v>
      </c>
      <c r="L154" s="78"/>
    </row>
    <row r="155" customFormat="false" ht="12.75" hidden="false" customHeight="false" outlineLevel="0" collapsed="false">
      <c r="A155" s="78"/>
      <c r="B155" s="200" t="s">
        <v>222</v>
      </c>
      <c r="C155" s="333" t="n">
        <v>0.6</v>
      </c>
      <c r="D155" s="78"/>
      <c r="E155" s="79"/>
      <c r="F155" s="79"/>
      <c r="G155" s="199"/>
      <c r="H155" s="78"/>
      <c r="I155" s="202" t="s">
        <v>223</v>
      </c>
      <c r="J155" s="78" t="n">
        <v>9812</v>
      </c>
      <c r="K155" s="204" t="n">
        <v>0</v>
      </c>
      <c r="L155" s="78" t="s">
        <v>471</v>
      </c>
    </row>
    <row r="156" customFormat="false" ht="12.75" hidden="false" customHeight="false" outlineLevel="0" collapsed="false">
      <c r="A156" s="78"/>
      <c r="B156" s="200" t="s">
        <v>227</v>
      </c>
      <c r="C156" s="199" t="n">
        <v>0</v>
      </c>
      <c r="D156" s="78"/>
      <c r="E156" s="79"/>
      <c r="F156" s="79"/>
      <c r="G156" s="199"/>
      <c r="H156" s="78"/>
      <c r="I156" s="202" t="s">
        <v>226</v>
      </c>
      <c r="J156" s="78" t="n">
        <v>6387</v>
      </c>
      <c r="K156" s="212" t="n">
        <v>400</v>
      </c>
      <c r="L156" s="78"/>
    </row>
    <row r="157" customFormat="false" ht="12.75" hidden="false" customHeight="false" outlineLevel="0" collapsed="false">
      <c r="A157" s="78"/>
      <c r="B157" s="200" t="s">
        <v>228</v>
      </c>
      <c r="C157" s="333" t="n">
        <v>10</v>
      </c>
      <c r="D157" s="78"/>
      <c r="E157" s="79"/>
      <c r="F157" s="79"/>
      <c r="G157" s="199"/>
      <c r="H157" s="78"/>
      <c r="I157" s="345" t="s">
        <v>226</v>
      </c>
      <c r="J157" s="346" t="n">
        <v>6347</v>
      </c>
      <c r="K157" s="204" t="n">
        <v>0</v>
      </c>
      <c r="L157" s="78"/>
    </row>
    <row r="158" customFormat="false" ht="12.75" hidden="false" customHeight="false" outlineLevel="0" collapsed="false">
      <c r="A158" s="78"/>
      <c r="B158" s="200" t="s">
        <v>229</v>
      </c>
      <c r="C158" s="333" t="n">
        <v>0.1</v>
      </c>
      <c r="D158" s="78"/>
      <c r="E158" s="79"/>
      <c r="F158" s="79"/>
      <c r="G158" s="199"/>
      <c r="H158" s="78"/>
      <c r="I158" s="202" t="s">
        <v>226</v>
      </c>
      <c r="J158" s="78" t="n">
        <v>5892</v>
      </c>
      <c r="K158" s="212" t="n">
        <v>47</v>
      </c>
      <c r="L158" s="78"/>
    </row>
    <row r="159" customFormat="false" ht="12.75" hidden="false" customHeight="false" outlineLevel="0" collapsed="false">
      <c r="A159" s="78"/>
      <c r="B159" s="200" t="s">
        <v>58</v>
      </c>
      <c r="C159" s="333" t="n">
        <v>2</v>
      </c>
      <c r="D159" s="78"/>
      <c r="E159" s="79"/>
      <c r="F159" s="79"/>
      <c r="G159" s="199"/>
      <c r="H159" s="78"/>
      <c r="I159" s="202" t="s">
        <v>226</v>
      </c>
      <c r="J159" s="78" t="n">
        <v>6757</v>
      </c>
      <c r="K159" s="212" t="n">
        <v>12</v>
      </c>
      <c r="L159" s="78"/>
    </row>
    <row r="160" customFormat="false" ht="12.75" hidden="false" customHeight="false" outlineLevel="0" collapsed="false">
      <c r="A160" s="78"/>
      <c r="B160" s="200" t="s">
        <v>235</v>
      </c>
      <c r="C160" s="200" t="n">
        <v>0</v>
      </c>
      <c r="D160" s="78"/>
      <c r="E160" s="79"/>
      <c r="F160" s="79"/>
      <c r="G160" s="199"/>
      <c r="H160" s="78"/>
      <c r="I160" s="202" t="s">
        <v>231</v>
      </c>
      <c r="J160" s="78" t="n">
        <v>6598</v>
      </c>
      <c r="K160" s="361" t="n">
        <v>0</v>
      </c>
      <c r="L160" s="78"/>
    </row>
    <row r="161" customFormat="false" ht="12.75" hidden="false" customHeight="false" outlineLevel="0" collapsed="false">
      <c r="A161" s="78"/>
      <c r="B161" s="200" t="s">
        <v>53</v>
      </c>
      <c r="C161" s="333" t="n">
        <v>10</v>
      </c>
      <c r="D161" s="78"/>
      <c r="E161" s="79"/>
      <c r="F161" s="79"/>
      <c r="G161" s="199"/>
      <c r="H161" s="79"/>
      <c r="I161" s="202" t="s">
        <v>233</v>
      </c>
      <c r="J161" s="78" t="n">
        <v>6392</v>
      </c>
      <c r="K161" s="212" t="n">
        <v>41</v>
      </c>
      <c r="L161" s="78"/>
    </row>
    <row r="162" customFormat="false" ht="12.75" hidden="false" customHeight="false" outlineLevel="0" collapsed="false">
      <c r="A162" s="78"/>
      <c r="B162" s="200" t="s">
        <v>429</v>
      </c>
      <c r="C162" s="333" t="n">
        <v>0.06</v>
      </c>
      <c r="D162" s="78"/>
      <c r="E162" s="79"/>
      <c r="F162" s="79"/>
      <c r="G162" s="199"/>
      <c r="H162" s="79" t="s">
        <v>470</v>
      </c>
      <c r="I162" s="199" t="s">
        <v>410</v>
      </c>
      <c r="J162" s="78" t="n">
        <v>9643</v>
      </c>
      <c r="K162" s="212" t="n">
        <v>1265</v>
      </c>
      <c r="L162" s="78"/>
    </row>
    <row r="163" customFormat="false" ht="12.75" hidden="false" customHeight="false" outlineLevel="0" collapsed="false">
      <c r="A163" s="78"/>
      <c r="B163" s="200" t="s">
        <v>237</v>
      </c>
      <c r="C163" s="333" t="n">
        <v>2.25</v>
      </c>
      <c r="D163" s="78"/>
      <c r="E163" s="79"/>
      <c r="F163" s="79"/>
      <c r="G163" s="199"/>
      <c r="H163" s="78"/>
      <c r="I163" s="202" t="s">
        <v>234</v>
      </c>
      <c r="J163" s="78" t="n">
        <v>440</v>
      </c>
      <c r="K163" s="360" t="n">
        <v>444</v>
      </c>
      <c r="L163" s="78"/>
    </row>
    <row r="164" customFormat="false" ht="12.75" hidden="false" customHeight="false" outlineLevel="0" collapsed="false">
      <c r="A164" s="78"/>
      <c r="B164" s="200" t="s">
        <v>21</v>
      </c>
      <c r="C164" s="333" t="n">
        <v>39</v>
      </c>
      <c r="D164" s="78"/>
      <c r="E164" s="79"/>
      <c r="F164" s="79"/>
      <c r="G164" s="199"/>
      <c r="H164" s="79"/>
      <c r="I164" s="202" t="s">
        <v>135</v>
      </c>
      <c r="J164" s="78" t="n">
        <v>6173</v>
      </c>
      <c r="K164" s="212" t="n">
        <v>550</v>
      </c>
      <c r="L164" s="78"/>
    </row>
    <row r="165" customFormat="false" ht="12.75" hidden="false" customHeight="false" outlineLevel="0" collapsed="false">
      <c r="A165" s="78"/>
      <c r="B165" s="200" t="s">
        <v>19</v>
      </c>
      <c r="C165" s="333" t="n">
        <v>70</v>
      </c>
      <c r="D165" s="78" t="n">
        <v>70</v>
      </c>
      <c r="E165" s="79"/>
      <c r="F165" s="79"/>
      <c r="G165" s="199"/>
      <c r="H165" s="78"/>
      <c r="I165" s="202" t="s">
        <v>236</v>
      </c>
      <c r="J165" s="78"/>
      <c r="K165" s="202" t="n">
        <v>0</v>
      </c>
      <c r="L165" s="78"/>
    </row>
    <row r="166" customFormat="false" ht="12.75" hidden="false" customHeight="false" outlineLevel="0" collapsed="false">
      <c r="A166" s="78"/>
      <c r="B166" s="200" t="s">
        <v>242</v>
      </c>
      <c r="C166" s="333" t="n">
        <v>0.18</v>
      </c>
      <c r="D166" s="78"/>
      <c r="E166" s="79"/>
      <c r="F166" s="79"/>
      <c r="G166" s="199"/>
      <c r="H166" s="78"/>
      <c r="I166" s="202" t="s">
        <v>238</v>
      </c>
      <c r="J166" s="78" t="n">
        <v>4132</v>
      </c>
      <c r="K166" s="212" t="n">
        <v>7500</v>
      </c>
      <c r="L166" s="78"/>
    </row>
    <row r="167" customFormat="false" ht="12.75" hidden="false" customHeight="false" outlineLevel="0" collapsed="false">
      <c r="A167" s="78"/>
      <c r="B167" s="210" t="s">
        <v>244</v>
      </c>
      <c r="C167" s="347" t="n">
        <v>2.5</v>
      </c>
      <c r="D167" s="78"/>
      <c r="E167" s="79"/>
      <c r="F167" s="79"/>
      <c r="G167" s="199"/>
      <c r="H167" s="78"/>
      <c r="I167" s="202" t="s">
        <v>239</v>
      </c>
      <c r="J167" s="209" t="s">
        <v>240</v>
      </c>
      <c r="K167" s="204" t="n">
        <v>0</v>
      </c>
      <c r="L167" s="78" t="s">
        <v>471</v>
      </c>
    </row>
    <row r="168" customFormat="false" ht="12.75" hidden="false" customHeight="false" outlineLevel="0" collapsed="false">
      <c r="A168" s="78"/>
      <c r="B168" s="200" t="s">
        <v>23</v>
      </c>
      <c r="C168" s="333" t="n">
        <v>30</v>
      </c>
      <c r="D168" s="78"/>
      <c r="E168" s="79"/>
      <c r="F168" s="79"/>
      <c r="G168" s="199"/>
      <c r="H168" s="78"/>
      <c r="I168" s="202" t="s">
        <v>241</v>
      </c>
      <c r="J168" s="78" t="n">
        <v>3405</v>
      </c>
      <c r="K168" s="202" t="n">
        <v>0</v>
      </c>
      <c r="L168" s="78"/>
    </row>
    <row r="169" customFormat="false" ht="12.75" hidden="false" customHeight="false" outlineLevel="0" collapsed="false">
      <c r="A169" s="78"/>
      <c r="B169" s="200" t="s">
        <v>66</v>
      </c>
      <c r="C169" s="200" t="n">
        <v>0</v>
      </c>
      <c r="D169" s="78"/>
      <c r="E169" s="79"/>
      <c r="F169" s="79"/>
      <c r="G169" s="199"/>
      <c r="H169" s="364" t="s">
        <v>504</v>
      </c>
      <c r="I169" s="202" t="s">
        <v>505</v>
      </c>
      <c r="J169" s="78" t="n">
        <v>9829</v>
      </c>
      <c r="K169" s="365" t="n">
        <v>0</v>
      </c>
      <c r="L169" s="78"/>
    </row>
    <row r="170" customFormat="false" ht="12.75" hidden="false" customHeight="false" outlineLevel="0" collapsed="false">
      <c r="A170" s="78"/>
      <c r="B170" s="200" t="s">
        <v>250</v>
      </c>
      <c r="C170" s="333" t="n">
        <v>10.9</v>
      </c>
      <c r="D170" s="206"/>
      <c r="E170" s="79"/>
      <c r="F170" s="79"/>
      <c r="G170" s="199"/>
      <c r="H170" s="78"/>
      <c r="I170" s="202" t="s">
        <v>243</v>
      </c>
      <c r="J170" s="78" t="n">
        <v>6353</v>
      </c>
      <c r="K170" s="360" t="n">
        <v>3574</v>
      </c>
      <c r="L170" s="78"/>
    </row>
    <row r="171" customFormat="false" ht="12.75" hidden="false" customHeight="false" outlineLevel="0" collapsed="false">
      <c r="A171" s="78"/>
      <c r="B171" s="200" t="s">
        <v>252</v>
      </c>
      <c r="C171" s="333" t="n">
        <v>0.63</v>
      </c>
      <c r="D171" s="78"/>
      <c r="E171" s="79"/>
      <c r="F171" s="79"/>
      <c r="G171" s="199"/>
      <c r="H171" s="79"/>
      <c r="I171" s="202" t="s">
        <v>245</v>
      </c>
      <c r="J171" s="78" t="n">
        <v>6899</v>
      </c>
      <c r="K171" s="212" t="n">
        <v>19</v>
      </c>
      <c r="L171" s="78"/>
    </row>
    <row r="172" customFormat="false" ht="12.75" hidden="false" customHeight="false" outlineLevel="0" collapsed="false">
      <c r="A172" s="78"/>
      <c r="B172" s="200" t="s">
        <v>254</v>
      </c>
      <c r="C172" s="333" t="n">
        <v>0.475</v>
      </c>
      <c r="D172" s="78"/>
      <c r="E172" s="79"/>
      <c r="F172" s="79"/>
      <c r="G172" s="199"/>
      <c r="H172" s="78"/>
      <c r="I172" s="202" t="s">
        <v>247</v>
      </c>
      <c r="J172" s="211" t="s">
        <v>248</v>
      </c>
      <c r="K172" s="360" t="n">
        <v>20</v>
      </c>
      <c r="L172" s="78"/>
    </row>
    <row r="173" customFormat="false" ht="12.75" hidden="false" customHeight="false" outlineLevel="0" collapsed="false">
      <c r="A173" s="78"/>
      <c r="B173" s="200" t="s">
        <v>62</v>
      </c>
      <c r="C173" s="333" t="n">
        <v>0.85</v>
      </c>
      <c r="D173" s="78"/>
      <c r="E173" s="79"/>
      <c r="F173" s="79"/>
      <c r="G173" s="199"/>
      <c r="H173" s="78"/>
      <c r="I173" s="202" t="s">
        <v>249</v>
      </c>
      <c r="J173" s="78" t="n">
        <v>7491</v>
      </c>
      <c r="K173" s="360" t="n">
        <v>1000</v>
      </c>
      <c r="L173" s="78"/>
    </row>
    <row r="174" customFormat="false" ht="12.75" hidden="false" customHeight="false" outlineLevel="0" collapsed="false">
      <c r="A174" s="78"/>
      <c r="B174" s="200" t="s">
        <v>259</v>
      </c>
      <c r="C174" s="200" t="n">
        <v>0</v>
      </c>
      <c r="D174" s="78"/>
      <c r="E174" s="79"/>
      <c r="F174" s="79"/>
      <c r="G174" s="199"/>
      <c r="H174" s="78"/>
      <c r="I174" s="202" t="s">
        <v>251</v>
      </c>
      <c r="J174" s="78" t="n">
        <v>6173</v>
      </c>
      <c r="K174" s="204" t="n">
        <v>0</v>
      </c>
      <c r="L174" s="78"/>
    </row>
    <row r="175" customFormat="false" ht="12.75" hidden="false" customHeight="false" outlineLevel="0" collapsed="false">
      <c r="A175" s="78"/>
      <c r="B175" s="200" t="s">
        <v>506</v>
      </c>
      <c r="C175" s="333" t="n">
        <v>15</v>
      </c>
      <c r="D175" s="78"/>
      <c r="E175" s="79"/>
      <c r="F175" s="79"/>
      <c r="G175" s="199"/>
      <c r="H175" s="78"/>
      <c r="I175" s="202" t="s">
        <v>253</v>
      </c>
      <c r="J175" s="78" t="n">
        <v>6210</v>
      </c>
      <c r="K175" s="204" t="n">
        <v>0</v>
      </c>
      <c r="L175" s="78" t="s">
        <v>471</v>
      </c>
    </row>
    <row r="176" customFormat="false" ht="12.75" hidden="false" customHeight="false" outlineLevel="0" collapsed="false">
      <c r="A176" s="78"/>
      <c r="B176" s="200" t="s">
        <v>403</v>
      </c>
      <c r="C176" s="333" t="n">
        <v>0.045</v>
      </c>
      <c r="D176" s="78"/>
      <c r="E176" s="79"/>
      <c r="F176" s="79"/>
      <c r="G176" s="199"/>
      <c r="H176" s="78"/>
      <c r="I176" s="202" t="s">
        <v>255</v>
      </c>
      <c r="J176" s="78" t="n">
        <v>5097</v>
      </c>
      <c r="K176" s="212" t="n">
        <v>300</v>
      </c>
      <c r="L176" s="78"/>
    </row>
    <row r="177" customFormat="false" ht="12.75" hidden="false" customHeight="false" outlineLevel="0" collapsed="false">
      <c r="A177" s="78"/>
      <c r="B177" s="200" t="s">
        <v>263</v>
      </c>
      <c r="C177" s="333" t="n">
        <v>1</v>
      </c>
      <c r="D177" s="78"/>
      <c r="E177" s="79"/>
      <c r="F177" s="79"/>
      <c r="G177" s="199"/>
      <c r="H177" s="78"/>
      <c r="I177" s="202" t="s">
        <v>256</v>
      </c>
      <c r="J177" s="78" t="s">
        <v>415</v>
      </c>
      <c r="K177" s="204" t="n">
        <v>0</v>
      </c>
      <c r="L177" s="78" t="s">
        <v>471</v>
      </c>
    </row>
    <row r="178" customFormat="false" ht="12.75" hidden="false" customHeight="false" outlineLevel="0" collapsed="false">
      <c r="A178" s="78"/>
      <c r="B178" s="200" t="s">
        <v>265</v>
      </c>
      <c r="C178" s="333" t="n">
        <v>1.5</v>
      </c>
      <c r="D178" s="78"/>
      <c r="E178" s="79"/>
      <c r="F178" s="79"/>
      <c r="G178" s="199"/>
      <c r="H178" s="78"/>
      <c r="I178" s="202" t="s">
        <v>507</v>
      </c>
      <c r="J178" s="211" t="s">
        <v>248</v>
      </c>
      <c r="K178" s="360" t="n">
        <v>800</v>
      </c>
      <c r="L178" s="78"/>
    </row>
    <row r="179" customFormat="false" ht="12.75" hidden="false" customHeight="false" outlineLevel="0" collapsed="false">
      <c r="A179" s="78"/>
      <c r="B179" s="200" t="s">
        <v>267</v>
      </c>
      <c r="C179" s="333" t="n">
        <v>1.7</v>
      </c>
      <c r="D179" s="78"/>
      <c r="E179" s="79"/>
      <c r="F179" s="79"/>
      <c r="G179" s="199"/>
      <c r="H179" s="78"/>
      <c r="I179" s="202" t="s">
        <v>474</v>
      </c>
      <c r="J179" s="211" t="s">
        <v>475</v>
      </c>
      <c r="K179" s="204" t="n">
        <v>48</v>
      </c>
      <c r="L179" s="78"/>
    </row>
    <row r="180" customFormat="false" ht="12.75" hidden="false" customHeight="false" outlineLevel="0" collapsed="false">
      <c r="A180" s="78"/>
      <c r="B180" s="200" t="s">
        <v>270</v>
      </c>
      <c r="C180" s="333" t="n">
        <v>15</v>
      </c>
      <c r="D180" s="202"/>
      <c r="E180" s="79"/>
      <c r="F180" s="79"/>
      <c r="G180" s="199"/>
      <c r="H180" s="78"/>
      <c r="I180" s="202" t="s">
        <v>283</v>
      </c>
      <c r="J180" s="211" t="s">
        <v>508</v>
      </c>
      <c r="K180" s="212" t="n">
        <v>5000</v>
      </c>
      <c r="L180" s="78"/>
    </row>
    <row r="181" customFormat="false" ht="12.75" hidden="false" customHeight="false" outlineLevel="0" collapsed="false">
      <c r="A181" s="78"/>
      <c r="B181" s="200" t="s">
        <v>272</v>
      </c>
      <c r="C181" s="333" t="n">
        <v>6</v>
      </c>
      <c r="D181" s="78"/>
      <c r="E181" s="79"/>
      <c r="F181" s="79"/>
      <c r="G181" s="199"/>
      <c r="H181" s="78"/>
      <c r="I181" s="202" t="s">
        <v>273</v>
      </c>
      <c r="J181" s="78" t="n">
        <v>6614</v>
      </c>
      <c r="K181" s="204" t="n">
        <v>0</v>
      </c>
      <c r="L181" s="78"/>
    </row>
    <row r="182" customFormat="false" ht="12.75" hidden="false" customHeight="false" outlineLevel="0" collapsed="false">
      <c r="A182" s="78"/>
      <c r="B182" s="200" t="s">
        <v>274</v>
      </c>
      <c r="C182" s="333" t="n">
        <v>10</v>
      </c>
      <c r="D182" s="78"/>
      <c r="E182" s="79"/>
      <c r="F182" s="79"/>
      <c r="G182" s="199"/>
      <c r="H182" s="78"/>
      <c r="I182" s="202" t="s">
        <v>264</v>
      </c>
      <c r="J182" s="78" t="n">
        <v>5310</v>
      </c>
      <c r="K182" s="204" t="n">
        <v>0</v>
      </c>
      <c r="L182" s="78" t="s">
        <v>471</v>
      </c>
    </row>
    <row r="183" customFormat="false" ht="12.75" hidden="false" customHeight="false" outlineLevel="0" collapsed="false">
      <c r="A183" s="78"/>
      <c r="B183" s="200" t="s">
        <v>276</v>
      </c>
      <c r="C183" s="333" t="n">
        <v>0.05</v>
      </c>
      <c r="D183" s="78"/>
      <c r="E183" s="79"/>
      <c r="F183" s="79"/>
      <c r="G183" s="199"/>
      <c r="H183" s="78"/>
      <c r="I183" s="202" t="s">
        <v>275</v>
      </c>
      <c r="J183" s="78" t="n">
        <v>6542</v>
      </c>
      <c r="K183" s="360" t="n">
        <v>415</v>
      </c>
      <c r="L183" s="78"/>
    </row>
    <row r="184" customFormat="false" ht="12.75" hidden="false" customHeight="false" outlineLevel="0" collapsed="false">
      <c r="A184" s="78"/>
      <c r="B184" s="200" t="s">
        <v>278</v>
      </c>
      <c r="C184" s="333" t="n">
        <v>0.475</v>
      </c>
      <c r="D184" s="78"/>
      <c r="E184" s="79"/>
      <c r="F184" s="79"/>
      <c r="G184" s="199"/>
      <c r="H184" s="78"/>
      <c r="I184" s="202" t="s">
        <v>268</v>
      </c>
      <c r="J184" s="78" t="s">
        <v>416</v>
      </c>
      <c r="K184" s="204" t="n">
        <v>0</v>
      </c>
      <c r="L184" s="78" t="s">
        <v>471</v>
      </c>
    </row>
    <row r="185" customFormat="false" ht="12.75" hidden="false" customHeight="false" outlineLevel="0" collapsed="false">
      <c r="A185" s="78"/>
      <c r="B185" s="200" t="s">
        <v>280</v>
      </c>
      <c r="C185" s="333" t="n">
        <v>0.205</v>
      </c>
      <c r="D185" s="78"/>
      <c r="E185" s="79"/>
      <c r="F185" s="79"/>
      <c r="G185" s="199"/>
      <c r="H185" s="78"/>
      <c r="I185" s="202" t="s">
        <v>268</v>
      </c>
      <c r="J185" s="78" t="n">
        <v>6534</v>
      </c>
      <c r="K185" s="204" t="n">
        <v>0</v>
      </c>
      <c r="L185" s="78" t="s">
        <v>471</v>
      </c>
    </row>
    <row r="186" customFormat="false" ht="12.75" hidden="false" customHeight="false" outlineLevel="0" collapsed="false">
      <c r="A186" s="78"/>
      <c r="B186" s="200" t="s">
        <v>317</v>
      </c>
      <c r="C186" s="200" t="n">
        <v>0</v>
      </c>
      <c r="D186" s="78"/>
      <c r="E186" s="79"/>
      <c r="F186" s="79"/>
      <c r="G186" s="199"/>
      <c r="H186" s="78"/>
      <c r="I186" s="202" t="s">
        <v>277</v>
      </c>
      <c r="J186" s="78" t="n">
        <v>5310</v>
      </c>
      <c r="K186" s="204" t="n">
        <v>0</v>
      </c>
      <c r="L186" s="78" t="s">
        <v>471</v>
      </c>
    </row>
    <row r="187" customFormat="false" ht="12.75" hidden="false" customHeight="false" outlineLevel="0" collapsed="false">
      <c r="A187" s="78"/>
      <c r="B187" s="200" t="s">
        <v>119</v>
      </c>
      <c r="C187" s="333" t="n">
        <v>5</v>
      </c>
      <c r="D187" s="78"/>
      <c r="E187" s="79"/>
      <c r="F187" s="79"/>
      <c r="G187" s="199"/>
      <c r="H187" s="78"/>
      <c r="I187" s="202" t="s">
        <v>279</v>
      </c>
      <c r="J187" s="78" t="n">
        <v>5310</v>
      </c>
      <c r="K187" s="204" t="n">
        <v>0</v>
      </c>
      <c r="L187" s="78" t="s">
        <v>471</v>
      </c>
    </row>
    <row r="188" customFormat="false" ht="12.75" hidden="false" customHeight="false" outlineLevel="0" collapsed="false">
      <c r="A188" s="78"/>
      <c r="B188" s="200" t="s">
        <v>283</v>
      </c>
      <c r="C188" s="200" t="n">
        <v>0</v>
      </c>
      <c r="D188" s="78"/>
      <c r="E188" s="79"/>
      <c r="F188" s="79"/>
      <c r="G188" s="199"/>
      <c r="H188" s="78"/>
      <c r="I188" s="202" t="s">
        <v>285</v>
      </c>
      <c r="J188" s="78"/>
      <c r="K188" s="202" t="n">
        <v>0</v>
      </c>
      <c r="L188" s="78"/>
    </row>
    <row r="189" customFormat="false" ht="12.75" hidden="false" customHeight="false" outlineLevel="0" collapsed="false">
      <c r="A189" s="78"/>
      <c r="B189" s="79" t="s">
        <v>319</v>
      </c>
      <c r="C189" s="79" t="n">
        <v>0</v>
      </c>
      <c r="D189" s="78"/>
      <c r="E189" s="79"/>
      <c r="F189" s="79"/>
      <c r="G189" s="199"/>
      <c r="H189" s="78"/>
      <c r="I189" s="202" t="s">
        <v>284</v>
      </c>
      <c r="J189" s="78"/>
      <c r="K189" s="202" t="n">
        <v>0</v>
      </c>
      <c r="L189" s="78"/>
    </row>
    <row r="190" customFormat="false" ht="12.75" hidden="false" customHeight="false" outlineLevel="0" collapsed="false">
      <c r="A190" s="78"/>
      <c r="B190" s="79" t="s">
        <v>288</v>
      </c>
      <c r="C190" s="79" t="n">
        <v>0</v>
      </c>
      <c r="D190" s="78"/>
      <c r="E190" s="79"/>
      <c r="F190" s="79"/>
      <c r="G190" s="199"/>
      <c r="H190" s="78"/>
      <c r="I190" s="202" t="s">
        <v>287</v>
      </c>
      <c r="J190" s="78"/>
      <c r="K190" s="202" t="n">
        <v>0</v>
      </c>
      <c r="L190" s="78"/>
    </row>
    <row r="191" customFormat="false" ht="12.75" hidden="false" customHeight="false" outlineLevel="0" collapsed="false">
      <c r="A191" s="78"/>
      <c r="B191" s="79" t="s">
        <v>322</v>
      </c>
      <c r="C191" s="79" t="n">
        <v>0</v>
      </c>
      <c r="D191" s="78"/>
      <c r="E191" s="79"/>
      <c r="F191" s="79"/>
      <c r="G191" s="199"/>
      <c r="H191" s="78"/>
      <c r="I191" s="202" t="s">
        <v>281</v>
      </c>
      <c r="J191" s="78"/>
      <c r="K191" s="202" t="n">
        <v>0</v>
      </c>
      <c r="L191" s="78"/>
    </row>
    <row r="192" customFormat="false" ht="12.75" hidden="false" customHeight="false" outlineLevel="0" collapsed="false">
      <c r="A192" s="78"/>
      <c r="B192" s="200" t="s">
        <v>286</v>
      </c>
      <c r="C192" s="333" t="n">
        <v>0.475</v>
      </c>
      <c r="D192" s="78"/>
      <c r="E192" s="79"/>
      <c r="F192" s="79"/>
      <c r="G192" s="199"/>
      <c r="H192" s="79" t="s">
        <v>470</v>
      </c>
      <c r="I192" s="202" t="s">
        <v>282</v>
      </c>
      <c r="J192" s="78"/>
      <c r="K192" s="202" t="n">
        <v>0</v>
      </c>
      <c r="L192" s="78"/>
    </row>
    <row r="193" customFormat="false" ht="12.75" hidden="false" customHeight="false" outlineLevel="0" collapsed="false">
      <c r="A193" s="78"/>
      <c r="B193" s="200" t="s">
        <v>290</v>
      </c>
      <c r="C193" s="333" t="n">
        <v>20</v>
      </c>
      <c r="D193" s="78"/>
      <c r="E193" s="79"/>
      <c r="F193" s="79"/>
      <c r="G193" s="199"/>
      <c r="H193" s="78"/>
      <c r="I193" s="202" t="s">
        <v>291</v>
      </c>
      <c r="J193" s="78" t="n">
        <v>6722</v>
      </c>
      <c r="K193" s="212" t="n">
        <v>54</v>
      </c>
      <c r="L193" s="78"/>
    </row>
    <row r="194" customFormat="false" ht="12.75" hidden="false" customHeight="false" outlineLevel="0" collapsed="false">
      <c r="A194" s="78"/>
      <c r="B194" s="200" t="s">
        <v>194</v>
      </c>
      <c r="C194" s="333" t="n">
        <v>3.1</v>
      </c>
      <c r="D194" s="78"/>
      <c r="E194" s="79"/>
      <c r="F194" s="79"/>
      <c r="G194" s="199"/>
      <c r="H194" s="78"/>
      <c r="I194" s="202" t="s">
        <v>289</v>
      </c>
      <c r="J194" s="78" t="n">
        <v>7211</v>
      </c>
      <c r="K194" s="204" t="n">
        <v>0</v>
      </c>
      <c r="L194" s="78"/>
    </row>
    <row r="195" customFormat="false" ht="12.75" hidden="false" customHeight="false" outlineLevel="0" collapsed="false">
      <c r="A195" s="78"/>
      <c r="B195" s="200" t="s">
        <v>292</v>
      </c>
      <c r="C195" s="333" t="n">
        <v>1.65</v>
      </c>
      <c r="D195" s="78"/>
      <c r="E195" s="79"/>
      <c r="F195" s="79"/>
      <c r="G195" s="199"/>
      <c r="H195" s="78"/>
      <c r="I195" s="345" t="s">
        <v>509</v>
      </c>
      <c r="J195" s="346" t="n">
        <v>308</v>
      </c>
      <c r="K195" s="360" t="n">
        <v>282</v>
      </c>
      <c r="L195" s="78"/>
    </row>
    <row r="196" customFormat="false" ht="12.75" hidden="false" customHeight="false" outlineLevel="0" collapsed="false">
      <c r="A196" s="78"/>
      <c r="B196" s="79" t="s">
        <v>125</v>
      </c>
      <c r="C196" s="241" t="n">
        <v>4.5</v>
      </c>
      <c r="D196" s="78"/>
      <c r="E196" s="79"/>
      <c r="F196" s="79"/>
      <c r="G196" s="199"/>
      <c r="H196" s="79" t="s">
        <v>470</v>
      </c>
      <c r="I196" s="202" t="s">
        <v>294</v>
      </c>
      <c r="J196" s="78" t="n">
        <v>4063</v>
      </c>
      <c r="K196" s="204" t="n">
        <v>0</v>
      </c>
      <c r="L196" s="78" t="s">
        <v>471</v>
      </c>
    </row>
    <row r="197" customFormat="false" ht="12.75" hidden="false" customHeight="false" outlineLevel="0" collapsed="false">
      <c r="A197" s="78"/>
      <c r="B197" s="200" t="s">
        <v>295</v>
      </c>
      <c r="C197" s="333" t="n">
        <v>4.3</v>
      </c>
      <c r="D197" s="78"/>
      <c r="E197" s="79"/>
      <c r="F197" s="79"/>
      <c r="G197" s="199"/>
      <c r="H197" s="79" t="s">
        <v>470</v>
      </c>
      <c r="I197" s="202" t="s">
        <v>117</v>
      </c>
      <c r="J197" s="78" t="n">
        <v>9643</v>
      </c>
      <c r="K197" s="212" t="n">
        <v>2591</v>
      </c>
      <c r="L197" s="78"/>
    </row>
    <row r="198" customFormat="false" ht="12.75" hidden="false" customHeight="false" outlineLevel="0" collapsed="false">
      <c r="A198" s="78"/>
      <c r="B198" s="200" t="s">
        <v>510</v>
      </c>
      <c r="C198" s="333" t="n">
        <v>1.7</v>
      </c>
      <c r="D198" s="78"/>
      <c r="E198" s="79"/>
      <c r="F198" s="79"/>
      <c r="G198" s="199"/>
      <c r="H198" s="78"/>
      <c r="I198" s="202" t="s">
        <v>69</v>
      </c>
      <c r="J198" s="78" t="s">
        <v>417</v>
      </c>
      <c r="K198" s="212" t="n">
        <v>7000</v>
      </c>
      <c r="L198" s="78"/>
    </row>
    <row r="199" customFormat="false" ht="12.75" hidden="false" customHeight="false" outlineLevel="0" collapsed="false">
      <c r="A199" s="78"/>
      <c r="B199" s="200" t="s">
        <v>297</v>
      </c>
      <c r="C199" s="333" t="n">
        <v>0.08</v>
      </c>
      <c r="D199" s="78"/>
      <c r="E199" s="79"/>
      <c r="F199" s="79"/>
      <c r="G199" s="199"/>
      <c r="H199" s="78"/>
      <c r="I199" s="202" t="s">
        <v>296</v>
      </c>
      <c r="J199" s="78" t="n">
        <v>9643</v>
      </c>
      <c r="K199" s="204" t="n">
        <v>0</v>
      </c>
      <c r="L199" s="78" t="s">
        <v>471</v>
      </c>
    </row>
    <row r="200" customFormat="false" ht="12.75" hidden="false" customHeight="false" outlineLevel="0" collapsed="false">
      <c r="A200" s="78"/>
      <c r="B200" s="200" t="s">
        <v>299</v>
      </c>
      <c r="C200" s="333" t="n">
        <v>40</v>
      </c>
      <c r="D200" s="78"/>
      <c r="E200" s="79"/>
      <c r="F200" s="210"/>
      <c r="G200" s="199"/>
      <c r="H200" s="78"/>
      <c r="I200" s="202" t="s">
        <v>298</v>
      </c>
      <c r="J200" s="78" t="n">
        <v>6788</v>
      </c>
      <c r="K200" s="204" t="n">
        <v>0</v>
      </c>
      <c r="L200" s="78" t="s">
        <v>471</v>
      </c>
    </row>
    <row r="201" customFormat="false" ht="12.75" hidden="false" customHeight="false" outlineLevel="0" collapsed="false">
      <c r="A201" s="78"/>
      <c r="B201" s="200" t="s">
        <v>31</v>
      </c>
      <c r="C201" s="333" t="n">
        <v>15</v>
      </c>
      <c r="D201" s="78"/>
      <c r="E201" s="79"/>
      <c r="F201" s="79"/>
      <c r="G201" s="199"/>
      <c r="H201" s="78"/>
      <c r="I201" s="202" t="s">
        <v>511</v>
      </c>
      <c r="J201" s="78" t="n">
        <v>6315</v>
      </c>
      <c r="K201" s="205" t="n">
        <v>348</v>
      </c>
      <c r="L201" s="78"/>
    </row>
    <row r="202" customFormat="false" ht="12.75" hidden="false" customHeight="false" outlineLevel="0" collapsed="false">
      <c r="A202" s="78"/>
      <c r="B202" s="200" t="s">
        <v>302</v>
      </c>
      <c r="C202" s="333" t="n">
        <v>0.33</v>
      </c>
      <c r="D202" s="78"/>
      <c r="E202" s="79"/>
      <c r="F202" s="79"/>
      <c r="G202" s="199"/>
      <c r="H202" s="78"/>
      <c r="I202" s="345" t="s">
        <v>300</v>
      </c>
      <c r="J202" s="346" t="n">
        <v>6683</v>
      </c>
      <c r="K202" s="212" t="n">
        <v>2500</v>
      </c>
      <c r="L202" s="78"/>
    </row>
    <row r="203" customFormat="false" ht="12.75" hidden="false" customHeight="false" outlineLevel="0" collapsed="false">
      <c r="A203" s="78"/>
      <c r="B203" s="200" t="s">
        <v>185</v>
      </c>
      <c r="C203" s="200" t="n">
        <v>0</v>
      </c>
      <c r="D203" s="78"/>
      <c r="E203" s="79"/>
      <c r="F203" s="79"/>
      <c r="G203" s="199"/>
      <c r="H203" s="78"/>
      <c r="I203" s="202" t="s">
        <v>301</v>
      </c>
      <c r="J203" s="78" t="n">
        <v>2185</v>
      </c>
      <c r="K203" s="212" t="n">
        <v>55</v>
      </c>
      <c r="L203" s="78"/>
    </row>
    <row r="204" customFormat="false" ht="12.75" hidden="false" customHeight="false" outlineLevel="0" collapsed="false">
      <c r="A204" s="78"/>
      <c r="B204" s="200" t="s">
        <v>305</v>
      </c>
      <c r="C204" s="333" t="n">
        <v>0.7</v>
      </c>
      <c r="D204" s="78"/>
      <c r="E204" s="79"/>
      <c r="F204" s="79"/>
      <c r="G204" s="199"/>
      <c r="H204" s="78"/>
      <c r="I204" s="202" t="s">
        <v>306</v>
      </c>
      <c r="J204" s="78" t="s">
        <v>418</v>
      </c>
      <c r="K204" s="360" t="n">
        <v>8000</v>
      </c>
      <c r="L204" s="78"/>
    </row>
    <row r="205" customFormat="false" ht="12.75" hidden="false" customHeight="false" outlineLevel="0" collapsed="false">
      <c r="A205" s="78"/>
      <c r="B205" s="200" t="s">
        <v>308</v>
      </c>
      <c r="C205" s="333" t="n">
        <v>60</v>
      </c>
      <c r="D205" s="78"/>
      <c r="E205" s="79"/>
      <c r="F205" s="79"/>
      <c r="G205" s="199"/>
      <c r="H205" s="78"/>
      <c r="I205" s="202" t="s">
        <v>309</v>
      </c>
      <c r="J205" s="78" t="n">
        <v>4132</v>
      </c>
      <c r="K205" s="360" t="n">
        <v>12</v>
      </c>
      <c r="L205" s="78"/>
    </row>
    <row r="206" customFormat="false" ht="12.75" hidden="false" customHeight="false" outlineLevel="0" collapsed="false">
      <c r="A206" s="78"/>
      <c r="B206" s="200" t="s">
        <v>310</v>
      </c>
      <c r="C206" s="333" t="n">
        <v>0.3</v>
      </c>
      <c r="D206" s="78"/>
      <c r="E206" s="79"/>
      <c r="F206" s="79"/>
      <c r="G206" s="199"/>
      <c r="H206" s="78"/>
      <c r="I206" s="202" t="s">
        <v>118</v>
      </c>
      <c r="J206" s="78" t="n">
        <v>2540</v>
      </c>
      <c r="K206" s="212" t="n">
        <v>11</v>
      </c>
      <c r="L206" s="78"/>
    </row>
    <row r="207" customFormat="false" ht="12.75" hidden="false" customHeight="false" outlineLevel="0" collapsed="false">
      <c r="A207" s="78"/>
      <c r="B207" s="200" t="s">
        <v>311</v>
      </c>
      <c r="C207" s="200" t="n">
        <v>0</v>
      </c>
      <c r="D207" s="78"/>
      <c r="E207" s="79"/>
      <c r="F207" s="79"/>
      <c r="G207" s="199"/>
      <c r="H207" s="78"/>
      <c r="I207" s="202" t="s">
        <v>312</v>
      </c>
      <c r="J207" s="78" t="n">
        <v>9643</v>
      </c>
      <c r="K207" s="204" t="n">
        <v>14</v>
      </c>
      <c r="L207" s="78"/>
    </row>
    <row r="208" customFormat="false" ht="12.75" hidden="false" customHeight="false" outlineLevel="0" collapsed="false">
      <c r="A208" s="78"/>
      <c r="B208" s="200" t="s">
        <v>313</v>
      </c>
      <c r="C208" s="200" t="n">
        <v>0</v>
      </c>
      <c r="D208" s="78"/>
      <c r="E208" s="79"/>
      <c r="F208" s="79"/>
      <c r="G208" s="199"/>
      <c r="H208" s="78"/>
      <c r="I208" s="202" t="s">
        <v>312</v>
      </c>
      <c r="J208" s="78" t="n">
        <v>5801</v>
      </c>
      <c r="K208" s="204" t="n">
        <v>0</v>
      </c>
      <c r="L208" s="78" t="s">
        <v>471</v>
      </c>
    </row>
    <row r="209" customFormat="false" ht="12.75" hidden="false" customHeight="false" outlineLevel="0" collapsed="false">
      <c r="A209" s="78"/>
      <c r="B209" s="200" t="s">
        <v>314</v>
      </c>
      <c r="C209" s="333" t="n">
        <v>0.05</v>
      </c>
      <c r="D209" s="78"/>
      <c r="E209" s="79"/>
      <c r="F209" s="79"/>
      <c r="G209" s="199"/>
      <c r="H209" s="78"/>
      <c r="I209" s="202" t="s">
        <v>315</v>
      </c>
      <c r="J209" s="78" t="n">
        <v>6589</v>
      </c>
      <c r="K209" s="204" t="n">
        <v>0</v>
      </c>
      <c r="L209" s="206" t="s">
        <v>442</v>
      </c>
    </row>
    <row r="210" customFormat="false" ht="12.75" hidden="false" customHeight="false" outlineLevel="0" collapsed="false">
      <c r="A210" s="78"/>
      <c r="B210" s="200"/>
      <c r="C210" s="200"/>
      <c r="D210" s="78"/>
      <c r="E210" s="79"/>
      <c r="F210" s="79"/>
      <c r="G210" s="199"/>
      <c r="H210" s="78"/>
      <c r="I210" s="202" t="s">
        <v>316</v>
      </c>
      <c r="J210" s="78" t="n">
        <v>106</v>
      </c>
      <c r="K210" s="360" t="n">
        <v>1068</v>
      </c>
      <c r="L210" s="78"/>
      <c r="M210" s="214" t="n">
        <v>34771</v>
      </c>
      <c r="N210" s="1" t="s">
        <v>478</v>
      </c>
    </row>
    <row r="211" customFormat="false" ht="12.75" hidden="false" customHeight="false" outlineLevel="0" collapsed="false">
      <c r="A211" s="78"/>
      <c r="B211" s="200"/>
      <c r="C211" s="199"/>
      <c r="D211" s="78"/>
      <c r="E211" s="79"/>
      <c r="F211" s="79"/>
      <c r="G211" s="199"/>
      <c r="H211" s="78"/>
      <c r="I211" s="202" t="s">
        <v>321</v>
      </c>
      <c r="J211" s="78" t="n">
        <v>6598</v>
      </c>
      <c r="K211" s="204" t="n">
        <v>0</v>
      </c>
      <c r="L211" s="78" t="s">
        <v>471</v>
      </c>
    </row>
    <row r="212" customFormat="false" ht="12.75" hidden="false" customHeight="false" outlineLevel="0" collapsed="false">
      <c r="A212" s="78"/>
      <c r="B212" s="200"/>
      <c r="C212" s="200"/>
      <c r="D212" s="78"/>
      <c r="E212" s="79"/>
      <c r="F212" s="79"/>
      <c r="G212" s="199"/>
      <c r="H212" s="78"/>
      <c r="I212" s="199"/>
      <c r="J212" s="78"/>
      <c r="K212" s="337" t="n">
        <f aca="false">SUM(K130:K211)</f>
        <v>54297.2</v>
      </c>
    </row>
    <row r="213" customFormat="false" ht="12.75" hidden="false" customHeight="false" outlineLevel="0" collapsed="false">
      <c r="B213" s="200"/>
      <c r="C213" s="200"/>
      <c r="D213" s="78"/>
      <c r="E213" s="79"/>
      <c r="F213" s="79"/>
      <c r="G213" s="199"/>
      <c r="H213" s="78"/>
      <c r="I213" s="199"/>
      <c r="J213" s="78"/>
      <c r="K213" s="204"/>
      <c r="L213" s="78"/>
    </row>
    <row r="214" customFormat="false" ht="12.75" hidden="false" customHeight="false" outlineLevel="0" collapsed="false">
      <c r="B214" s="0"/>
      <c r="C214" s="213" t="n">
        <f aca="false">SUM(C130:C213)</f>
        <v>462.186</v>
      </c>
      <c r="D214" s="78"/>
      <c r="E214" s="79"/>
      <c r="F214" s="79"/>
      <c r="G214" s="199"/>
      <c r="H214" s="78"/>
      <c r="I214" s="202"/>
      <c r="J214" s="78"/>
      <c r="K214" s="202"/>
      <c r="L214" s="78"/>
    </row>
    <row r="215" customFormat="false" ht="12.75" hidden="false" customHeight="false" outlineLevel="0" collapsed="false">
      <c r="B215" s="0"/>
      <c r="C215" s="79"/>
      <c r="D215" s="78"/>
      <c r="E215" s="79"/>
      <c r="F215" s="78"/>
      <c r="G215" s="202"/>
      <c r="H215" s="78"/>
      <c r="I215" s="202"/>
      <c r="J215" s="78"/>
      <c r="L215" s="78"/>
    </row>
    <row r="216" customFormat="false" ht="12.75" hidden="false" customHeight="false" outlineLevel="0" collapsed="false">
      <c r="B216" s="0"/>
      <c r="C216" s="79"/>
      <c r="D216" s="78"/>
      <c r="E216" s="213"/>
      <c r="F216" s="78"/>
      <c r="G216" s="78"/>
      <c r="H216" s="78"/>
      <c r="I216" s="202"/>
      <c r="J216" s="78"/>
      <c r="K216" s="204"/>
      <c r="L216" s="78"/>
    </row>
    <row r="217" customFormat="false" ht="12.75" hidden="false" customHeight="false" outlineLevel="0" collapsed="false">
      <c r="A217" s="215"/>
      <c r="B217" s="0"/>
      <c r="C217" s="79"/>
      <c r="D217" s="78"/>
      <c r="E217" s="78"/>
      <c r="F217" s="78"/>
      <c r="G217" s="78"/>
      <c r="H217" s="78"/>
      <c r="I217" s="202"/>
      <c r="J217" s="78"/>
      <c r="K217" s="202"/>
      <c r="L217" s="78"/>
    </row>
    <row r="218" customFormat="false" ht="12.75" hidden="false" customHeight="false" outlineLevel="0" collapsed="false">
      <c r="B218" s="216" t="s">
        <v>11</v>
      </c>
      <c r="C218" s="200" t="n">
        <v>0</v>
      </c>
      <c r="D218" s="78"/>
      <c r="E218" s="78"/>
      <c r="F218" s="78"/>
      <c r="G218" s="78"/>
      <c r="H218" s="78"/>
      <c r="I218" s="202"/>
      <c r="J218" s="78"/>
      <c r="K218" s="204"/>
      <c r="L218" s="78"/>
    </row>
    <row r="219" customFormat="false" ht="12.75" hidden="false" customHeight="false" outlineLevel="0" collapsed="false">
      <c r="B219" s="216" t="s">
        <v>9</v>
      </c>
      <c r="C219" s="200" t="n">
        <v>0</v>
      </c>
      <c r="D219" s="78"/>
      <c r="E219" s="78"/>
      <c r="F219" s="78"/>
      <c r="G219" s="78"/>
      <c r="H219" s="78"/>
      <c r="I219" s="202"/>
      <c r="J219" s="78"/>
      <c r="K219" s="204"/>
      <c r="L219" s="78"/>
    </row>
    <row r="220" customFormat="false" ht="12.75" hidden="false" customHeight="false" outlineLevel="0" collapsed="false">
      <c r="B220" s="216" t="s">
        <v>323</v>
      </c>
      <c r="C220" s="200" t="n">
        <v>0</v>
      </c>
      <c r="D220" s="78"/>
      <c r="E220" s="78"/>
      <c r="F220" s="78"/>
      <c r="G220" s="78"/>
      <c r="H220" s="78"/>
      <c r="I220" s="202"/>
      <c r="J220" s="78"/>
      <c r="K220" s="204"/>
      <c r="L220" s="78"/>
    </row>
    <row r="221" customFormat="false" ht="12.75" hidden="false" customHeight="false" outlineLevel="0" collapsed="false">
      <c r="B221" s="216" t="s">
        <v>15</v>
      </c>
      <c r="C221" s="200" t="n">
        <v>0</v>
      </c>
      <c r="D221" s="78" t="n">
        <v>3</v>
      </c>
      <c r="E221" s="78"/>
      <c r="F221" s="78" t="n">
        <v>5</v>
      </c>
      <c r="G221" s="78"/>
      <c r="H221" s="78"/>
      <c r="I221" s="202"/>
      <c r="J221" s="78"/>
      <c r="K221" s="204"/>
      <c r="L221" s="78"/>
    </row>
    <row r="222" customFormat="false" ht="12.75" hidden="false" customHeight="false" outlineLevel="0" collapsed="false">
      <c r="B222" s="216" t="s">
        <v>227</v>
      </c>
      <c r="C222" s="200" t="n">
        <v>0</v>
      </c>
      <c r="D222" s="78" t="s">
        <v>324</v>
      </c>
      <c r="E222" s="78"/>
      <c r="F222" s="78" t="n">
        <v>10</v>
      </c>
      <c r="G222" s="78"/>
      <c r="H222" s="78"/>
      <c r="I222" s="79"/>
      <c r="J222" s="78"/>
      <c r="K222" s="204"/>
      <c r="L222" s="78"/>
    </row>
    <row r="223" customFormat="false" ht="12.75" hidden="false" customHeight="false" outlineLevel="0" collapsed="false">
      <c r="B223" s="216" t="s">
        <v>53</v>
      </c>
      <c r="C223" s="200" t="n">
        <v>0</v>
      </c>
      <c r="D223" s="78"/>
      <c r="E223" s="78"/>
      <c r="F223" s="78"/>
      <c r="G223" s="78"/>
      <c r="H223" s="78"/>
      <c r="I223" s="78"/>
      <c r="J223" s="78"/>
    </row>
    <row r="224" customFormat="false" ht="12.75" hidden="false" customHeight="false" outlineLevel="0" collapsed="false">
      <c r="B224" s="216" t="s">
        <v>21</v>
      </c>
      <c r="C224" s="200" t="n">
        <v>0</v>
      </c>
      <c r="D224" s="78" t="s">
        <v>325</v>
      </c>
      <c r="E224" s="78"/>
      <c r="F224" s="78"/>
      <c r="G224" s="78"/>
      <c r="H224" s="78"/>
      <c r="I224" s="78"/>
      <c r="J224" s="78"/>
      <c r="K224" s="78"/>
    </row>
    <row r="225" customFormat="false" ht="12.75" hidden="false" customHeight="false" outlineLevel="0" collapsed="false">
      <c r="B225" s="216" t="s">
        <v>19</v>
      </c>
      <c r="C225" s="200" t="n">
        <v>0</v>
      </c>
      <c r="D225" s="78"/>
      <c r="E225" s="78"/>
      <c r="F225" s="78" t="n">
        <v>5</v>
      </c>
      <c r="G225" s="78"/>
      <c r="H225" s="78"/>
      <c r="I225" s="78"/>
      <c r="J225" s="78"/>
      <c r="K225" s="78"/>
    </row>
    <row r="226" customFormat="false" ht="12.75" hidden="false" customHeight="false" outlineLevel="0" collapsed="false">
      <c r="B226" s="216" t="s">
        <v>23</v>
      </c>
      <c r="C226" s="200" t="n">
        <v>0</v>
      </c>
      <c r="D226" s="78"/>
      <c r="E226" s="78"/>
      <c r="F226" s="78" t="n">
        <v>15</v>
      </c>
      <c r="G226" s="78"/>
      <c r="H226" s="78"/>
      <c r="I226" s="78"/>
      <c r="J226" s="78"/>
      <c r="K226" s="78"/>
    </row>
    <row r="227" customFormat="false" ht="12.75" hidden="false" customHeight="false" outlineLevel="0" collapsed="false">
      <c r="A227" s="1" t="s">
        <v>326</v>
      </c>
      <c r="B227" s="0" t="s">
        <v>250</v>
      </c>
      <c r="C227" s="79" t="n">
        <v>0</v>
      </c>
      <c r="D227" s="78" t="s">
        <v>324</v>
      </c>
      <c r="E227" s="78"/>
      <c r="F227" s="78" t="n">
        <v>15</v>
      </c>
      <c r="G227" s="78"/>
      <c r="H227" s="78"/>
      <c r="I227" s="78"/>
      <c r="J227" s="78"/>
      <c r="K227" s="78"/>
    </row>
    <row r="228" customFormat="false" ht="12.75" hidden="false" customHeight="false" outlineLevel="0" collapsed="false">
      <c r="B228" s="216" t="s">
        <v>270</v>
      </c>
      <c r="C228" s="200" t="n">
        <v>0</v>
      </c>
      <c r="D228" s="78" t="s">
        <v>324</v>
      </c>
      <c r="E228" s="78"/>
      <c r="F228" s="78" t="n">
        <v>5</v>
      </c>
      <c r="G228" s="78"/>
      <c r="H228" s="78"/>
      <c r="I228" s="78"/>
      <c r="J228" s="78"/>
      <c r="K228" s="78"/>
    </row>
    <row r="229" customFormat="false" ht="12.75" hidden="false" customHeight="false" outlineLevel="0" collapsed="false">
      <c r="B229" s="216" t="s">
        <v>327</v>
      </c>
      <c r="C229" s="200" t="n">
        <v>0</v>
      </c>
      <c r="D229" s="78" t="s">
        <v>324</v>
      </c>
      <c r="E229" s="78"/>
      <c r="F229" s="78"/>
      <c r="G229" s="78"/>
      <c r="H229" s="78"/>
      <c r="I229" s="79"/>
      <c r="J229" s="78"/>
      <c r="K229" s="78"/>
    </row>
    <row r="230" customFormat="false" ht="12.75" hidden="false" customHeight="false" outlineLevel="0" collapsed="false">
      <c r="B230" s="0" t="s">
        <v>299</v>
      </c>
      <c r="C230" s="199" t="n">
        <v>0</v>
      </c>
      <c r="D230" s="78"/>
      <c r="E230" s="78"/>
      <c r="F230" s="78" t="n">
        <f aca="false">SUM(F221:F229)</f>
        <v>55</v>
      </c>
      <c r="G230" s="78"/>
      <c r="H230" s="78"/>
      <c r="I230" s="78"/>
      <c r="J230" s="78"/>
    </row>
    <row r="231" customFormat="false" ht="12.75" hidden="false" customHeight="false" outlineLevel="0" collapsed="false">
      <c r="B231" s="0" t="s">
        <v>31</v>
      </c>
      <c r="C231" s="199" t="n">
        <v>0</v>
      </c>
      <c r="D231" s="78" t="s">
        <v>328</v>
      </c>
      <c r="E231" s="78"/>
      <c r="F231" s="78"/>
      <c r="G231" s="78"/>
      <c r="H231" s="78"/>
      <c r="I231" s="78"/>
      <c r="J231" s="78"/>
    </row>
    <row r="232" customFormat="false" ht="12.75" hidden="false" customHeight="false" outlineLevel="0" collapsed="false">
      <c r="B232" s="0" t="s">
        <v>317</v>
      </c>
      <c r="C232" s="199" t="n">
        <v>0</v>
      </c>
      <c r="D232" s="78"/>
      <c r="E232" s="78"/>
      <c r="F232" s="78"/>
      <c r="G232" s="78"/>
      <c r="H232" s="78"/>
      <c r="I232" s="78"/>
      <c r="J232" s="78"/>
    </row>
    <row r="233" customFormat="false" ht="12.75" hidden="false" customHeight="false" outlineLevel="0" collapsed="false">
      <c r="B233" s="0" t="s">
        <v>329</v>
      </c>
      <c r="C233" s="199" t="n">
        <v>0</v>
      </c>
      <c r="D233" s="78"/>
      <c r="E233" s="78"/>
      <c r="F233" s="78"/>
      <c r="G233" s="78"/>
      <c r="H233" s="78"/>
      <c r="I233" s="78"/>
      <c r="J233" s="78"/>
    </row>
    <row r="234" customFormat="false" ht="12.75" hidden="false" customHeight="false" outlineLevel="0" collapsed="false">
      <c r="B234" s="0" t="s">
        <v>330</v>
      </c>
      <c r="C234" s="217" t="n">
        <f aca="false">SUM(C218:C233)</f>
        <v>0</v>
      </c>
      <c r="D234" s="78"/>
      <c r="E234" s="78"/>
      <c r="F234" s="78"/>
      <c r="G234" s="78"/>
      <c r="H234" s="78"/>
      <c r="I234" s="78"/>
      <c r="J234" s="78"/>
    </row>
    <row r="235" customFormat="false" ht="12.75" hidden="false" customHeight="false" outlineLevel="0" collapsed="false">
      <c r="B235" s="48"/>
      <c r="C235" s="48"/>
      <c r="D235" s="78"/>
      <c r="E235" s="78"/>
      <c r="G235" s="78"/>
      <c r="H235" s="78"/>
      <c r="I235" s="78"/>
      <c r="J235" s="78"/>
    </row>
    <row r="236" customFormat="false" ht="12.75" hidden="false" customHeight="false" outlineLevel="0" collapsed="false">
      <c r="B236" s="0"/>
      <c r="C236" s="0" t="n">
        <f aca="false">C214+C234</f>
        <v>462.186</v>
      </c>
      <c r="D236" s="78"/>
      <c r="H236" s="78"/>
      <c r="I236" s="78"/>
      <c r="J236" s="78"/>
    </row>
    <row r="237" customFormat="false" ht="12.75" hidden="false" customHeight="false" outlineLevel="0" collapsed="false">
      <c r="B237" s="0"/>
      <c r="C237" s="0"/>
      <c r="H237" s="78"/>
      <c r="I237" s="78"/>
      <c r="J237" s="78"/>
    </row>
    <row r="238" customFormat="false" ht="12.75" hidden="false" customHeight="false" outlineLevel="0" collapsed="false">
      <c r="B238" s="0"/>
      <c r="C238" s="0" t="n">
        <f aca="false">E216-C236</f>
        <v>-462.186</v>
      </c>
      <c r="H238" s="78"/>
      <c r="I238" s="78"/>
      <c r="J238" s="78"/>
      <c r="O238" s="219"/>
      <c r="P238" s="219"/>
      <c r="Q238" s="219"/>
      <c r="R238" s="219"/>
      <c r="S238" s="220"/>
    </row>
    <row r="239" customFormat="false" ht="12.75" hidden="false" customHeight="false" outlineLevel="0" collapsed="false">
      <c r="B239" s="0"/>
      <c r="C239" s="0"/>
      <c r="G239" s="218" t="s">
        <v>331</v>
      </c>
      <c r="I239" s="78"/>
      <c r="J239" s="78"/>
      <c r="O239" s="223"/>
      <c r="P239" s="223"/>
      <c r="Q239" s="223"/>
      <c r="R239" s="87"/>
      <c r="S239" s="181"/>
    </row>
    <row r="240" customFormat="false" ht="12.75" hidden="false" customHeight="false" outlineLevel="0" collapsed="false">
      <c r="G240" s="221"/>
      <c r="I240" s="79"/>
      <c r="J240" s="78"/>
      <c r="N240" s="219"/>
      <c r="O240" s="87"/>
      <c r="P240" s="87"/>
      <c r="Q240" s="87"/>
      <c r="R240" s="87"/>
      <c r="S240" s="184"/>
    </row>
    <row r="241" customFormat="false" ht="12.75" hidden="false" customHeight="false" outlineLevel="0" collapsed="false">
      <c r="G241" s="224"/>
      <c r="H241" s="219"/>
      <c r="I241" s="79"/>
      <c r="J241" s="78"/>
      <c r="M241" s="219"/>
      <c r="N241" s="223"/>
      <c r="O241" s="87"/>
      <c r="P241" s="87"/>
      <c r="Q241" s="87"/>
      <c r="R241" s="87"/>
      <c r="S241" s="184"/>
    </row>
    <row r="242" customFormat="false" ht="12.75" hidden="false" customHeight="false" outlineLevel="0" collapsed="false">
      <c r="B242" s="0"/>
      <c r="C242" s="225"/>
      <c r="G242" s="224"/>
      <c r="H242" s="222" t="s">
        <v>332</v>
      </c>
      <c r="I242" s="219"/>
      <c r="J242" s="219"/>
      <c r="K242" s="219"/>
      <c r="M242" s="223"/>
      <c r="N242" s="87"/>
      <c r="O242" s="87"/>
      <c r="P242" s="87"/>
      <c r="Q242" s="87"/>
      <c r="R242" s="87"/>
      <c r="S242" s="184"/>
    </row>
    <row r="243" customFormat="false" ht="12.75" hidden="false" customHeight="false" outlineLevel="0" collapsed="false">
      <c r="B243" s="0"/>
      <c r="C243" s="225"/>
      <c r="G243" s="224"/>
      <c r="H243" s="87"/>
      <c r="I243" s="226"/>
      <c r="J243" s="227"/>
      <c r="K243" s="223"/>
      <c r="L243" s="219"/>
      <c r="M243" s="87"/>
      <c r="N243" s="87"/>
      <c r="O243" s="87"/>
      <c r="P243" s="87"/>
      <c r="Q243" s="87"/>
      <c r="R243" s="87"/>
      <c r="S243" s="184"/>
    </row>
    <row r="244" customFormat="false" ht="12.75" hidden="false" customHeight="false" outlineLevel="0" collapsed="false">
      <c r="B244" s="0"/>
      <c r="C244" s="225"/>
      <c r="G244" s="224"/>
      <c r="H244" s="87"/>
      <c r="I244" s="81" t="s">
        <v>334</v>
      </c>
      <c r="J244" s="228" t="n">
        <v>0</v>
      </c>
      <c r="K244" s="87"/>
      <c r="L244" s="223"/>
      <c r="M244" s="87"/>
      <c r="N244" s="87"/>
      <c r="O244" s="87"/>
      <c r="P244" s="87"/>
      <c r="Q244" s="87"/>
      <c r="R244" s="87"/>
      <c r="S244" s="184"/>
    </row>
    <row r="245" customFormat="false" ht="12.75" hidden="false" customHeight="false" outlineLevel="0" collapsed="false">
      <c r="B245" s="0"/>
      <c r="C245" s="225"/>
      <c r="G245" s="224"/>
      <c r="H245" s="87"/>
      <c r="I245" s="87" t="s">
        <v>335</v>
      </c>
      <c r="J245" s="214" t="n">
        <v>0</v>
      </c>
      <c r="K245" s="87"/>
      <c r="L245" s="87"/>
      <c r="M245" s="87"/>
      <c r="N245" s="87"/>
      <c r="O245" s="87"/>
      <c r="P245" s="87"/>
      <c r="Q245" s="87"/>
      <c r="R245" s="87"/>
      <c r="S245" s="184"/>
    </row>
    <row r="246" customFormat="false" ht="12.75" hidden="false" customHeight="false" outlineLevel="0" collapsed="false">
      <c r="B246" s="0"/>
      <c r="C246" s="225"/>
      <c r="G246" s="224"/>
      <c r="H246" s="87"/>
      <c r="I246" s="87" t="s">
        <v>336</v>
      </c>
      <c r="J246" s="214" t="n">
        <v>0</v>
      </c>
      <c r="K246" s="87"/>
      <c r="L246" s="87"/>
      <c r="M246" s="87"/>
      <c r="N246" s="87"/>
      <c r="O246" s="87"/>
      <c r="P246" s="87"/>
      <c r="Q246" s="87"/>
      <c r="R246" s="87"/>
      <c r="S246" s="184"/>
    </row>
    <row r="247" customFormat="false" ht="12.75" hidden="false" customHeight="false" outlineLevel="0" collapsed="false">
      <c r="B247" s="0"/>
      <c r="C247" s="225"/>
      <c r="G247" s="224"/>
      <c r="H247" s="87"/>
      <c r="I247" s="87" t="s">
        <v>337</v>
      </c>
      <c r="J247" s="214" t="n">
        <v>0</v>
      </c>
      <c r="K247" s="87"/>
      <c r="L247" s="87"/>
      <c r="M247" s="87"/>
      <c r="N247" s="87"/>
      <c r="O247" s="87"/>
      <c r="P247" s="87"/>
      <c r="Q247" s="87"/>
      <c r="R247" s="87"/>
      <c r="S247" s="184"/>
    </row>
    <row r="248" customFormat="false" ht="12.75" hidden="false" customHeight="false" outlineLevel="0" collapsed="false">
      <c r="B248" s="0"/>
      <c r="C248" s="225"/>
      <c r="G248" s="224"/>
      <c r="H248" s="87"/>
      <c r="I248" s="87" t="s">
        <v>338</v>
      </c>
      <c r="J248" s="214" t="n">
        <v>0</v>
      </c>
      <c r="K248" s="87"/>
      <c r="L248" s="87"/>
      <c r="M248" s="87"/>
      <c r="N248" s="87"/>
      <c r="O248" s="87"/>
      <c r="P248" s="87"/>
      <c r="Q248" s="87"/>
      <c r="R248" s="87"/>
      <c r="S248" s="184"/>
    </row>
    <row r="249" customFormat="false" ht="12.75" hidden="false" customHeight="false" outlineLevel="0" collapsed="false">
      <c r="B249" s="0"/>
      <c r="C249" s="225"/>
      <c r="G249" s="224"/>
      <c r="H249" s="87"/>
      <c r="I249" s="87" t="s">
        <v>339</v>
      </c>
      <c r="J249" s="214" t="n">
        <v>0</v>
      </c>
      <c r="K249" s="87"/>
      <c r="L249" s="87"/>
      <c r="M249" s="87"/>
      <c r="N249" s="87"/>
      <c r="O249" s="87"/>
      <c r="P249" s="87"/>
      <c r="Q249" s="87"/>
      <c r="R249" s="87"/>
      <c r="S249" s="184"/>
    </row>
    <row r="250" customFormat="false" ht="12.75" hidden="false" customHeight="false" outlineLevel="0" collapsed="false">
      <c r="B250" s="0"/>
      <c r="C250" s="225"/>
      <c r="G250" s="224"/>
      <c r="H250" s="87"/>
      <c r="I250" s="87" t="s">
        <v>340</v>
      </c>
      <c r="J250" s="230" t="n">
        <v>0</v>
      </c>
      <c r="K250" s="87"/>
      <c r="L250" s="87"/>
      <c r="M250" s="87"/>
      <c r="N250" s="87"/>
      <c r="O250" s="87"/>
      <c r="P250" s="87"/>
      <c r="Q250" s="87"/>
      <c r="R250" s="87"/>
      <c r="S250" s="184"/>
    </row>
    <row r="251" customFormat="false" ht="12.75" hidden="false" customHeight="false" outlineLevel="0" collapsed="false">
      <c r="B251" s="0"/>
      <c r="C251" s="225"/>
      <c r="G251" s="224"/>
      <c r="H251" s="87" t="s">
        <v>333</v>
      </c>
      <c r="I251" s="87"/>
      <c r="J251" s="214" t="n">
        <f aca="false">SUM(J244:J250)</f>
        <v>0</v>
      </c>
      <c r="K251" s="87"/>
      <c r="L251" s="87"/>
      <c r="M251" s="87"/>
      <c r="N251" s="87"/>
      <c r="O251" s="87"/>
      <c r="P251" s="87"/>
      <c r="Q251" s="87"/>
      <c r="R251" s="87"/>
      <c r="S251" s="184"/>
    </row>
    <row r="252" customFormat="false" ht="12.75" hidden="false" customHeight="false" outlineLevel="0" collapsed="false">
      <c r="B252" s="0"/>
      <c r="C252" s="225"/>
      <c r="G252" s="224"/>
      <c r="H252" s="87"/>
      <c r="I252" s="87"/>
      <c r="J252" s="214"/>
      <c r="K252" s="87"/>
      <c r="L252" s="87"/>
      <c r="M252" s="87"/>
      <c r="N252" s="87"/>
      <c r="O252" s="87"/>
      <c r="P252" s="87"/>
      <c r="Q252" s="87"/>
      <c r="R252" s="87"/>
      <c r="S252" s="184"/>
    </row>
    <row r="253" customFormat="false" ht="12.75" hidden="false" customHeight="false" outlineLevel="0" collapsed="false">
      <c r="B253" s="0"/>
      <c r="C253" s="225"/>
      <c r="G253" s="224"/>
      <c r="H253" s="87"/>
      <c r="I253" s="87" t="s">
        <v>342</v>
      </c>
      <c r="J253" s="214" t="n">
        <v>0</v>
      </c>
      <c r="K253" s="87"/>
      <c r="L253" s="87"/>
      <c r="M253" s="87"/>
      <c r="N253" s="87"/>
      <c r="O253" s="87"/>
      <c r="P253" s="87"/>
      <c r="Q253" s="87"/>
      <c r="R253" s="87"/>
      <c r="S253" s="184"/>
    </row>
    <row r="254" customFormat="false" ht="12.75" hidden="false" customHeight="false" outlineLevel="0" collapsed="false">
      <c r="B254" s="0"/>
      <c r="C254" s="225"/>
      <c r="G254" s="224"/>
      <c r="H254" s="87"/>
      <c r="I254" s="87" t="s">
        <v>344</v>
      </c>
      <c r="J254" s="214" t="n">
        <v>0</v>
      </c>
      <c r="K254" s="87"/>
      <c r="L254" s="87"/>
      <c r="M254" s="87"/>
      <c r="N254" s="87"/>
      <c r="O254" s="87"/>
      <c r="P254" s="87"/>
      <c r="Q254" s="87"/>
      <c r="R254" s="87"/>
      <c r="S254" s="184"/>
    </row>
    <row r="255" customFormat="false" ht="12.75" hidden="false" customHeight="false" outlineLevel="0" collapsed="false">
      <c r="B255" s="0"/>
      <c r="C255" s="225"/>
      <c r="G255" s="224"/>
      <c r="H255" s="87"/>
      <c r="I255" s="87" t="s">
        <v>345</v>
      </c>
      <c r="J255" s="214" t="n">
        <v>0</v>
      </c>
      <c r="K255" s="87"/>
      <c r="L255" s="87"/>
      <c r="M255" s="87"/>
      <c r="N255" s="87"/>
      <c r="O255" s="87"/>
      <c r="P255" s="87"/>
      <c r="Q255" s="87"/>
      <c r="R255" s="87"/>
      <c r="S255" s="184"/>
    </row>
    <row r="256" customFormat="false" ht="12.75" hidden="false" customHeight="false" outlineLevel="0" collapsed="false">
      <c r="B256" s="0"/>
      <c r="C256" s="225"/>
      <c r="G256" s="224"/>
      <c r="H256" s="87"/>
      <c r="I256" s="87" t="s">
        <v>346</v>
      </c>
      <c r="J256" s="214" t="n">
        <v>0</v>
      </c>
      <c r="K256" s="87"/>
      <c r="L256" s="87"/>
      <c r="M256" s="87"/>
      <c r="N256" s="87"/>
      <c r="O256" s="87"/>
      <c r="P256" s="87"/>
      <c r="Q256" s="87"/>
      <c r="R256" s="87"/>
      <c r="S256" s="184"/>
    </row>
    <row r="257" customFormat="false" ht="12.75" hidden="false" customHeight="false" outlineLevel="0" collapsed="false">
      <c r="B257" s="48"/>
      <c r="C257" s="229"/>
      <c r="G257" s="224"/>
      <c r="H257" s="87"/>
      <c r="I257" s="87" t="s">
        <v>347</v>
      </c>
      <c r="J257" s="214" t="n">
        <v>0</v>
      </c>
      <c r="K257" s="87"/>
      <c r="L257" s="87"/>
      <c r="M257" s="87"/>
      <c r="N257" s="87"/>
      <c r="O257" s="87"/>
      <c r="P257" s="87"/>
      <c r="Q257" s="87"/>
      <c r="R257" s="87"/>
      <c r="S257" s="184"/>
    </row>
    <row r="258" customFormat="false" ht="12.75" hidden="false" customHeight="false" outlineLevel="0" collapsed="false">
      <c r="B258" s="0"/>
      <c r="C258" s="225"/>
      <c r="G258" s="224"/>
      <c r="H258" s="87"/>
      <c r="I258" s="87" t="s">
        <v>350</v>
      </c>
      <c r="J258" s="214" t="n">
        <v>0</v>
      </c>
      <c r="K258" s="87"/>
      <c r="L258" s="87"/>
      <c r="M258" s="87"/>
      <c r="N258" s="87"/>
      <c r="O258" s="87"/>
      <c r="P258" s="87"/>
      <c r="Q258" s="87"/>
      <c r="R258" s="87"/>
      <c r="S258" s="184"/>
    </row>
    <row r="259" customFormat="false" ht="12.75" hidden="false" customHeight="false" outlineLevel="0" collapsed="false">
      <c r="B259" s="0"/>
      <c r="C259" s="225"/>
      <c r="G259" s="224"/>
      <c r="H259" s="87"/>
      <c r="I259" s="87" t="s">
        <v>351</v>
      </c>
      <c r="J259" s="214" t="n">
        <v>0</v>
      </c>
      <c r="K259" s="87"/>
      <c r="L259" s="87"/>
      <c r="M259" s="87"/>
      <c r="N259" s="87"/>
      <c r="O259" s="87"/>
      <c r="P259" s="87"/>
      <c r="Q259" s="87"/>
      <c r="R259" s="87"/>
      <c r="S259" s="184"/>
    </row>
    <row r="260" customFormat="false" ht="12.75" hidden="false" customHeight="false" outlineLevel="0" collapsed="false">
      <c r="B260" s="0"/>
      <c r="C260" s="225"/>
      <c r="G260" s="224"/>
      <c r="H260" s="87"/>
      <c r="I260" s="87" t="s">
        <v>354</v>
      </c>
      <c r="J260" s="214" t="n">
        <v>0</v>
      </c>
      <c r="K260" s="87"/>
      <c r="L260" s="87"/>
      <c r="M260" s="87"/>
      <c r="N260" s="87"/>
      <c r="O260" s="87"/>
      <c r="P260" s="87"/>
      <c r="Q260" s="87"/>
      <c r="R260" s="87"/>
      <c r="S260" s="184"/>
    </row>
    <row r="261" customFormat="false" ht="12.75" hidden="false" customHeight="false" outlineLevel="0" collapsed="false">
      <c r="B261" s="0"/>
      <c r="C261" s="225"/>
      <c r="G261" s="224"/>
      <c r="H261" s="87"/>
      <c r="I261" s="87" t="s">
        <v>234</v>
      </c>
      <c r="J261" s="230" t="n">
        <v>0</v>
      </c>
      <c r="K261" s="87"/>
      <c r="L261" s="87"/>
      <c r="M261" s="87"/>
      <c r="N261" s="87"/>
      <c r="O261" s="87"/>
      <c r="P261" s="87"/>
      <c r="Q261" s="87" t="s">
        <v>343</v>
      </c>
      <c r="R261" s="87"/>
      <c r="S261" s="184"/>
    </row>
    <row r="262" customFormat="false" ht="12.75" hidden="false" customHeight="false" outlineLevel="0" collapsed="false">
      <c r="B262" s="0"/>
      <c r="C262" s="225"/>
      <c r="G262" s="224"/>
      <c r="H262" s="87"/>
      <c r="I262" s="87"/>
      <c r="J262" s="214" t="n">
        <f aca="false">SUM(J251:J261)</f>
        <v>0</v>
      </c>
      <c r="K262" s="87"/>
      <c r="L262" s="87"/>
      <c r="M262" s="87"/>
      <c r="N262" s="87"/>
      <c r="O262" s="87"/>
      <c r="P262" s="214" t="n">
        <v>-31732</v>
      </c>
      <c r="Q262" s="87"/>
      <c r="R262" s="87"/>
      <c r="S262" s="184"/>
    </row>
    <row r="263" customFormat="false" ht="12.75" hidden="false" customHeight="false" outlineLevel="0" collapsed="false">
      <c r="B263" s="0"/>
      <c r="C263" s="225"/>
      <c r="G263" s="224"/>
      <c r="H263" s="87" t="s">
        <v>341</v>
      </c>
      <c r="I263" s="87"/>
      <c r="J263" s="214"/>
      <c r="K263" s="87"/>
      <c r="L263" s="87"/>
      <c r="M263" s="87"/>
      <c r="N263" s="87"/>
      <c r="O263" s="87"/>
      <c r="P263" s="214"/>
      <c r="Q263" s="87"/>
      <c r="R263" s="87"/>
      <c r="S263" s="184"/>
    </row>
    <row r="264" customFormat="false" ht="12.75" hidden="false" customHeight="false" outlineLevel="0" collapsed="false">
      <c r="B264" s="0"/>
      <c r="C264" s="225"/>
      <c r="G264" s="224"/>
      <c r="H264" s="87"/>
      <c r="I264" s="87"/>
      <c r="J264" s="214"/>
      <c r="K264" s="87"/>
      <c r="L264" s="87"/>
      <c r="M264" s="87"/>
      <c r="N264" s="87"/>
      <c r="O264" s="87"/>
      <c r="P264" s="214"/>
      <c r="Q264" s="87" t="s">
        <v>44</v>
      </c>
      <c r="R264" s="87"/>
      <c r="S264" s="184"/>
    </row>
    <row r="265" customFormat="false" ht="12.75" hidden="false" customHeight="false" outlineLevel="0" collapsed="false">
      <c r="B265" s="0"/>
      <c r="C265" s="225"/>
      <c r="G265" s="224"/>
      <c r="H265" s="87"/>
      <c r="I265" s="87" t="s">
        <v>356</v>
      </c>
      <c r="J265" s="233" t="n">
        <v>-862</v>
      </c>
      <c r="K265" s="87"/>
      <c r="L265" s="87"/>
      <c r="M265" s="87"/>
      <c r="N265" s="87"/>
      <c r="O265" s="87"/>
      <c r="P265" s="214" t="n">
        <f aca="false">K274</f>
        <v>-4368</v>
      </c>
      <c r="Q265" s="87" t="s">
        <v>349</v>
      </c>
      <c r="R265" s="87"/>
      <c r="S265" s="184"/>
    </row>
    <row r="266" customFormat="false" ht="12.75" hidden="false" customHeight="false" outlineLevel="0" collapsed="false">
      <c r="B266" s="0"/>
      <c r="C266" s="225"/>
      <c r="G266" s="224"/>
      <c r="H266" s="87"/>
      <c r="I266" s="234" t="s">
        <v>356</v>
      </c>
      <c r="J266" s="235" t="n">
        <v>-1</v>
      </c>
      <c r="K266" s="87"/>
      <c r="L266" s="87"/>
      <c r="M266" s="87"/>
      <c r="N266" s="87" t="s">
        <v>348</v>
      </c>
      <c r="O266" s="87"/>
      <c r="P266" s="230" t="n">
        <v>-2500</v>
      </c>
      <c r="Q266" s="87"/>
      <c r="R266" s="87"/>
      <c r="S266" s="184"/>
    </row>
    <row r="267" customFormat="false" ht="12.75" hidden="false" customHeight="false" outlineLevel="0" collapsed="false">
      <c r="B267" s="0"/>
      <c r="C267" s="225"/>
      <c r="G267" s="224"/>
      <c r="H267" s="87"/>
      <c r="I267" s="234" t="s">
        <v>357</v>
      </c>
      <c r="J267" s="235" t="n">
        <v>-1</v>
      </c>
      <c r="K267" s="87"/>
      <c r="L267" s="87"/>
      <c r="M267" s="87"/>
      <c r="N267" s="87"/>
      <c r="O267" s="214"/>
      <c r="P267" s="87"/>
      <c r="Q267" s="87" t="s">
        <v>353</v>
      </c>
      <c r="R267" s="87"/>
      <c r="S267" s="184"/>
    </row>
    <row r="268" customFormat="false" ht="12.75" hidden="false" customHeight="false" outlineLevel="0" collapsed="false">
      <c r="B268" s="0"/>
      <c r="C268" s="0"/>
      <c r="G268" s="224"/>
      <c r="H268" s="87"/>
      <c r="I268" s="160" t="s">
        <v>359</v>
      </c>
      <c r="J268" s="237" t="n">
        <v>-1500</v>
      </c>
      <c r="K268" s="87"/>
      <c r="L268" s="87"/>
      <c r="M268" s="87"/>
      <c r="N268" s="87" t="s">
        <v>352</v>
      </c>
      <c r="O268" s="87"/>
      <c r="P268" s="214" t="n">
        <f aca="false">SUM(P262:P266)</f>
        <v>-38600</v>
      </c>
      <c r="Q268" s="87"/>
      <c r="R268" s="87"/>
      <c r="S268" s="184"/>
    </row>
    <row r="269" customFormat="false" ht="12.75" hidden="false" customHeight="false" outlineLevel="0" collapsed="false">
      <c r="B269" s="0"/>
      <c r="C269" s="0"/>
      <c r="G269" s="224"/>
      <c r="H269" s="87"/>
      <c r="I269" s="234" t="s">
        <v>360</v>
      </c>
      <c r="J269" s="235" t="n">
        <v>-1</v>
      </c>
      <c r="K269" s="87"/>
      <c r="L269" s="87"/>
      <c r="M269" s="214" t="n">
        <v>525707</v>
      </c>
      <c r="N269" s="87"/>
      <c r="O269" s="87"/>
      <c r="P269" s="87"/>
      <c r="Q269" s="87"/>
      <c r="R269" s="87"/>
      <c r="S269" s="184"/>
    </row>
    <row r="270" customFormat="false" ht="12.75" hidden="false" customHeight="false" outlineLevel="0" collapsed="false">
      <c r="B270" s="0"/>
      <c r="C270" s="0"/>
      <c r="G270" s="224"/>
      <c r="H270" s="87"/>
      <c r="I270" s="234" t="s">
        <v>361</v>
      </c>
      <c r="J270" s="235" t="n">
        <v>-1</v>
      </c>
      <c r="K270" s="87"/>
      <c r="L270" s="87"/>
      <c r="M270" s="214"/>
      <c r="N270" s="87"/>
      <c r="O270" s="87"/>
      <c r="P270" s="232" t="n">
        <f aca="false">P268+M274</f>
        <v>-6867</v>
      </c>
      <c r="Q270" s="87"/>
      <c r="R270" s="87"/>
      <c r="S270" s="231" t="n">
        <f aca="false">22000+P270</f>
        <v>15133</v>
      </c>
    </row>
    <row r="271" customFormat="false" ht="12.75" hidden="false" customHeight="false" outlineLevel="0" collapsed="false">
      <c r="B271" s="0"/>
      <c r="C271" s="0"/>
      <c r="G271" s="224"/>
      <c r="H271" s="87"/>
      <c r="I271" s="160" t="s">
        <v>362</v>
      </c>
      <c r="J271" s="237" t="n">
        <v>-1000</v>
      </c>
      <c r="K271" s="87"/>
      <c r="L271" s="87"/>
      <c r="M271" s="214"/>
      <c r="N271" s="87"/>
      <c r="O271" s="87"/>
      <c r="P271" s="87"/>
      <c r="Q271" s="87"/>
      <c r="R271" s="87"/>
      <c r="S271" s="184"/>
    </row>
    <row r="272" customFormat="false" ht="12.75" hidden="false" customHeight="false" outlineLevel="0" collapsed="false">
      <c r="B272" s="0"/>
      <c r="C272" s="0"/>
      <c r="G272" s="224"/>
      <c r="H272" s="87"/>
      <c r="I272" s="234" t="s">
        <v>363</v>
      </c>
      <c r="J272" s="235" t="n">
        <v>-1</v>
      </c>
      <c r="K272" s="87"/>
      <c r="L272" s="87"/>
      <c r="M272" s="214" t="n">
        <v>493974</v>
      </c>
      <c r="N272" s="87"/>
      <c r="O272" s="87"/>
      <c r="P272" s="87"/>
      <c r="Q272" s="87"/>
      <c r="R272" s="87"/>
      <c r="S272" s="184"/>
    </row>
    <row r="273" customFormat="false" ht="12.75" hidden="false" customHeight="false" outlineLevel="0" collapsed="false">
      <c r="B273" s="48"/>
      <c r="C273" s="48"/>
      <c r="G273" s="224"/>
      <c r="H273" s="87"/>
      <c r="I273" s="160" t="s">
        <v>364</v>
      </c>
      <c r="J273" s="237" t="n">
        <v>-1000</v>
      </c>
      <c r="K273" s="87"/>
      <c r="L273" s="87"/>
      <c r="M273" s="214"/>
      <c r="N273" s="87"/>
      <c r="O273" s="87"/>
      <c r="P273" s="87"/>
      <c r="Q273" s="87"/>
      <c r="R273" s="87"/>
      <c r="S273" s="184"/>
    </row>
    <row r="274" customFormat="false" ht="12.75" hidden="false" customHeight="false" outlineLevel="0" collapsed="false">
      <c r="B274" s="0"/>
      <c r="C274" s="0"/>
      <c r="G274" s="224"/>
      <c r="H274" s="87"/>
      <c r="I274" s="234" t="s">
        <v>365</v>
      </c>
      <c r="J274" s="235" t="n">
        <v>-1</v>
      </c>
      <c r="K274" s="232" t="n">
        <f aca="false">SUM(J265:J274)</f>
        <v>-4368</v>
      </c>
      <c r="L274" s="87"/>
      <c r="M274" s="214" t="n">
        <f aca="false">M269-M272</f>
        <v>31733</v>
      </c>
      <c r="N274" s="87"/>
      <c r="O274" s="87"/>
      <c r="P274" s="87"/>
      <c r="Q274" s="87"/>
      <c r="R274" s="87"/>
      <c r="S274" s="184"/>
    </row>
    <row r="275" customFormat="false" ht="12.75" hidden="false" customHeight="false" outlineLevel="0" collapsed="false">
      <c r="B275" s="0"/>
      <c r="C275" s="0"/>
      <c r="G275" s="224"/>
      <c r="H275" s="87"/>
      <c r="I275" s="87" t="s">
        <v>366</v>
      </c>
      <c r="J275" s="230" t="n">
        <f aca="false">-M274-K274</f>
        <v>-27365</v>
      </c>
      <c r="K275" s="232"/>
      <c r="L275" s="87"/>
      <c r="M275" s="87"/>
      <c r="N275" s="87"/>
      <c r="O275" s="87"/>
      <c r="P275" s="87"/>
      <c r="Q275" s="87"/>
      <c r="R275" s="87"/>
      <c r="S275" s="184"/>
    </row>
    <row r="276" customFormat="false" ht="12.75" hidden="false" customHeight="false" outlineLevel="0" collapsed="false">
      <c r="B276" s="0"/>
      <c r="C276" s="0"/>
      <c r="G276" s="224"/>
      <c r="H276" s="87" t="s">
        <v>355</v>
      </c>
      <c r="I276" s="87"/>
      <c r="J276" s="214" t="n">
        <f aca="false">SUM(J262:J275)</f>
        <v>-31733</v>
      </c>
      <c r="K276" s="87"/>
      <c r="L276" s="87"/>
      <c r="M276" s="87"/>
      <c r="N276" s="87"/>
      <c r="O276" s="87"/>
      <c r="P276" s="87"/>
      <c r="Q276" s="87"/>
      <c r="R276" s="87"/>
      <c r="S276" s="184"/>
    </row>
    <row r="277" customFormat="false" ht="12.75" hidden="false" customHeight="false" outlineLevel="0" collapsed="false">
      <c r="B277" s="0"/>
      <c r="C277" s="0"/>
      <c r="G277" s="224"/>
      <c r="H277" s="87"/>
      <c r="I277" s="87"/>
      <c r="J277" s="214"/>
      <c r="K277" s="87"/>
      <c r="L277" s="87"/>
      <c r="M277" s="232" t="n">
        <f aca="false">M274+K274</f>
        <v>27365</v>
      </c>
      <c r="N277" s="87"/>
      <c r="O277" s="239"/>
      <c r="P277" s="239"/>
      <c r="Q277" s="239"/>
      <c r="R277" s="239"/>
      <c r="S277" s="174"/>
    </row>
    <row r="278" customFormat="false" ht="12.75" hidden="false" customHeight="false" outlineLevel="0" collapsed="false">
      <c r="B278" s="0"/>
      <c r="C278" s="0"/>
      <c r="G278" s="238"/>
      <c r="H278" s="87"/>
      <c r="I278" s="87" t="s">
        <v>367</v>
      </c>
      <c r="J278" s="214" t="n">
        <v>3915</v>
      </c>
      <c r="K278" s="87"/>
      <c r="L278" s="87"/>
      <c r="M278" s="232"/>
      <c r="N278" s="87"/>
      <c r="S278" s="174"/>
    </row>
    <row r="279" customFormat="false" ht="12.75" hidden="false" customHeight="false" outlineLevel="0" collapsed="false">
      <c r="B279" s="48"/>
      <c r="C279" s="48"/>
      <c r="H279" s="236" t="s">
        <v>358</v>
      </c>
      <c r="I279" s="87"/>
      <c r="J279" s="214"/>
      <c r="K279" s="87"/>
      <c r="L279" s="87"/>
      <c r="M279" s="232"/>
      <c r="N279" s="239"/>
    </row>
    <row r="280" customFormat="false" ht="13.5" hidden="false" customHeight="false" outlineLevel="0" collapsed="false">
      <c r="B280" s="0"/>
      <c r="C280" s="0"/>
      <c r="H280" s="239"/>
      <c r="I280" s="87"/>
      <c r="J280" s="240" t="n">
        <f aca="false">SUM(J276:J279)</f>
        <v>-27818</v>
      </c>
      <c r="K280" s="87"/>
      <c r="L280" s="87"/>
      <c r="M280" s="239"/>
    </row>
    <row r="281" customFormat="false" ht="13.5" hidden="false" customHeight="false" outlineLevel="0" collapsed="false">
      <c r="B281" s="79"/>
      <c r="C281" s="79"/>
      <c r="I281" s="239"/>
      <c r="J281" s="230"/>
      <c r="K281" s="239"/>
      <c r="L281" s="87"/>
      <c r="M281" s="87"/>
    </row>
    <row r="282" customFormat="false" ht="12.75" hidden="false" customHeight="false" outlineLevel="0" collapsed="false">
      <c r="B282" s="0"/>
      <c r="C282" s="0"/>
      <c r="J282" s="214"/>
      <c r="L282" s="239"/>
      <c r="M282" s="87"/>
    </row>
    <row r="283" customFormat="false" ht="12.75" hidden="false" customHeight="false" outlineLevel="0" collapsed="false">
      <c r="B283" s="0"/>
      <c r="C283" s="0"/>
      <c r="J283" s="214"/>
      <c r="L283" s="87"/>
      <c r="M283" s="87"/>
    </row>
    <row r="284" customFormat="false" ht="12.75" hidden="false" customHeight="false" outlineLevel="0" collapsed="false">
      <c r="B284" s="0"/>
      <c r="C284" s="0"/>
      <c r="J284" s="214" t="n">
        <f aca="false">551878-11621</f>
        <v>540257</v>
      </c>
      <c r="L284" s="87"/>
      <c r="M284" s="87"/>
    </row>
    <row r="285" customFormat="false" ht="12.75" hidden="false" customHeight="false" outlineLevel="0" collapsed="false">
      <c r="B285" s="0"/>
      <c r="C285" s="0"/>
      <c r="J285" s="214"/>
      <c r="L285" s="87"/>
    </row>
    <row r="286" customFormat="false" ht="12.75" hidden="false" customHeight="false" outlineLevel="0" collapsed="false">
      <c r="B286" s="0"/>
      <c r="C286" s="0"/>
      <c r="J286" s="214"/>
      <c r="L286" s="87"/>
    </row>
    <row r="287" customFormat="false" ht="12.75" hidden="false" customHeight="false" outlineLevel="0" collapsed="false">
      <c r="B287" s="0"/>
      <c r="C287" s="0"/>
      <c r="J287" s="214"/>
      <c r="L287" s="87"/>
    </row>
    <row r="288" customFormat="false" ht="12.75" hidden="false" customHeight="false" outlineLevel="0" collapsed="false">
      <c r="B288" s="0"/>
      <c r="C288" s="0"/>
      <c r="J288" s="214"/>
    </row>
    <row r="289" customFormat="false" ht="12.75" hidden="false" customHeight="false" outlineLevel="0" collapsed="false">
      <c r="B289" s="0"/>
      <c r="C289" s="0"/>
      <c r="J289" s="214"/>
    </row>
    <row r="290" customFormat="false" ht="12.75" hidden="false" customHeight="false" outlineLevel="0" collapsed="false">
      <c r="B290" s="0"/>
      <c r="C290" s="0"/>
      <c r="J290" s="214"/>
    </row>
    <row r="291" customFormat="false" ht="12.75" hidden="false" customHeight="false" outlineLevel="0" collapsed="false">
      <c r="B291" s="0"/>
      <c r="C291" s="0"/>
      <c r="J291" s="214"/>
    </row>
    <row r="292" customFormat="false" ht="12.75" hidden="false" customHeight="false" outlineLevel="0" collapsed="false">
      <c r="B292" s="0"/>
      <c r="C292" s="0"/>
      <c r="J292" s="214"/>
    </row>
    <row r="293" customFormat="false" ht="12.75" hidden="false" customHeight="false" outlineLevel="0" collapsed="false">
      <c r="B293" s="0"/>
      <c r="C293" s="0"/>
      <c r="J293" s="214"/>
    </row>
    <row r="294" customFormat="false" ht="12.75" hidden="false" customHeight="false" outlineLevel="0" collapsed="false">
      <c r="B294" s="0"/>
      <c r="C294" s="0"/>
      <c r="J294" s="214"/>
    </row>
    <row r="295" customFormat="false" ht="12.75" hidden="false" customHeight="false" outlineLevel="0" collapsed="false">
      <c r="B295" s="0"/>
      <c r="C295" s="0"/>
      <c r="J295" s="214"/>
    </row>
    <row r="296" customFormat="false" ht="12.75" hidden="false" customHeight="false" outlineLevel="0" collapsed="false">
      <c r="B296" s="0"/>
      <c r="C296" s="0"/>
      <c r="J296" s="214"/>
    </row>
    <row r="297" customFormat="false" ht="12.75" hidden="false" customHeight="false" outlineLevel="0" collapsed="false">
      <c r="B297" s="0"/>
      <c r="C297" s="0"/>
      <c r="J297" s="214"/>
    </row>
    <row r="298" customFormat="false" ht="12.75" hidden="false" customHeight="false" outlineLevel="0" collapsed="false">
      <c r="B298" s="0"/>
      <c r="C298" s="0"/>
      <c r="J298" s="214"/>
    </row>
    <row r="299" customFormat="false" ht="12.75" hidden="false" customHeight="false" outlineLevel="0" collapsed="false">
      <c r="B299" s="241"/>
      <c r="C299" s="241"/>
      <c r="J299" s="214"/>
    </row>
    <row r="300" customFormat="false" ht="12.75" hidden="false" customHeight="false" outlineLevel="0" collapsed="false">
      <c r="B300" s="241"/>
      <c r="C300" s="241"/>
      <c r="J300" s="214"/>
    </row>
    <row r="301" customFormat="false" ht="12.75" hidden="false" customHeight="false" outlineLevel="0" collapsed="false">
      <c r="B301" s="0"/>
      <c r="C301" s="0"/>
      <c r="J301" s="214"/>
    </row>
    <row r="302" customFormat="false" ht="12.75" hidden="false" customHeight="false" outlineLevel="0" collapsed="false">
      <c r="B302" s="0"/>
      <c r="C302" s="0"/>
      <c r="J302" s="214"/>
    </row>
    <row r="303" customFormat="false" ht="12" hidden="false" customHeight="false" outlineLevel="0" collapsed="false">
      <c r="J303" s="214"/>
    </row>
    <row r="304" customFormat="false" ht="12" hidden="false" customHeight="false" outlineLevel="0" collapsed="false">
      <c r="J304" s="214"/>
    </row>
    <row r="305" customFormat="false" ht="12" hidden="false" customHeight="false" outlineLevel="0" collapsed="false">
      <c r="J305" s="214"/>
    </row>
    <row r="306" customFormat="false" ht="12" hidden="false" customHeight="false" outlineLevel="0" collapsed="false">
      <c r="J306" s="214"/>
    </row>
    <row r="307" customFormat="false" ht="12" hidden="false" customHeight="false" outlineLevel="0" collapsed="false">
      <c r="J307" s="214"/>
    </row>
    <row r="308" customFormat="false" ht="12" hidden="false" customHeight="false" outlineLevel="0" collapsed="false">
      <c r="J308" s="214"/>
    </row>
    <row r="309" customFormat="false" ht="12" hidden="false" customHeight="false" outlineLevel="0" collapsed="false">
      <c r="J309" s="214"/>
    </row>
    <row r="310" customFormat="false" ht="12" hidden="false" customHeight="false" outlineLevel="0" collapsed="false">
      <c r="J310" s="214"/>
    </row>
    <row r="311" customFormat="false" ht="12" hidden="false" customHeight="false" outlineLevel="0" collapsed="false">
      <c r="J311" s="214"/>
    </row>
    <row r="312" customFormat="false" ht="12" hidden="false" customHeight="false" outlineLevel="0" collapsed="false">
      <c r="J312" s="214"/>
    </row>
    <row r="313" customFormat="false" ht="12" hidden="false" customHeight="false" outlineLevel="0" collapsed="false">
      <c r="J313" s="214"/>
    </row>
    <row r="314" customFormat="false" ht="12" hidden="false" customHeight="false" outlineLevel="0" collapsed="false">
      <c r="J314" s="214"/>
    </row>
    <row r="315" customFormat="false" ht="12" hidden="false" customHeight="false" outlineLevel="0" collapsed="false">
      <c r="J315" s="214"/>
    </row>
    <row r="316" customFormat="false" ht="12" hidden="false" customHeight="false" outlineLevel="0" collapsed="false">
      <c r="J316" s="214"/>
    </row>
    <row r="317" customFormat="false" ht="12" hidden="false" customHeight="false" outlineLevel="0" collapsed="false">
      <c r="J317" s="214"/>
    </row>
    <row r="318" customFormat="false" ht="12" hidden="false" customHeight="false" outlineLevel="0" collapsed="false">
      <c r="J318" s="214"/>
    </row>
    <row r="319" customFormat="false" ht="12" hidden="false" customHeight="false" outlineLevel="0" collapsed="false">
      <c r="J319" s="214"/>
    </row>
    <row r="320" customFormat="false" ht="12" hidden="false" customHeight="false" outlineLevel="0" collapsed="false">
      <c r="J320" s="214"/>
    </row>
    <row r="321" customFormat="false" ht="12" hidden="false" customHeight="false" outlineLevel="0" collapsed="false">
      <c r="J321" s="214"/>
    </row>
    <row r="322" customFormat="false" ht="12" hidden="false" customHeight="false" outlineLevel="0" collapsed="false">
      <c r="J322" s="214"/>
    </row>
    <row r="323" customFormat="false" ht="12" hidden="false" customHeight="false" outlineLevel="0" collapsed="false">
      <c r="J323" s="214"/>
    </row>
    <row r="324" customFormat="false" ht="12" hidden="false" customHeight="false" outlineLevel="0" collapsed="false">
      <c r="J324" s="214"/>
    </row>
    <row r="325" customFormat="false" ht="12" hidden="false" customHeight="false" outlineLevel="0" collapsed="false">
      <c r="J325" s="214"/>
    </row>
    <row r="326" customFormat="false" ht="12" hidden="false" customHeight="false" outlineLevel="0" collapsed="false">
      <c r="J326" s="214"/>
    </row>
    <row r="327" customFormat="false" ht="12" hidden="false" customHeight="false" outlineLevel="0" collapsed="false">
      <c r="J327" s="214"/>
    </row>
    <row r="328" customFormat="false" ht="12" hidden="false" customHeight="false" outlineLevel="0" collapsed="false">
      <c r="J328" s="214"/>
    </row>
    <row r="329" customFormat="false" ht="12" hidden="false" customHeight="false" outlineLevel="0" collapsed="false">
      <c r="J329" s="214"/>
    </row>
    <row r="330" customFormat="false" ht="12" hidden="false" customHeight="false" outlineLevel="0" collapsed="false">
      <c r="J330" s="214"/>
    </row>
    <row r="331" customFormat="false" ht="12" hidden="false" customHeight="false" outlineLevel="0" collapsed="false">
      <c r="J331" s="214"/>
    </row>
    <row r="332" customFormat="false" ht="12" hidden="false" customHeight="false" outlineLevel="0" collapsed="false">
      <c r="J332" s="214"/>
    </row>
    <row r="333" customFormat="false" ht="12" hidden="false" customHeight="false" outlineLevel="0" collapsed="false">
      <c r="J333" s="214"/>
    </row>
    <row r="334" customFormat="false" ht="12" hidden="false" customHeight="false" outlineLevel="0" collapsed="false">
      <c r="J334" s="214"/>
    </row>
    <row r="335" customFormat="false" ht="12" hidden="false" customHeight="false" outlineLevel="0" collapsed="false">
      <c r="J335" s="214"/>
    </row>
    <row r="336" customFormat="false" ht="12" hidden="false" customHeight="false" outlineLevel="0" collapsed="false">
      <c r="J336" s="214"/>
    </row>
    <row r="337" customFormat="false" ht="12" hidden="false" customHeight="false" outlineLevel="0" collapsed="false">
      <c r="J337" s="214"/>
    </row>
    <row r="338" customFormat="false" ht="12" hidden="false" customHeight="false" outlineLevel="0" collapsed="false">
      <c r="J338" s="214"/>
    </row>
    <row r="339" customFormat="false" ht="12" hidden="false" customHeight="false" outlineLevel="0" collapsed="false">
      <c r="J339" s="214"/>
    </row>
    <row r="340" customFormat="false" ht="12" hidden="false" customHeight="false" outlineLevel="0" collapsed="false">
      <c r="J340" s="214"/>
    </row>
    <row r="341" customFormat="false" ht="12" hidden="false" customHeight="false" outlineLevel="0" collapsed="false">
      <c r="J341" s="214"/>
    </row>
    <row r="342" customFormat="false" ht="12" hidden="false" customHeight="false" outlineLevel="0" collapsed="false">
      <c r="J342" s="214"/>
    </row>
    <row r="343" customFormat="false" ht="12" hidden="false" customHeight="false" outlineLevel="0" collapsed="false">
      <c r="J343" s="214"/>
    </row>
    <row r="344" customFormat="false" ht="12" hidden="false" customHeight="false" outlineLevel="0" collapsed="false">
      <c r="J344" s="214"/>
    </row>
    <row r="345" customFormat="false" ht="12" hidden="false" customHeight="false" outlineLevel="0" collapsed="false">
      <c r="J345" s="214"/>
    </row>
    <row r="346" customFormat="false" ht="12" hidden="false" customHeight="false" outlineLevel="0" collapsed="false">
      <c r="J346" s="214"/>
    </row>
    <row r="347" customFormat="false" ht="12" hidden="false" customHeight="false" outlineLevel="0" collapsed="false">
      <c r="J347" s="214"/>
    </row>
    <row r="348" customFormat="false" ht="12" hidden="false" customHeight="false" outlineLevel="0" collapsed="false">
      <c r="J348" s="214"/>
    </row>
    <row r="349" customFormat="false" ht="12" hidden="false" customHeight="false" outlineLevel="0" collapsed="false">
      <c r="J349" s="214"/>
    </row>
    <row r="350" customFormat="false" ht="12" hidden="false" customHeight="false" outlineLevel="0" collapsed="false">
      <c r="J350" s="214"/>
    </row>
    <row r="351" customFormat="false" ht="12" hidden="false" customHeight="false" outlineLevel="0" collapsed="false">
      <c r="J351" s="214"/>
    </row>
    <row r="352" customFormat="false" ht="12" hidden="false" customHeight="false" outlineLevel="0" collapsed="false">
      <c r="J352" s="214"/>
    </row>
    <row r="353" customFormat="false" ht="12" hidden="false" customHeight="false" outlineLevel="0" collapsed="false">
      <c r="J353" s="214"/>
    </row>
    <row r="354" customFormat="false" ht="12" hidden="false" customHeight="false" outlineLevel="0" collapsed="false">
      <c r="J354" s="214"/>
    </row>
    <row r="355" customFormat="false" ht="12" hidden="false" customHeight="false" outlineLevel="0" collapsed="false">
      <c r="J355" s="214"/>
    </row>
    <row r="356" customFormat="false" ht="12" hidden="false" customHeight="false" outlineLevel="0" collapsed="false">
      <c r="J356" s="214"/>
    </row>
    <row r="357" customFormat="false" ht="12" hidden="false" customHeight="false" outlineLevel="0" collapsed="false">
      <c r="J357" s="214"/>
    </row>
    <row r="358" customFormat="false" ht="12" hidden="false" customHeight="false" outlineLevel="0" collapsed="false">
      <c r="J358" s="214"/>
    </row>
    <row r="359" customFormat="false" ht="12" hidden="false" customHeight="false" outlineLevel="0" collapsed="false">
      <c r="J359" s="214"/>
    </row>
    <row r="360" customFormat="false" ht="12" hidden="false" customHeight="false" outlineLevel="0" collapsed="false">
      <c r="J360" s="214"/>
    </row>
    <row r="361" customFormat="false" ht="12" hidden="false" customHeight="false" outlineLevel="0" collapsed="false">
      <c r="J361" s="214"/>
    </row>
    <row r="362" customFormat="false" ht="12" hidden="false" customHeight="false" outlineLevel="0" collapsed="false">
      <c r="J362" s="214"/>
    </row>
    <row r="363" customFormat="false" ht="12" hidden="false" customHeight="false" outlineLevel="0" collapsed="false">
      <c r="J363" s="214"/>
    </row>
    <row r="364" customFormat="false" ht="12" hidden="false" customHeight="false" outlineLevel="0" collapsed="false">
      <c r="J364" s="214"/>
    </row>
    <row r="365" customFormat="false" ht="12" hidden="false" customHeight="false" outlineLevel="0" collapsed="false">
      <c r="J365" s="214"/>
    </row>
    <row r="366" customFormat="false" ht="12" hidden="false" customHeight="false" outlineLevel="0" collapsed="false">
      <c r="J366" s="214"/>
    </row>
    <row r="367" customFormat="false" ht="12" hidden="false" customHeight="false" outlineLevel="0" collapsed="false">
      <c r="J367" s="214"/>
    </row>
    <row r="368" customFormat="false" ht="12" hidden="false" customHeight="false" outlineLevel="0" collapsed="false">
      <c r="J368" s="214"/>
    </row>
    <row r="369" customFormat="false" ht="12" hidden="false" customHeight="false" outlineLevel="0" collapsed="false">
      <c r="J369" s="214"/>
    </row>
    <row r="370" customFormat="false" ht="12" hidden="false" customHeight="false" outlineLevel="0" collapsed="false">
      <c r="J370" s="214"/>
    </row>
    <row r="371" customFormat="false" ht="12" hidden="false" customHeight="false" outlineLevel="0" collapsed="false">
      <c r="J371" s="214"/>
    </row>
    <row r="372" customFormat="false" ht="12" hidden="false" customHeight="false" outlineLevel="0" collapsed="false">
      <c r="J372" s="214"/>
    </row>
    <row r="373" customFormat="false" ht="12" hidden="false" customHeight="false" outlineLevel="0" collapsed="false">
      <c r="J373" s="214"/>
    </row>
    <row r="374" customFormat="false" ht="12" hidden="false" customHeight="false" outlineLevel="0" collapsed="false">
      <c r="J374" s="214"/>
    </row>
    <row r="375" customFormat="false" ht="12" hidden="false" customHeight="false" outlineLevel="0" collapsed="false">
      <c r="J375" s="214"/>
    </row>
    <row r="376" customFormat="false" ht="12" hidden="false" customHeight="false" outlineLevel="0" collapsed="false">
      <c r="J376" s="214"/>
    </row>
    <row r="377" customFormat="false" ht="12" hidden="false" customHeight="false" outlineLevel="0" collapsed="false">
      <c r="J377" s="214"/>
    </row>
    <row r="378" customFormat="false" ht="12" hidden="false" customHeight="false" outlineLevel="0" collapsed="false">
      <c r="J378" s="214"/>
    </row>
    <row r="379" customFormat="false" ht="12" hidden="false" customHeight="false" outlineLevel="0" collapsed="false">
      <c r="J379" s="214"/>
    </row>
    <row r="380" customFormat="false" ht="12" hidden="false" customHeight="false" outlineLevel="0" collapsed="false">
      <c r="J380" s="214"/>
    </row>
    <row r="381" customFormat="false" ht="12" hidden="false" customHeight="false" outlineLevel="0" collapsed="false">
      <c r="J381" s="214"/>
    </row>
    <row r="382" customFormat="false" ht="12" hidden="false" customHeight="false" outlineLevel="0" collapsed="false">
      <c r="J382" s="214"/>
    </row>
    <row r="383" customFormat="false" ht="12" hidden="false" customHeight="false" outlineLevel="0" collapsed="false">
      <c r="J383" s="214"/>
    </row>
    <row r="384" customFormat="false" ht="12" hidden="false" customHeight="false" outlineLevel="0" collapsed="false">
      <c r="J384" s="214"/>
    </row>
  </sheetData>
  <mergeCells count="18">
    <mergeCell ref="A1:H1"/>
    <mergeCell ref="K6:L6"/>
    <mergeCell ref="A31:D31"/>
    <mergeCell ref="E31:H31"/>
    <mergeCell ref="I31:J31"/>
    <mergeCell ref="E32:F32"/>
    <mergeCell ref="G32:H32"/>
    <mergeCell ref="I36:J36"/>
    <mergeCell ref="A37:D37"/>
    <mergeCell ref="I43:J43"/>
    <mergeCell ref="A46:D46"/>
    <mergeCell ref="G46:L46"/>
    <mergeCell ref="A47:B47"/>
    <mergeCell ref="C47:D47"/>
    <mergeCell ref="E47:F47"/>
    <mergeCell ref="I47:J47"/>
    <mergeCell ref="K47:L47"/>
    <mergeCell ref="A129:C129"/>
  </mergeCells>
  <printOptions headings="false" gridLines="false" gridLinesSet="true" horizontalCentered="true" verticalCentered="true"/>
  <pageMargins left="0.25" right="0.25" top="0.75" bottom="0.25" header="0.511811023622047" footer="0.2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&amp;L&amp;8Tx Desk Logistics - Daren Farmer&amp;R&amp;8&amp;D
&amp;T</oddFooter>
  </headerFooter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396"/>
  <sheetViews>
    <sheetView showFormulas="false" showGridLines="false" showRowColHeaders="true" showZeros="true" rightToLeft="false" tabSelected="true" showOutlineSymbols="true" defaultGridColor="true" view="normal" topLeftCell="A105" colorId="64" zoomScale="80" zoomScaleNormal="80" zoomScalePageLayoutView="100" workbookViewId="0">
      <selection pane="topLeft" activeCell="A136" activeCellId="0" sqref="A136"/>
    </sheetView>
  </sheetViews>
  <sheetFormatPr defaultColWidth="9.13671875" defaultRowHeight="12" customHeight="true" zeroHeight="false" outlineLevelRow="0" outlineLevelCol="0"/>
  <cols>
    <col collapsed="false" customWidth="true" hidden="false" outlineLevel="0" max="2" min="1" style="1" width="12.14"/>
    <col collapsed="false" customWidth="true" hidden="false" outlineLevel="0" max="3" min="3" style="1" width="11.28"/>
    <col collapsed="false" customWidth="true" hidden="false" outlineLevel="0" max="4" min="4" style="1" width="11.85"/>
    <col collapsed="false" customWidth="true" hidden="false" outlineLevel="0" max="5" min="5" style="1" width="11.56"/>
    <col collapsed="false" customWidth="true" hidden="false" outlineLevel="0" max="6" min="6" style="1" width="11.7"/>
    <col collapsed="false" customWidth="true" hidden="false" outlineLevel="0" max="7" min="7" style="1" width="11.85"/>
    <col collapsed="false" customWidth="true" hidden="false" outlineLevel="0" max="8" min="8" style="1" width="11.7"/>
    <col collapsed="false" customWidth="true" hidden="false" outlineLevel="0" max="9" min="9" style="1" width="11.85"/>
    <col collapsed="false" customWidth="true" hidden="false" outlineLevel="0" max="10" min="10" style="1" width="8.85"/>
    <col collapsed="false" customWidth="true" hidden="false" outlineLevel="0" max="11" min="11" style="1" width="11.85"/>
    <col collapsed="false" customWidth="false" hidden="false" outlineLevel="0" max="12" min="12" style="1" width="9.14"/>
    <col collapsed="false" customWidth="true" hidden="false" outlineLevel="0" max="13" min="13" style="1" width="10.99"/>
    <col collapsed="false" customWidth="false" hidden="false" outlineLevel="0" max="14" min="14" style="1" width="9.14"/>
    <col collapsed="false" customWidth="true" hidden="false" outlineLevel="0" max="15" min="15" style="1" width="5.56"/>
    <col collapsed="false" customWidth="false" hidden="false" outlineLevel="0" max="257" min="16" style="1" width="9.14"/>
  </cols>
  <sheetData>
    <row r="1" customFormat="false" ht="16.5" hidden="false" customHeight="fals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  <c r="IP1" s="3"/>
      <c r="IQ1" s="3"/>
      <c r="IR1" s="3"/>
      <c r="IS1" s="3"/>
      <c r="IT1" s="3"/>
      <c r="IU1" s="3"/>
      <c r="IV1" s="3"/>
      <c r="IW1" s="3"/>
    </row>
    <row r="2" customFormat="false" ht="12.75" hidden="false" customHeight="false" outlineLevel="0" collapsed="false">
      <c r="A2" s="4"/>
      <c r="B2" s="5"/>
      <c r="C2" s="5"/>
      <c r="D2" s="6"/>
      <c r="E2" s="6"/>
      <c r="F2" s="6"/>
      <c r="G2" s="5"/>
      <c r="H2" s="7"/>
    </row>
    <row r="3" customFormat="false" ht="13.5" hidden="false" customHeight="false" outlineLevel="0" collapsed="false">
      <c r="A3" s="8"/>
      <c r="B3" s="9"/>
      <c r="C3" s="10"/>
      <c r="D3" s="6"/>
      <c r="E3" s="10"/>
      <c r="F3" s="10"/>
      <c r="G3" s="10"/>
      <c r="H3" s="7"/>
    </row>
    <row r="4" customFormat="false" ht="12.75" hidden="false" customHeight="false" outlineLevel="0" collapsed="false">
      <c r="A4" s="11"/>
      <c r="B4" s="5"/>
      <c r="C4" s="5"/>
      <c r="D4" s="12" t="s">
        <v>512</v>
      </c>
      <c r="E4" s="13"/>
      <c r="F4" s="13"/>
      <c r="G4" s="14"/>
      <c r="H4" s="15"/>
      <c r="L4" s="0"/>
    </row>
    <row r="5" customFormat="false" ht="13.5" hidden="false" customHeight="false" outlineLevel="0" collapsed="false">
      <c r="A5" s="16"/>
      <c r="B5" s="6"/>
      <c r="C5" s="6"/>
      <c r="D5" s="17" t="s">
        <v>2</v>
      </c>
      <c r="E5" s="18" t="s">
        <v>479</v>
      </c>
      <c r="F5" s="18" t="str">
        <f aca="false">D4</f>
        <v>June</v>
      </c>
      <c r="G5" s="19" t="str">
        <f aca="false">+F5</f>
        <v>June</v>
      </c>
      <c r="H5" s="20" t="str">
        <f aca="false">+F5</f>
        <v>June</v>
      </c>
      <c r="L5" s="0"/>
    </row>
    <row r="6" customFormat="false" ht="13.5" hidden="false" customHeight="false" outlineLevel="0" collapsed="false">
      <c r="A6" s="16"/>
      <c r="B6" s="6"/>
      <c r="C6" s="6"/>
      <c r="D6" s="21" t="s">
        <v>4</v>
      </c>
      <c r="E6" s="22" t="s">
        <v>2</v>
      </c>
      <c r="F6" s="22" t="n">
        <v>99</v>
      </c>
      <c r="G6" s="23" t="s">
        <v>5</v>
      </c>
      <c r="H6" s="24" t="s">
        <v>6</v>
      </c>
      <c r="I6" s="25"/>
      <c r="K6" s="26" t="s">
        <v>7</v>
      </c>
      <c r="L6" s="26"/>
    </row>
    <row r="7" customFormat="false" ht="12.75" hidden="false" customHeight="false" outlineLevel="0" collapsed="false">
      <c r="A7" s="27" t="s">
        <v>8</v>
      </c>
      <c r="B7" s="6"/>
      <c r="D7" s="28" t="n">
        <f aca="false">C226+C246</f>
        <v>429.912</v>
      </c>
      <c r="E7" s="29" t="n">
        <f aca="false">(18555.692*0.75)/21-E11-E12</f>
        <v>462.360523809524</v>
      </c>
      <c r="F7" s="28" t="n">
        <v>560.5</v>
      </c>
      <c r="G7" s="30" t="n">
        <f aca="false">D7*1.1</f>
        <v>472.9032</v>
      </c>
      <c r="H7" s="31" t="n">
        <f aca="false">D7*0.9</f>
        <v>386.9208</v>
      </c>
      <c r="I7" s="32"/>
      <c r="K7" s="33" t="s">
        <v>9</v>
      </c>
      <c r="L7" s="34" t="n">
        <f aca="false">C149</f>
        <v>13</v>
      </c>
      <c r="N7" s="0"/>
      <c r="O7" s="0"/>
    </row>
    <row r="8" customFormat="false" ht="12.75" hidden="false" customHeight="false" outlineLevel="0" collapsed="false">
      <c r="A8" s="27" t="s">
        <v>480</v>
      </c>
      <c r="B8" s="6"/>
      <c r="C8" s="35"/>
      <c r="D8" s="366" t="n">
        <f aca="false">73+85</f>
        <v>158</v>
      </c>
      <c r="E8" s="29" t="n">
        <f aca="false">(1484.225/21)+(1954.867/21)</f>
        <v>163.766285714286</v>
      </c>
      <c r="F8" s="37" t="n">
        <v>125.2</v>
      </c>
      <c r="G8" s="38" t="n">
        <f aca="false">73+105</f>
        <v>178</v>
      </c>
      <c r="H8" s="31" t="n">
        <f aca="false">65.7+60</f>
        <v>125.7</v>
      </c>
      <c r="I8" s="25"/>
      <c r="K8" s="39" t="s">
        <v>11</v>
      </c>
      <c r="L8" s="40" t="n">
        <f aca="false">C150+C230</f>
        <v>0</v>
      </c>
      <c r="N8" s="0"/>
      <c r="O8" s="0"/>
    </row>
    <row r="9" customFormat="false" ht="12.75" hidden="false" customHeight="false" outlineLevel="0" collapsed="false">
      <c r="A9" s="27" t="s">
        <v>12</v>
      </c>
      <c r="B9" s="6"/>
      <c r="C9" s="6"/>
      <c r="D9" s="366" t="n">
        <f aca="false">25+10</f>
        <v>35</v>
      </c>
      <c r="E9" s="29" t="n">
        <f aca="false">31.475+10</f>
        <v>41.475</v>
      </c>
      <c r="F9" s="37" t="n">
        <v>30.1</v>
      </c>
      <c r="G9" s="38" t="n">
        <v>60</v>
      </c>
      <c r="H9" s="31" t="n">
        <v>20</v>
      </c>
      <c r="I9" s="25"/>
      <c r="K9" s="39" t="s">
        <v>13</v>
      </c>
      <c r="L9" s="41" t="n">
        <f aca="false">C155+C232</f>
        <v>20</v>
      </c>
      <c r="N9" s="0"/>
      <c r="O9" s="0"/>
    </row>
    <row r="10" customFormat="false" ht="12.75" hidden="false" customHeight="false" outlineLevel="0" collapsed="false">
      <c r="A10" s="27" t="s">
        <v>14</v>
      </c>
      <c r="B10" s="6"/>
      <c r="C10" s="6"/>
      <c r="D10" s="366" t="n">
        <f aca="false">31+10</f>
        <v>41</v>
      </c>
      <c r="E10" s="29" t="n">
        <f aca="false">(88.576/21)+(505.701/21)+(70.139/21)+10</f>
        <v>41.6388571428571</v>
      </c>
      <c r="F10" s="37" t="n">
        <v>99.9</v>
      </c>
      <c r="G10" s="38" t="n">
        <v>0</v>
      </c>
      <c r="H10" s="31" t="n">
        <v>0</v>
      </c>
      <c r="I10" s="42"/>
      <c r="K10" s="39" t="s">
        <v>15</v>
      </c>
      <c r="L10" s="40" t="n">
        <f aca="false">C157+C233</f>
        <v>5</v>
      </c>
      <c r="N10" s="0"/>
      <c r="O10" s="0"/>
    </row>
    <row r="11" customFormat="false" ht="12.75" hidden="false" customHeight="false" outlineLevel="0" collapsed="false">
      <c r="A11" s="27" t="s">
        <v>16</v>
      </c>
      <c r="B11" s="6"/>
      <c r="C11" s="6"/>
      <c r="D11" s="366" t="n">
        <f aca="false">100+5+0.4</f>
        <v>105.4</v>
      </c>
      <c r="E11" s="29" t="n">
        <f aca="false">+(2136.132+109.248+0.4)/21</f>
        <v>106.941904761905</v>
      </c>
      <c r="F11" s="37" t="n">
        <v>89.7</v>
      </c>
      <c r="G11" s="38" t="n">
        <v>145</v>
      </c>
      <c r="H11" s="31" t="n">
        <v>90</v>
      </c>
      <c r="I11" s="25"/>
      <c r="K11" s="39" t="s">
        <v>17</v>
      </c>
      <c r="L11" s="40" t="n">
        <f aca="false">C165+C234</f>
        <v>0.6</v>
      </c>
      <c r="N11" s="0"/>
      <c r="O11" s="0"/>
    </row>
    <row r="12" customFormat="false" ht="12.75" hidden="false" customHeight="false" outlineLevel="0" collapsed="false">
      <c r="A12" s="27" t="s">
        <v>18</v>
      </c>
      <c r="B12" s="6"/>
      <c r="C12" s="6"/>
      <c r="D12" s="366" t="n">
        <v>95</v>
      </c>
      <c r="E12" s="29" t="n">
        <f aca="false">+(1050+15.085+0.943+840+73.945)/21-(18.555/21)</f>
        <v>93.4008571428571</v>
      </c>
      <c r="F12" s="37" t="n">
        <v>134.6</v>
      </c>
      <c r="G12" s="38" t="n">
        <f aca="false">90*1.05</f>
        <v>94.5</v>
      </c>
      <c r="H12" s="31" t="n">
        <f aca="false">90*0.95</f>
        <v>85.5</v>
      </c>
      <c r="I12" s="25"/>
      <c r="K12" s="39" t="s">
        <v>19</v>
      </c>
      <c r="L12" s="40" t="n">
        <f aca="false">C177+C237</f>
        <v>2.5</v>
      </c>
      <c r="N12" s="0"/>
      <c r="O12" s="0"/>
    </row>
    <row r="13" customFormat="false" ht="12.75" hidden="false" customHeight="false" outlineLevel="0" collapsed="false">
      <c r="A13" s="27" t="s">
        <v>20</v>
      </c>
      <c r="B13" s="87" t="s">
        <v>513</v>
      </c>
      <c r="C13" s="6"/>
      <c r="D13" s="37" t="n">
        <f aca="false">65+40</f>
        <v>105</v>
      </c>
      <c r="E13" s="29" t="n">
        <v>105.754</v>
      </c>
      <c r="F13" s="37" t="n">
        <f aca="false">3680.677/30</f>
        <v>122.689233333333</v>
      </c>
      <c r="G13" s="38" t="n">
        <v>180</v>
      </c>
      <c r="H13" s="31" t="n">
        <v>0</v>
      </c>
      <c r="I13" s="25"/>
      <c r="J13" s="0"/>
      <c r="K13" s="39" t="s">
        <v>21</v>
      </c>
      <c r="L13" s="40" t="n">
        <f aca="false">C176+C236</f>
        <v>0.18</v>
      </c>
      <c r="N13" s="0"/>
      <c r="O13" s="0"/>
    </row>
    <row r="14" customFormat="false" ht="12.75" hidden="false" customHeight="false" outlineLevel="0" collapsed="false">
      <c r="A14" s="27" t="s">
        <v>22</v>
      </c>
      <c r="B14" s="6"/>
      <c r="C14" s="6"/>
      <c r="D14" s="37" t="n">
        <f aca="false">B103</f>
        <v>5.617</v>
      </c>
      <c r="E14" s="29" t="n">
        <f aca="false">May!D14</f>
        <v>10.017</v>
      </c>
      <c r="F14" s="37" t="n">
        <v>4.5</v>
      </c>
      <c r="G14" s="38" t="n">
        <f aca="false">D14*1.05</f>
        <v>5.89785</v>
      </c>
      <c r="H14" s="31" t="n">
        <f aca="false">D14*0.95</f>
        <v>5.33615</v>
      </c>
      <c r="I14" s="25"/>
      <c r="K14" s="39" t="s">
        <v>23</v>
      </c>
      <c r="L14" s="40" t="n">
        <f aca="false">C180+C238</f>
        <v>10.9</v>
      </c>
      <c r="N14" s="0"/>
      <c r="O14" s="0"/>
    </row>
    <row r="15" customFormat="false" ht="12.75" hidden="false" customHeight="false" outlineLevel="0" collapsed="false">
      <c r="A15" s="27" t="s">
        <v>370</v>
      </c>
      <c r="B15" s="6"/>
      <c r="C15" s="338" t="s">
        <v>514</v>
      </c>
      <c r="D15" s="37" t="n">
        <f aca="false">SUM(D16:D18)</f>
        <v>170.393</v>
      </c>
      <c r="E15" s="29" t="n">
        <f aca="false">SUM(E16:E18)</f>
        <v>175.62</v>
      </c>
      <c r="F15" s="37" t="n">
        <f aca="false">SUM(F16:F18)</f>
        <v>122</v>
      </c>
      <c r="G15" s="38" t="n">
        <v>1174</v>
      </c>
      <c r="H15" s="31" t="n">
        <v>0</v>
      </c>
      <c r="I15" s="25"/>
      <c r="K15" s="39" t="s">
        <v>25</v>
      </c>
      <c r="L15" s="40" t="n">
        <f aca="false">C192+C240</f>
        <v>10</v>
      </c>
      <c r="N15" s="0"/>
      <c r="O15" s="0"/>
    </row>
    <row r="16" customFormat="false" ht="12.75" hidden="false" customHeight="false" outlineLevel="0" collapsed="false">
      <c r="A16" s="27" t="s">
        <v>371</v>
      </c>
      <c r="B16" s="43"/>
      <c r="C16" s="6" t="n">
        <v>56.7</v>
      </c>
      <c r="D16" s="44" t="n">
        <v>108.252</v>
      </c>
      <c r="E16" s="29" t="n">
        <v>112.404</v>
      </c>
      <c r="F16" s="37" t="n">
        <v>60</v>
      </c>
      <c r="G16" s="38"/>
      <c r="H16" s="31"/>
      <c r="I16" s="25"/>
      <c r="K16" s="39" t="s">
        <v>27</v>
      </c>
      <c r="L16" s="40" t="n">
        <f aca="false">C146</f>
        <v>0</v>
      </c>
      <c r="N16" s="0"/>
      <c r="O16" s="0"/>
      <c r="P16" s="0"/>
    </row>
    <row r="17" customFormat="false" ht="12.75" hidden="false" customHeight="false" outlineLevel="0" collapsed="false">
      <c r="A17" s="27" t="s">
        <v>372</v>
      </c>
      <c r="B17" s="43"/>
      <c r="C17" s="6" t="n">
        <v>2.2</v>
      </c>
      <c r="D17" s="44" t="n">
        <v>3</v>
      </c>
      <c r="E17" s="29" t="n">
        <v>4.5</v>
      </c>
      <c r="F17" s="37" t="n">
        <v>3</v>
      </c>
      <c r="G17" s="38"/>
      <c r="H17" s="31"/>
      <c r="I17" s="25"/>
      <c r="K17" s="39" t="s">
        <v>29</v>
      </c>
      <c r="L17" s="40" t="n">
        <f aca="false">C211+C242</f>
        <v>40</v>
      </c>
      <c r="N17" s="0"/>
      <c r="O17" s="0"/>
      <c r="P17" s="0"/>
    </row>
    <row r="18" customFormat="false" ht="12.75" hidden="false" customHeight="false" outlineLevel="0" collapsed="false">
      <c r="A18" s="27" t="s">
        <v>373</v>
      </c>
      <c r="B18" s="43"/>
      <c r="C18" s="6" t="n">
        <v>45.3</v>
      </c>
      <c r="D18" s="44" t="n">
        <v>59.141</v>
      </c>
      <c r="E18" s="29" t="n">
        <v>58.716</v>
      </c>
      <c r="F18" s="37" t="n">
        <v>59</v>
      </c>
      <c r="G18" s="38"/>
      <c r="H18" s="31"/>
      <c r="I18" s="25"/>
      <c r="K18" s="39" t="s">
        <v>31</v>
      </c>
      <c r="L18" s="40" t="n">
        <f aca="false">C212</f>
        <v>14.5</v>
      </c>
      <c r="N18" s="0"/>
      <c r="O18" s="0"/>
      <c r="P18" s="0"/>
    </row>
    <row r="19" customFormat="false" ht="13.5" hidden="false" customHeight="false" outlineLevel="0" collapsed="false">
      <c r="A19" s="27" t="s">
        <v>26</v>
      </c>
      <c r="B19" s="35"/>
      <c r="C19" s="35"/>
      <c r="D19" s="37" t="n">
        <f aca="false">F104-B103</f>
        <v>531.65</v>
      </c>
      <c r="E19" s="29" t="n">
        <f aca="false">'Mar prebid'!D19</f>
        <v>220.481</v>
      </c>
      <c r="F19" s="37" t="n">
        <v>0</v>
      </c>
      <c r="G19" s="38" t="n">
        <v>0</v>
      </c>
      <c r="H19" s="31" t="n">
        <v>0</v>
      </c>
      <c r="I19" s="45"/>
      <c r="K19" s="55" t="s">
        <v>33</v>
      </c>
      <c r="L19" s="56" t="n">
        <f aca="false">C217+C245</f>
        <v>60</v>
      </c>
      <c r="N19" s="0"/>
      <c r="O19" s="0"/>
    </row>
    <row r="20" customFormat="false" ht="12.75" hidden="false" customHeight="false" outlineLevel="0" collapsed="false">
      <c r="A20" s="27" t="s">
        <v>28</v>
      </c>
      <c r="B20" s="6"/>
      <c r="C20" s="6"/>
      <c r="D20" s="46" t="n">
        <f aca="false">SUM(D7:D19)-D15</f>
        <v>1676.972</v>
      </c>
      <c r="E20" s="46" t="n">
        <f aca="false">SUM(E7:E19)-E15</f>
        <v>1421.45542857143</v>
      </c>
      <c r="F20" s="46" t="n">
        <f aca="false">SUM(F7:F19)-F15</f>
        <v>1289.18923333333</v>
      </c>
      <c r="G20" s="46" t="n">
        <f aca="false">SUM(G7:G19)</f>
        <v>2310.30105</v>
      </c>
      <c r="H20" s="47" t="n">
        <f aca="false">SUM(H7:H19)</f>
        <v>713.45695</v>
      </c>
      <c r="I20" s="32"/>
      <c r="L20" s="0"/>
      <c r="N20" s="0"/>
      <c r="O20" s="48"/>
    </row>
    <row r="21" customFormat="false" ht="12.75" hidden="false" customHeight="false" outlineLevel="0" collapsed="false">
      <c r="A21" s="27" t="s">
        <v>30</v>
      </c>
      <c r="B21" s="6"/>
      <c r="C21" s="6"/>
      <c r="D21" s="49" t="n">
        <f aca="false">D32</f>
        <v>0</v>
      </c>
      <c r="E21" s="50" t="n">
        <v>-64.5161290322581</v>
      </c>
      <c r="F21" s="51" t="n">
        <v>0</v>
      </c>
      <c r="G21" s="52" t="n">
        <v>0</v>
      </c>
      <c r="H21" s="53" t="n">
        <v>0</v>
      </c>
      <c r="I21" s="25"/>
      <c r="L21" s="0"/>
      <c r="N21" s="48"/>
      <c r="O21" s="0"/>
    </row>
    <row r="22" customFormat="false" ht="12.75" hidden="false" customHeight="false" outlineLevel="0" collapsed="false">
      <c r="A22" s="27" t="s">
        <v>445</v>
      </c>
      <c r="B22" s="6"/>
      <c r="C22" s="6"/>
      <c r="D22" s="366" t="n">
        <v>2.5</v>
      </c>
      <c r="E22" s="37" t="n">
        <v>2.5</v>
      </c>
      <c r="F22" s="37" t="n">
        <v>2.5</v>
      </c>
      <c r="G22" s="54" t="n">
        <v>0</v>
      </c>
      <c r="H22" s="53" t="n">
        <v>0</v>
      </c>
      <c r="I22" s="25"/>
      <c r="L22" s="0"/>
      <c r="N22" s="0"/>
    </row>
    <row r="23" customFormat="false" ht="12.75" hidden="false" customHeight="false" outlineLevel="0" collapsed="false">
      <c r="A23" s="16"/>
      <c r="B23" s="6"/>
      <c r="C23" s="57" t="s">
        <v>34</v>
      </c>
      <c r="D23" s="46" t="n">
        <f aca="false">D22+D21+D20</f>
        <v>1679.472</v>
      </c>
      <c r="E23" s="46" t="n">
        <f aca="false">E22+E21+E20</f>
        <v>1359.43929953917</v>
      </c>
      <c r="F23" s="46" t="n">
        <f aca="false">F22+F21+F20</f>
        <v>1291.68923333333</v>
      </c>
      <c r="G23" s="46" t="n">
        <f aca="false">G22+G21+G20</f>
        <v>2310.30105</v>
      </c>
      <c r="H23" s="58" t="n">
        <f aca="false">H22+H21+H20</f>
        <v>713.45695</v>
      </c>
      <c r="I23" s="25"/>
      <c r="L23" s="0"/>
    </row>
    <row r="24" customFormat="false" ht="12.75" hidden="false" customHeight="false" outlineLevel="0" collapsed="false">
      <c r="A24" s="27" t="s">
        <v>35</v>
      </c>
      <c r="B24" s="6"/>
      <c r="C24" s="6"/>
      <c r="D24" s="49" t="n">
        <f aca="false">D44</f>
        <v>1472.413</v>
      </c>
      <c r="E24" s="279" t="n">
        <f aca="false">'Mar prebid'!D24</f>
        <v>1494.069</v>
      </c>
      <c r="F24" s="279" t="n">
        <v>1660</v>
      </c>
      <c r="G24" s="280" t="n">
        <f aca="false">D24</f>
        <v>1472.413</v>
      </c>
      <c r="H24" s="281" t="n">
        <f aca="false">D24</f>
        <v>1472.413</v>
      </c>
      <c r="I24" s="25"/>
      <c r="L24" s="0"/>
    </row>
    <row r="25" customFormat="false" ht="13.5" hidden="false" customHeight="false" outlineLevel="0" collapsed="false">
      <c r="A25" s="282" t="s">
        <v>37</v>
      </c>
      <c r="B25" s="6"/>
      <c r="C25" s="6"/>
      <c r="D25" s="51" t="n">
        <v>106.06</v>
      </c>
      <c r="E25" s="37" t="n">
        <v>111.2</v>
      </c>
      <c r="F25" s="37"/>
      <c r="G25" s="51"/>
      <c r="H25" s="53"/>
      <c r="I25" s="25"/>
      <c r="L25" s="0"/>
    </row>
    <row r="26" customFormat="false" ht="13.5" hidden="false" customHeight="false" outlineLevel="0" collapsed="false">
      <c r="A26" s="62"/>
      <c r="B26" s="63"/>
      <c r="C26" s="64" t="s">
        <v>36</v>
      </c>
      <c r="D26" s="65" t="n">
        <f aca="false">D24+D25-D23</f>
        <v>-100.999</v>
      </c>
      <c r="E26" s="65" t="n">
        <f aca="false">E24-E23+E25</f>
        <v>245.82970046083</v>
      </c>
      <c r="F26" s="65" t="n">
        <f aca="false">F24-F23</f>
        <v>368.310766666667</v>
      </c>
      <c r="G26" s="65" t="n">
        <f aca="false">+G23-G24</f>
        <v>837.88805</v>
      </c>
      <c r="H26" s="65" t="n">
        <f aca="false">+(H23-H24)</f>
        <v>-758.95605</v>
      </c>
      <c r="I26" s="32"/>
      <c r="J26" s="93" t="s">
        <v>482</v>
      </c>
      <c r="L26" s="0"/>
    </row>
    <row r="27" customFormat="false" ht="4.5" hidden="false" customHeight="true" outlineLevel="0" collapsed="false">
      <c r="A27" s="66"/>
      <c r="B27" s="6"/>
      <c r="C27" s="67"/>
      <c r="D27" s="68"/>
      <c r="E27" s="69"/>
      <c r="F27" s="69"/>
      <c r="G27" s="70"/>
      <c r="H27" s="70"/>
      <c r="I27" s="32"/>
      <c r="J27" s="349"/>
      <c r="K27" s="78"/>
      <c r="L27" s="79"/>
    </row>
    <row r="28" customFormat="false" ht="13.5" hidden="false" customHeight="false" outlineLevel="0" collapsed="false">
      <c r="A28" s="16"/>
      <c r="C28" s="73" t="s">
        <v>38</v>
      </c>
      <c r="D28" s="72" t="n">
        <v>0</v>
      </c>
      <c r="E28" s="69"/>
      <c r="F28" s="69"/>
      <c r="G28" s="69"/>
      <c r="H28" s="69"/>
      <c r="J28" s="350" t="n">
        <f aca="false">10+88.34-30-20+25</f>
        <v>73.34</v>
      </c>
      <c r="L28" s="0"/>
    </row>
    <row r="29" customFormat="false" ht="13.5" hidden="false" customHeight="true" outlineLevel="0" collapsed="false">
      <c r="A29" s="74"/>
      <c r="B29" s="75"/>
      <c r="C29" s="76" t="s">
        <v>39</v>
      </c>
      <c r="D29" s="77" t="n">
        <f aca="false">D26+D28</f>
        <v>-100.999</v>
      </c>
      <c r="E29" s="69"/>
      <c r="F29" s="69"/>
      <c r="G29" s="69"/>
      <c r="H29" s="69"/>
      <c r="I29" s="32"/>
      <c r="J29" s="78"/>
      <c r="L29" s="0"/>
      <c r="M29" s="78"/>
      <c r="N29" s="78"/>
      <c r="O29" s="78"/>
      <c r="P29" s="78"/>
      <c r="Q29" s="78"/>
      <c r="R29" s="78"/>
      <c r="S29" s="78"/>
      <c r="T29" s="78"/>
      <c r="U29" s="78"/>
      <c r="V29" s="78"/>
      <c r="W29" s="78"/>
      <c r="X29" s="78"/>
      <c r="Y29" s="78"/>
      <c r="Z29" s="78"/>
      <c r="AA29" s="78"/>
      <c r="AB29" s="78"/>
      <c r="AC29" s="78"/>
      <c r="AD29" s="78"/>
      <c r="AE29" s="78"/>
      <c r="AF29" s="78"/>
      <c r="AG29" s="78"/>
      <c r="AH29" s="78"/>
      <c r="AI29" s="78"/>
      <c r="AJ29" s="78"/>
      <c r="AK29" s="80"/>
      <c r="AL29" s="80"/>
      <c r="AM29" s="80"/>
      <c r="AN29" s="80"/>
      <c r="AO29" s="80"/>
      <c r="AP29" s="80"/>
      <c r="AQ29" s="80"/>
      <c r="AR29" s="80"/>
      <c r="AS29" s="80"/>
      <c r="AT29" s="80"/>
      <c r="AU29" s="80"/>
      <c r="AV29" s="80"/>
      <c r="AW29" s="80"/>
      <c r="AX29" s="80"/>
      <c r="AY29" s="80"/>
      <c r="AZ29" s="80"/>
      <c r="BA29" s="80"/>
      <c r="BB29" s="80"/>
      <c r="BC29" s="80"/>
      <c r="BD29" s="80"/>
      <c r="BE29" s="80"/>
      <c r="BF29" s="80"/>
      <c r="BG29" s="80"/>
      <c r="BH29" s="80"/>
      <c r="BI29" s="80"/>
      <c r="BJ29" s="80"/>
      <c r="BK29" s="80"/>
      <c r="BL29" s="80"/>
      <c r="BM29" s="80"/>
      <c r="BN29" s="80"/>
      <c r="BO29" s="80"/>
      <c r="BP29" s="80"/>
      <c r="BQ29" s="80"/>
      <c r="BR29" s="80"/>
      <c r="BS29" s="80"/>
      <c r="BT29" s="80"/>
      <c r="BU29" s="80"/>
      <c r="BV29" s="80"/>
      <c r="BW29" s="80"/>
      <c r="BX29" s="80"/>
      <c r="BY29" s="80"/>
      <c r="BZ29" s="80"/>
      <c r="CA29" s="80"/>
      <c r="CB29" s="80"/>
      <c r="CC29" s="80"/>
      <c r="CD29" s="80"/>
      <c r="CE29" s="80"/>
      <c r="CF29" s="80"/>
      <c r="CG29" s="80"/>
      <c r="CH29" s="80"/>
      <c r="CI29" s="80"/>
      <c r="CJ29" s="80"/>
      <c r="CK29" s="80"/>
      <c r="CL29" s="80"/>
      <c r="CM29" s="80"/>
      <c r="CN29" s="80"/>
      <c r="CO29" s="80"/>
      <c r="CP29" s="80"/>
      <c r="CQ29" s="80"/>
      <c r="CR29" s="80"/>
      <c r="CS29" s="80"/>
      <c r="CT29" s="80"/>
      <c r="CU29" s="80"/>
      <c r="CV29" s="80"/>
      <c r="CW29" s="80"/>
      <c r="CX29" s="80"/>
      <c r="CY29" s="80"/>
      <c r="CZ29" s="80"/>
      <c r="DA29" s="80"/>
      <c r="DB29" s="80"/>
      <c r="DC29" s="80"/>
      <c r="DD29" s="80"/>
      <c r="DE29" s="80"/>
      <c r="DF29" s="80"/>
      <c r="DG29" s="80"/>
      <c r="DH29" s="80"/>
      <c r="DI29" s="80"/>
      <c r="DJ29" s="80"/>
      <c r="DK29" s="80"/>
      <c r="DL29" s="80"/>
      <c r="DM29" s="80"/>
      <c r="DN29" s="80"/>
      <c r="DO29" s="80"/>
      <c r="DP29" s="80"/>
      <c r="DQ29" s="80"/>
      <c r="DR29" s="80"/>
      <c r="DS29" s="80"/>
      <c r="DT29" s="80"/>
      <c r="DU29" s="80"/>
      <c r="DV29" s="80"/>
      <c r="DW29" s="80"/>
      <c r="DX29" s="80"/>
      <c r="DY29" s="80"/>
      <c r="DZ29" s="80"/>
      <c r="EA29" s="80"/>
      <c r="EB29" s="80"/>
      <c r="EC29" s="80"/>
      <c r="ED29" s="80"/>
      <c r="EE29" s="80"/>
      <c r="EF29" s="80"/>
      <c r="EG29" s="80"/>
      <c r="EH29" s="80"/>
      <c r="EI29" s="80"/>
      <c r="EJ29" s="80"/>
      <c r="EK29" s="80"/>
      <c r="EL29" s="80"/>
      <c r="EM29" s="80"/>
      <c r="EN29" s="80"/>
      <c r="EO29" s="80"/>
      <c r="EP29" s="80"/>
      <c r="EQ29" s="80"/>
      <c r="ER29" s="80"/>
      <c r="ES29" s="80"/>
      <c r="ET29" s="80"/>
      <c r="EU29" s="80"/>
      <c r="EV29" s="80"/>
      <c r="EW29" s="80"/>
      <c r="EX29" s="80"/>
      <c r="EY29" s="80"/>
      <c r="EZ29" s="80"/>
      <c r="FA29" s="80"/>
      <c r="FB29" s="80"/>
      <c r="FC29" s="80"/>
      <c r="FD29" s="80"/>
      <c r="FE29" s="80"/>
      <c r="FF29" s="80"/>
      <c r="FG29" s="80"/>
      <c r="FH29" s="80"/>
      <c r="FI29" s="80"/>
      <c r="FJ29" s="80"/>
      <c r="FK29" s="80"/>
      <c r="FL29" s="80"/>
      <c r="FM29" s="80"/>
      <c r="FN29" s="80"/>
      <c r="FO29" s="80"/>
      <c r="FP29" s="80"/>
      <c r="FQ29" s="80"/>
      <c r="FR29" s="80"/>
      <c r="FS29" s="80"/>
      <c r="FT29" s="80"/>
      <c r="FU29" s="80"/>
      <c r="FV29" s="80"/>
      <c r="FW29" s="80"/>
      <c r="FX29" s="80"/>
      <c r="FY29" s="80"/>
      <c r="FZ29" s="80"/>
      <c r="GA29" s="80"/>
      <c r="GB29" s="80"/>
      <c r="GC29" s="80"/>
      <c r="GD29" s="80"/>
      <c r="GE29" s="80"/>
      <c r="GF29" s="80"/>
      <c r="GG29" s="80"/>
      <c r="GH29" s="80"/>
      <c r="GI29" s="80"/>
      <c r="GJ29" s="80"/>
      <c r="GK29" s="80"/>
      <c r="GL29" s="80"/>
      <c r="GM29" s="80"/>
      <c r="GN29" s="80"/>
      <c r="GO29" s="80"/>
      <c r="GP29" s="80"/>
      <c r="GQ29" s="80"/>
      <c r="GR29" s="80"/>
      <c r="GS29" s="80"/>
      <c r="GT29" s="80"/>
      <c r="GU29" s="80"/>
      <c r="GV29" s="80"/>
      <c r="GW29" s="80"/>
      <c r="GX29" s="80"/>
      <c r="GY29" s="80"/>
      <c r="GZ29" s="80"/>
      <c r="HA29" s="80"/>
      <c r="HB29" s="80"/>
      <c r="HC29" s="80"/>
      <c r="HD29" s="80"/>
      <c r="HE29" s="80"/>
      <c r="HF29" s="80"/>
      <c r="HG29" s="80"/>
      <c r="HH29" s="80"/>
      <c r="HI29" s="80"/>
      <c r="HJ29" s="80"/>
      <c r="HK29" s="80"/>
      <c r="HL29" s="80"/>
      <c r="HM29" s="80"/>
      <c r="HN29" s="80"/>
      <c r="HO29" s="80"/>
      <c r="HP29" s="80"/>
      <c r="HQ29" s="80"/>
      <c r="HR29" s="80"/>
      <c r="HS29" s="80"/>
      <c r="HT29" s="80"/>
      <c r="HU29" s="80"/>
      <c r="HV29" s="80"/>
      <c r="HW29" s="80"/>
      <c r="HX29" s="80"/>
      <c r="HY29" s="80"/>
      <c r="HZ29" s="80"/>
      <c r="IA29" s="80"/>
      <c r="IB29" s="80"/>
      <c r="IC29" s="80"/>
      <c r="ID29" s="80"/>
      <c r="IE29" s="80"/>
      <c r="IF29" s="80"/>
      <c r="IG29" s="80"/>
      <c r="IH29" s="80"/>
      <c r="II29" s="80"/>
      <c r="IJ29" s="80"/>
      <c r="IK29" s="80"/>
      <c r="IL29" s="80"/>
      <c r="IM29" s="80"/>
      <c r="IN29" s="80"/>
      <c r="IO29" s="80"/>
      <c r="IP29" s="80"/>
      <c r="IQ29" s="80"/>
      <c r="IR29" s="80"/>
      <c r="IS29" s="80"/>
      <c r="IT29" s="80"/>
      <c r="IU29" s="80"/>
      <c r="IV29" s="80"/>
      <c r="IW29" s="80"/>
    </row>
    <row r="30" customFormat="false" ht="8.25" hidden="false" customHeight="true" outlineLevel="0" collapsed="false">
      <c r="A30" s="81"/>
      <c r="B30" s="82"/>
      <c r="C30" s="83"/>
      <c r="D30" s="84"/>
      <c r="E30" s="6"/>
      <c r="F30" s="6"/>
      <c r="G30" s="85"/>
      <c r="H30" s="86"/>
      <c r="I30" s="87"/>
      <c r="K30" s="0"/>
    </row>
    <row r="31" customFormat="false" ht="13.5" hidden="false" customHeight="false" outlineLevel="0" collapsed="false">
      <c r="A31" s="88" t="s">
        <v>376</v>
      </c>
      <c r="B31" s="88"/>
      <c r="C31" s="88"/>
      <c r="D31" s="88"/>
      <c r="E31" s="89" t="s">
        <v>41</v>
      </c>
      <c r="F31" s="89"/>
      <c r="G31" s="89"/>
      <c r="H31" s="89"/>
      <c r="I31" s="90" t="s">
        <v>42</v>
      </c>
      <c r="J31" s="90"/>
      <c r="K31" s="109"/>
      <c r="L31" s="109"/>
    </row>
    <row r="32" customFormat="false" ht="13.5" hidden="false" customHeight="false" outlineLevel="0" collapsed="false">
      <c r="A32" s="27" t="s">
        <v>43</v>
      </c>
      <c r="B32" s="85"/>
      <c r="C32" s="85"/>
      <c r="D32" s="268" t="n">
        <f aca="false">B33/30</f>
        <v>0</v>
      </c>
      <c r="E32" s="92" t="s">
        <v>44</v>
      </c>
      <c r="F32" s="92"/>
      <c r="G32" s="90" t="s">
        <v>45</v>
      </c>
      <c r="H32" s="90"/>
      <c r="I32" s="93" t="s">
        <v>46</v>
      </c>
      <c r="J32" s="94" t="s">
        <v>47</v>
      </c>
      <c r="K32" s="112"/>
      <c r="L32" s="112"/>
    </row>
    <row r="33" customFormat="false" ht="13.5" hidden="false" customHeight="false" outlineLevel="0" collapsed="false">
      <c r="A33" s="16" t="s">
        <v>48</v>
      </c>
      <c r="B33" s="95" t="n">
        <v>0</v>
      </c>
      <c r="C33" s="0" t="s">
        <v>49</v>
      </c>
      <c r="D33" s="96"/>
      <c r="E33" s="269" t="s">
        <v>197</v>
      </c>
      <c r="F33" s="351" t="n">
        <v>0.8</v>
      </c>
      <c r="G33" s="99" t="s">
        <v>115</v>
      </c>
      <c r="H33" s="100" t="n">
        <v>30</v>
      </c>
      <c r="I33" s="101" t="n">
        <f aca="false">7.5+20+5+5+10+20+10</f>
        <v>77.5</v>
      </c>
      <c r="J33" s="102" t="n">
        <f aca="false">5+5+2+5+10+5+5</f>
        <v>37</v>
      </c>
      <c r="K33" s="87"/>
      <c r="L33" s="87"/>
    </row>
    <row r="34" customFormat="false" ht="13.5" hidden="false" customHeight="false" outlineLevel="0" collapsed="false">
      <c r="A34" s="16" t="s">
        <v>52</v>
      </c>
      <c r="B34" s="103" t="n">
        <v>0</v>
      </c>
      <c r="C34" s="6"/>
      <c r="D34" s="104"/>
      <c r="E34" s="269" t="s">
        <v>19</v>
      </c>
      <c r="F34" s="270" t="n">
        <f aca="false">10+10</f>
        <v>20</v>
      </c>
      <c r="G34" s="99"/>
      <c r="H34" s="100"/>
      <c r="I34" s="283" t="s">
        <v>55</v>
      </c>
      <c r="J34" s="108" t="n">
        <f aca="false">+I33-J33</f>
        <v>40.5</v>
      </c>
      <c r="K34" s="0"/>
      <c r="L34" s="0"/>
    </row>
    <row r="35" customFormat="false" ht="13.5" hidden="false" customHeight="false" outlineLevel="0" collapsed="false">
      <c r="A35" s="110"/>
      <c r="B35" s="63"/>
      <c r="C35" s="63"/>
      <c r="D35" s="111"/>
      <c r="E35" s="269" t="s">
        <v>125</v>
      </c>
      <c r="F35" s="367" t="n">
        <v>4.5</v>
      </c>
      <c r="G35" s="99"/>
      <c r="H35" s="100"/>
      <c r="I35" s="0"/>
      <c r="J35" s="0"/>
      <c r="K35" s="0"/>
      <c r="L35" s="0"/>
    </row>
    <row r="36" customFormat="false" ht="13.5" hidden="false" customHeight="false" outlineLevel="0" collapsed="false">
      <c r="A36" s="113"/>
      <c r="B36" s="114"/>
      <c r="C36" s="114"/>
      <c r="D36" s="115"/>
      <c r="E36" s="99"/>
      <c r="F36" s="100"/>
      <c r="G36" s="99"/>
      <c r="H36" s="100"/>
      <c r="I36" s="90" t="s">
        <v>60</v>
      </c>
      <c r="J36" s="90"/>
      <c r="K36" s="126"/>
      <c r="L36" s="0"/>
    </row>
    <row r="37" customFormat="false" ht="13.5" hidden="false" customHeight="false" outlineLevel="0" collapsed="false">
      <c r="A37" s="116" t="s">
        <v>61</v>
      </c>
      <c r="B37" s="116"/>
      <c r="C37" s="116"/>
      <c r="D37" s="116"/>
      <c r="E37" s="269"/>
      <c r="F37" s="270"/>
      <c r="G37" s="119"/>
      <c r="H37" s="120"/>
      <c r="I37" s="93" t="s">
        <v>64</v>
      </c>
      <c r="J37" s="94" t="s">
        <v>65</v>
      </c>
      <c r="K37" s="126"/>
      <c r="L37" s="0"/>
    </row>
    <row r="38" customFormat="false" ht="13.5" hidden="false" customHeight="false" outlineLevel="0" collapsed="false">
      <c r="A38" s="27"/>
      <c r="B38" s="6"/>
      <c r="C38" s="6"/>
      <c r="D38" s="121"/>
      <c r="E38" s="339"/>
      <c r="F38" s="270"/>
      <c r="G38" s="119"/>
      <c r="H38" s="120"/>
      <c r="I38" s="284" t="n">
        <v>0</v>
      </c>
      <c r="J38" s="123" t="n">
        <f aca="false">15-30</f>
        <v>-15</v>
      </c>
      <c r="K38" s="126"/>
      <c r="L38" s="0"/>
    </row>
    <row r="39" customFormat="false" ht="13.5" hidden="false" customHeight="false" outlineLevel="0" collapsed="false">
      <c r="A39" s="27" t="s">
        <v>67</v>
      </c>
      <c r="B39" s="6"/>
      <c r="C39" s="6"/>
      <c r="D39" s="124" t="n">
        <f aca="false">K224/1000</f>
        <v>53.019</v>
      </c>
      <c r="E39" s="117"/>
      <c r="F39" s="118"/>
      <c r="G39" s="119"/>
      <c r="H39" s="120"/>
      <c r="I39" s="125" t="s">
        <v>68</v>
      </c>
      <c r="J39" s="94" t="s">
        <v>69</v>
      </c>
      <c r="K39" s="0"/>
      <c r="L39" s="0"/>
    </row>
    <row r="40" customFormat="false" ht="13.5" hidden="false" customHeight="false" outlineLevel="0" collapsed="false">
      <c r="A40" s="27" t="s">
        <v>70</v>
      </c>
      <c r="B40" s="6"/>
      <c r="C40" s="6"/>
      <c r="D40" s="121" t="n">
        <f aca="false">L104</f>
        <v>663.82</v>
      </c>
      <c r="E40" s="117"/>
      <c r="F40" s="118"/>
      <c r="G40" s="127"/>
      <c r="H40" s="128"/>
      <c r="I40" s="129" t="n">
        <f aca="false">20+20+10+20+10+5</f>
        <v>85</v>
      </c>
      <c r="J40" s="285" t="n">
        <v>0</v>
      </c>
      <c r="K40" s="0"/>
      <c r="L40" s="0"/>
    </row>
    <row r="41" customFormat="false" ht="13.5" hidden="false" customHeight="false" outlineLevel="0" collapsed="false">
      <c r="A41" s="27" t="s">
        <v>71</v>
      </c>
      <c r="B41" s="6"/>
      <c r="C41" s="6"/>
      <c r="D41" s="368" t="n">
        <v>40</v>
      </c>
      <c r="E41" s="117"/>
      <c r="F41" s="118"/>
      <c r="G41" s="127"/>
      <c r="H41" s="128"/>
      <c r="I41" s="287" t="s">
        <v>72</v>
      </c>
      <c r="J41" s="108" t="n">
        <f aca="false">J34+I38+J38+I40+J40</f>
        <v>110.5</v>
      </c>
      <c r="K41" s="0"/>
      <c r="L41" s="0"/>
    </row>
    <row r="42" customFormat="false" ht="13.5" hidden="false" customHeight="false" outlineLevel="0" collapsed="false">
      <c r="A42" s="27" t="s">
        <v>73</v>
      </c>
      <c r="B42" s="6"/>
      <c r="C42" s="6"/>
      <c r="D42" s="133" t="n">
        <f aca="false">713.151-51.927+42.8-16.882+20-5.175+16.78-0.084-0.139-1-1.5-0.25-0.2</f>
        <v>715.574</v>
      </c>
      <c r="E42" s="117"/>
      <c r="F42" s="118"/>
      <c r="G42" s="6"/>
      <c r="H42" s="7"/>
      <c r="K42" s="0"/>
      <c r="L42" s="0"/>
    </row>
    <row r="43" customFormat="false" ht="13.5" hidden="false" customHeight="false" outlineLevel="0" collapsed="false">
      <c r="A43" s="27"/>
      <c r="B43" s="6"/>
      <c r="C43" s="6"/>
      <c r="D43" s="121"/>
      <c r="E43" s="117"/>
      <c r="F43" s="118"/>
      <c r="G43" s="6"/>
      <c r="H43" s="7"/>
      <c r="I43" s="90" t="s">
        <v>74</v>
      </c>
      <c r="J43" s="90"/>
      <c r="K43" s="0"/>
      <c r="L43" s="0"/>
    </row>
    <row r="44" customFormat="false" ht="13.5" hidden="false" customHeight="false" outlineLevel="0" collapsed="false">
      <c r="A44" s="62"/>
      <c r="B44" s="134" t="s">
        <v>75</v>
      </c>
      <c r="C44" s="135" t="str">
        <f aca="false">+F5</f>
        <v>June</v>
      </c>
      <c r="D44" s="136" t="n">
        <f aca="false">SUM(D39:D42)</f>
        <v>1472.413</v>
      </c>
      <c r="E44" s="137" t="s">
        <v>76</v>
      </c>
      <c r="F44" s="136" t="n">
        <f aca="false">SUM(F33:F42)</f>
        <v>25.3</v>
      </c>
      <c r="G44" s="137" t="s">
        <v>76</v>
      </c>
      <c r="H44" s="136" t="n">
        <f aca="false">SUM(H33:H43)</f>
        <v>30</v>
      </c>
      <c r="I44" s="0"/>
      <c r="J44" s="320" t="n">
        <v>15</v>
      </c>
      <c r="K44" s="0"/>
      <c r="L44" s="0"/>
    </row>
    <row r="45" customFormat="false" ht="12.75" hidden="false" customHeight="false" outlineLevel="0" collapsed="false"/>
    <row r="46" customFormat="false" ht="12.75" hidden="false" customHeight="false" outlineLevel="0" collapsed="false">
      <c r="A46" s="138" t="s">
        <v>77</v>
      </c>
      <c r="B46" s="138"/>
      <c r="C46" s="138"/>
      <c r="D46" s="138"/>
      <c r="E46" s="139"/>
      <c r="F46" s="140"/>
      <c r="G46" s="93" t="s">
        <v>78</v>
      </c>
      <c r="H46" s="93"/>
      <c r="I46" s="93"/>
      <c r="J46" s="93"/>
      <c r="K46" s="93"/>
      <c r="L46" s="93"/>
    </row>
    <row r="47" customFormat="false" ht="12" hidden="false" customHeight="false" outlineLevel="0" collapsed="false">
      <c r="A47" s="141" t="s">
        <v>80</v>
      </c>
      <c r="B47" s="141"/>
      <c r="C47" s="142" t="s">
        <v>81</v>
      </c>
      <c r="D47" s="142"/>
      <c r="E47" s="143" t="s">
        <v>82</v>
      </c>
      <c r="F47" s="143"/>
      <c r="G47" s="144"/>
      <c r="H47" s="142"/>
      <c r="I47" s="142" t="s">
        <v>81</v>
      </c>
      <c r="J47" s="142"/>
      <c r="K47" s="143" t="s">
        <v>82</v>
      </c>
      <c r="L47" s="143"/>
    </row>
    <row r="48" customFormat="false" ht="12" hidden="false" customHeight="false" outlineLevel="0" collapsed="false">
      <c r="A48" s="145" t="s">
        <v>89</v>
      </c>
      <c r="B48" s="146" t="n">
        <v>0.096</v>
      </c>
      <c r="C48" s="147" t="s">
        <v>220</v>
      </c>
      <c r="D48" s="369" t="n">
        <v>9</v>
      </c>
      <c r="E48" s="147" t="s">
        <v>464</v>
      </c>
      <c r="F48" s="369" t="n">
        <v>10</v>
      </c>
      <c r="G48" s="149"/>
      <c r="H48" s="150"/>
      <c r="I48" s="147" t="s">
        <v>87</v>
      </c>
      <c r="J48" s="370" t="n">
        <v>40</v>
      </c>
      <c r="K48" s="371" t="s">
        <v>94</v>
      </c>
      <c r="L48" s="372" t="n">
        <v>5</v>
      </c>
    </row>
    <row r="49" customFormat="false" ht="12" hidden="false" customHeight="false" outlineLevel="0" collapsed="false">
      <c r="A49" s="145" t="s">
        <v>92</v>
      </c>
      <c r="B49" s="369" t="n">
        <v>0.048</v>
      </c>
      <c r="C49" s="147" t="s">
        <v>483</v>
      </c>
      <c r="D49" s="369" t="n">
        <v>20</v>
      </c>
      <c r="E49" s="147" t="s">
        <v>494</v>
      </c>
      <c r="F49" s="159" t="n">
        <v>20</v>
      </c>
      <c r="G49" s="149"/>
      <c r="H49" s="150"/>
      <c r="I49" s="153" t="s">
        <v>87</v>
      </c>
      <c r="J49" s="369" t="n">
        <v>5.5</v>
      </c>
      <c r="K49" s="147" t="s">
        <v>387</v>
      </c>
      <c r="L49" s="159" t="n">
        <v>14.522</v>
      </c>
    </row>
    <row r="50" customFormat="false" ht="12" hidden="false" customHeight="false" outlineLevel="0" collapsed="false">
      <c r="A50" s="145" t="s">
        <v>101</v>
      </c>
      <c r="B50" s="369" t="n">
        <v>0.048</v>
      </c>
      <c r="C50" s="147" t="s">
        <v>452</v>
      </c>
      <c r="D50" s="369" t="n">
        <v>15</v>
      </c>
      <c r="E50" s="147" t="s">
        <v>515</v>
      </c>
      <c r="F50" s="159" t="n">
        <v>5</v>
      </c>
      <c r="G50" s="149"/>
      <c r="H50" s="150"/>
      <c r="I50" s="153" t="s">
        <v>91</v>
      </c>
      <c r="J50" s="373" t="n">
        <v>20</v>
      </c>
      <c r="K50" s="147" t="s">
        <v>429</v>
      </c>
      <c r="L50" s="159" t="n">
        <v>20</v>
      </c>
    </row>
    <row r="51" customFormat="false" ht="12" hidden="false" customHeight="false" outlineLevel="0" collapsed="false">
      <c r="A51" s="145" t="s">
        <v>109</v>
      </c>
      <c r="B51" s="374" t="n">
        <f aca="false">3+1.225+1.2</f>
        <v>5.425</v>
      </c>
      <c r="C51" s="147" t="s">
        <v>19</v>
      </c>
      <c r="D51" s="369" t="n">
        <v>10</v>
      </c>
      <c r="E51" s="147" t="s">
        <v>515</v>
      </c>
      <c r="F51" s="159" t="n">
        <v>5</v>
      </c>
      <c r="G51" s="149"/>
      <c r="H51" s="150"/>
      <c r="I51" s="153" t="s">
        <v>91</v>
      </c>
      <c r="J51" s="369" t="n">
        <v>20</v>
      </c>
      <c r="K51" s="147" t="s">
        <v>364</v>
      </c>
      <c r="L51" s="159" t="n">
        <v>15</v>
      </c>
    </row>
    <row r="52" customFormat="false" ht="12" hidden="false" customHeight="false" outlineLevel="0" collapsed="false">
      <c r="A52" s="145"/>
      <c r="B52" s="146"/>
      <c r="C52" s="147" t="s">
        <v>516</v>
      </c>
      <c r="D52" s="369" t="n">
        <v>15</v>
      </c>
      <c r="E52" s="147"/>
      <c r="F52" s="159"/>
      <c r="G52" s="149"/>
      <c r="H52" s="150"/>
      <c r="I52" s="153" t="s">
        <v>94</v>
      </c>
      <c r="J52" s="369" t="n">
        <v>20</v>
      </c>
      <c r="K52" s="147" t="s">
        <v>517</v>
      </c>
      <c r="L52" s="159" t="n">
        <v>5</v>
      </c>
    </row>
    <row r="53" customFormat="false" ht="12" hidden="false" customHeight="false" outlineLevel="0" collapsed="false">
      <c r="A53" s="145"/>
      <c r="B53" s="146"/>
      <c r="C53" s="147" t="s">
        <v>518</v>
      </c>
      <c r="D53" s="369" t="n">
        <v>5</v>
      </c>
      <c r="E53" s="147" t="s">
        <v>380</v>
      </c>
      <c r="F53" s="159" t="n">
        <v>14</v>
      </c>
      <c r="G53" s="149"/>
      <c r="H53" s="150"/>
      <c r="I53" s="153" t="s">
        <v>94</v>
      </c>
      <c r="J53" s="369" t="n">
        <v>5</v>
      </c>
      <c r="K53" s="147" t="s">
        <v>517</v>
      </c>
      <c r="L53" s="159" t="n">
        <v>5</v>
      </c>
    </row>
    <row r="54" customFormat="false" ht="12" hidden="false" customHeight="false" outlineLevel="0" collapsed="false">
      <c r="A54" s="145"/>
      <c r="B54" s="146"/>
      <c r="C54" s="147" t="s">
        <v>468</v>
      </c>
      <c r="D54" s="369" t="n">
        <v>5</v>
      </c>
      <c r="E54" s="147" t="s">
        <v>106</v>
      </c>
      <c r="F54" s="159" t="n">
        <v>5</v>
      </c>
      <c r="G54" s="149"/>
      <c r="H54" s="150"/>
      <c r="I54" s="153" t="s">
        <v>94</v>
      </c>
      <c r="J54" s="369" t="n">
        <v>5</v>
      </c>
      <c r="K54" s="147" t="s">
        <v>517</v>
      </c>
      <c r="L54" s="159" t="n">
        <v>5</v>
      </c>
    </row>
    <row r="55" customFormat="false" ht="12" hidden="false" customHeight="false" outlineLevel="0" collapsed="false">
      <c r="A55" s="145"/>
      <c r="B55" s="146"/>
      <c r="C55" s="147" t="s">
        <v>493</v>
      </c>
      <c r="D55" s="369" t="n">
        <v>11</v>
      </c>
      <c r="E55" s="147" t="s">
        <v>434</v>
      </c>
      <c r="F55" s="159" t="n">
        <v>10</v>
      </c>
      <c r="G55" s="149"/>
      <c r="H55" s="150"/>
      <c r="I55" s="153" t="s">
        <v>519</v>
      </c>
      <c r="J55" s="369" t="n">
        <v>52.288</v>
      </c>
      <c r="K55" s="147" t="s">
        <v>135</v>
      </c>
      <c r="L55" s="159" t="n">
        <v>10</v>
      </c>
    </row>
    <row r="56" customFormat="false" ht="12" hidden="false" customHeight="false" outlineLevel="0" collapsed="false">
      <c r="A56" s="149"/>
      <c r="B56" s="150"/>
      <c r="C56" s="147" t="s">
        <v>128</v>
      </c>
      <c r="D56" s="369" t="n">
        <v>2</v>
      </c>
      <c r="E56" s="147" t="s">
        <v>517</v>
      </c>
      <c r="F56" s="159" t="n">
        <v>5</v>
      </c>
      <c r="G56" s="149"/>
      <c r="H56" s="150"/>
      <c r="I56" s="153" t="s">
        <v>102</v>
      </c>
      <c r="J56" s="369" t="n">
        <v>3.45</v>
      </c>
      <c r="K56" s="147"/>
      <c r="L56" s="152"/>
    </row>
    <row r="57" customFormat="false" ht="12" hidden="false" customHeight="false" outlineLevel="0" collapsed="false">
      <c r="A57" s="149"/>
      <c r="B57" s="150"/>
      <c r="C57" s="375"/>
      <c r="D57" s="376"/>
      <c r="E57" s="147" t="s">
        <v>491</v>
      </c>
      <c r="F57" s="369" t="n">
        <v>20</v>
      </c>
      <c r="G57" s="149"/>
      <c r="H57" s="150"/>
      <c r="I57" s="153" t="s">
        <v>455</v>
      </c>
      <c r="J57" s="369" t="n">
        <v>10</v>
      </c>
      <c r="K57" s="147" t="s">
        <v>111</v>
      </c>
      <c r="L57" s="159" t="n">
        <v>30</v>
      </c>
    </row>
    <row r="58" customFormat="false" ht="12" hidden="false" customHeight="false" outlineLevel="0" collapsed="false">
      <c r="A58" s="149"/>
      <c r="B58" s="150"/>
      <c r="C58" s="371"/>
      <c r="D58" s="341"/>
      <c r="E58" s="147" t="s">
        <v>435</v>
      </c>
      <c r="F58" s="369" t="n">
        <v>10</v>
      </c>
      <c r="G58" s="149"/>
      <c r="H58" s="150"/>
      <c r="I58" s="153" t="s">
        <v>457</v>
      </c>
      <c r="J58" s="377" t="n">
        <v>10</v>
      </c>
      <c r="K58" s="147" t="s">
        <v>436</v>
      </c>
      <c r="L58" s="159" t="n">
        <v>56</v>
      </c>
    </row>
    <row r="59" customFormat="false" ht="12" hidden="false" customHeight="false" outlineLevel="0" collapsed="false">
      <c r="A59" s="162"/>
      <c r="B59" s="163"/>
      <c r="C59" s="147"/>
      <c r="D59" s="146"/>
      <c r="E59" s="147" t="s">
        <v>111</v>
      </c>
      <c r="F59" s="369" t="n">
        <v>30</v>
      </c>
      <c r="G59" s="149"/>
      <c r="H59" s="150"/>
      <c r="I59" s="147" t="s">
        <v>427</v>
      </c>
      <c r="J59" s="146" t="n">
        <v>15</v>
      </c>
      <c r="K59" s="147" t="s">
        <v>520</v>
      </c>
      <c r="L59" s="159" t="n">
        <v>20</v>
      </c>
    </row>
    <row r="60" customFormat="false" ht="12" hidden="false" customHeight="false" outlineLevel="0" collapsed="false">
      <c r="A60" s="162"/>
      <c r="B60" s="163"/>
      <c r="C60" s="147"/>
      <c r="D60" s="146"/>
      <c r="E60" s="147" t="s">
        <v>111</v>
      </c>
      <c r="F60" s="378" t="n">
        <v>10</v>
      </c>
      <c r="G60" s="149"/>
      <c r="H60" s="150"/>
      <c r="I60" s="147" t="s">
        <v>468</v>
      </c>
      <c r="J60" s="369" t="n">
        <v>5</v>
      </c>
      <c r="K60" s="147" t="s">
        <v>283</v>
      </c>
      <c r="L60" s="159" t="n">
        <v>10</v>
      </c>
    </row>
    <row r="61" customFormat="false" ht="12" hidden="false" customHeight="false" outlineLevel="0" collapsed="false">
      <c r="A61" s="162"/>
      <c r="B61" s="163"/>
      <c r="C61" s="147"/>
      <c r="D61" s="146"/>
      <c r="E61" s="147" t="s">
        <v>56</v>
      </c>
      <c r="F61" s="378" t="n">
        <v>15</v>
      </c>
      <c r="G61" s="149"/>
      <c r="H61" s="150"/>
      <c r="I61" s="147" t="s">
        <v>521</v>
      </c>
      <c r="J61" s="369" t="n">
        <v>10</v>
      </c>
      <c r="K61" s="147" t="s">
        <v>95</v>
      </c>
      <c r="L61" s="159" t="n">
        <v>15</v>
      </c>
    </row>
    <row r="62" customFormat="false" ht="12" hidden="false" customHeight="false" outlineLevel="0" collapsed="false">
      <c r="A62" s="162"/>
      <c r="B62" s="163"/>
      <c r="C62" s="147"/>
      <c r="D62" s="146"/>
      <c r="E62" s="147" t="s">
        <v>468</v>
      </c>
      <c r="F62" s="378" t="n">
        <v>5</v>
      </c>
      <c r="G62" s="149"/>
      <c r="H62" s="150"/>
      <c r="I62" s="147" t="s">
        <v>112</v>
      </c>
      <c r="J62" s="369" t="n">
        <v>2</v>
      </c>
      <c r="K62" s="147" t="s">
        <v>108</v>
      </c>
      <c r="L62" s="159" t="n">
        <v>10</v>
      </c>
    </row>
    <row r="63" customFormat="false" ht="12" hidden="false" customHeight="false" outlineLevel="0" collapsed="false">
      <c r="A63" s="162"/>
      <c r="B63" s="163"/>
      <c r="C63" s="147"/>
      <c r="D63" s="146"/>
      <c r="E63" s="147" t="s">
        <v>468</v>
      </c>
      <c r="F63" s="378" t="n">
        <v>5</v>
      </c>
      <c r="G63" s="149"/>
      <c r="H63" s="150"/>
      <c r="I63" s="147" t="s">
        <v>117</v>
      </c>
      <c r="J63" s="369" t="n">
        <v>10</v>
      </c>
      <c r="K63" s="147" t="s">
        <v>115</v>
      </c>
      <c r="L63" s="159" t="n">
        <v>10</v>
      </c>
    </row>
    <row r="64" customFormat="false" ht="12" hidden="false" customHeight="false" outlineLevel="0" collapsed="false">
      <c r="A64" s="379"/>
      <c r="B64" s="376"/>
      <c r="C64" s="147"/>
      <c r="D64" s="146"/>
      <c r="E64" s="147" t="s">
        <v>283</v>
      </c>
      <c r="F64" s="378" t="n">
        <v>2</v>
      </c>
      <c r="G64" s="379"/>
      <c r="H64" s="376"/>
      <c r="I64" s="147" t="s">
        <v>121</v>
      </c>
      <c r="J64" s="369" t="n">
        <v>20</v>
      </c>
      <c r="K64" s="147" t="s">
        <v>522</v>
      </c>
      <c r="L64" s="159" t="n">
        <v>5</v>
      </c>
      <c r="M64" s="380"/>
      <c r="N64" s="380"/>
      <c r="O64" s="380"/>
      <c r="P64" s="380"/>
      <c r="Q64" s="380"/>
      <c r="R64" s="380"/>
      <c r="S64" s="380"/>
      <c r="T64" s="380"/>
      <c r="U64" s="380"/>
      <c r="V64" s="380"/>
      <c r="W64" s="380"/>
      <c r="X64" s="380"/>
      <c r="Y64" s="380"/>
      <c r="Z64" s="380"/>
      <c r="AA64" s="380"/>
      <c r="AB64" s="380"/>
      <c r="AC64" s="380"/>
      <c r="AD64" s="380"/>
      <c r="AE64" s="380"/>
      <c r="AF64" s="380"/>
      <c r="AG64" s="380"/>
      <c r="AH64" s="380"/>
      <c r="AI64" s="380"/>
      <c r="AJ64" s="380"/>
      <c r="AK64" s="380"/>
      <c r="AL64" s="380"/>
      <c r="AM64" s="380"/>
      <c r="AN64" s="380"/>
      <c r="AO64" s="380"/>
      <c r="AP64" s="380"/>
      <c r="AQ64" s="380"/>
      <c r="AR64" s="380"/>
      <c r="AS64" s="380"/>
      <c r="AT64" s="380"/>
      <c r="AU64" s="380"/>
      <c r="AV64" s="380"/>
      <c r="AW64" s="380"/>
      <c r="AX64" s="380"/>
      <c r="AY64" s="380"/>
      <c r="AZ64" s="380"/>
      <c r="BA64" s="380"/>
      <c r="BB64" s="380"/>
      <c r="BC64" s="380"/>
      <c r="BD64" s="380"/>
      <c r="BE64" s="380"/>
      <c r="BF64" s="380"/>
      <c r="BG64" s="380"/>
      <c r="BH64" s="380"/>
      <c r="BI64" s="380"/>
      <c r="BJ64" s="380"/>
      <c r="BK64" s="380"/>
      <c r="BL64" s="380"/>
      <c r="BM64" s="380"/>
      <c r="BN64" s="380"/>
      <c r="BO64" s="380"/>
      <c r="BP64" s="380"/>
      <c r="BQ64" s="380"/>
      <c r="BR64" s="380"/>
      <c r="BS64" s="380"/>
      <c r="BT64" s="380"/>
      <c r="BU64" s="380"/>
      <c r="BV64" s="380"/>
      <c r="BW64" s="380"/>
      <c r="BX64" s="380"/>
      <c r="BY64" s="380"/>
      <c r="BZ64" s="380"/>
      <c r="CA64" s="380"/>
      <c r="CB64" s="380"/>
      <c r="CC64" s="380"/>
      <c r="CD64" s="380"/>
      <c r="CE64" s="380"/>
      <c r="CF64" s="380"/>
      <c r="CG64" s="380"/>
      <c r="CH64" s="380"/>
      <c r="CI64" s="380"/>
      <c r="CJ64" s="380"/>
      <c r="CK64" s="380"/>
      <c r="CL64" s="380"/>
      <c r="CM64" s="380"/>
      <c r="CN64" s="380"/>
      <c r="CO64" s="380"/>
      <c r="CP64" s="380"/>
      <c r="CQ64" s="380"/>
      <c r="CR64" s="380"/>
      <c r="CS64" s="380"/>
      <c r="CT64" s="380"/>
      <c r="CU64" s="380"/>
      <c r="CV64" s="380"/>
      <c r="CW64" s="380"/>
      <c r="CX64" s="380"/>
      <c r="CY64" s="380"/>
      <c r="CZ64" s="380"/>
      <c r="DA64" s="380"/>
      <c r="DB64" s="380"/>
      <c r="DC64" s="380"/>
      <c r="DD64" s="380"/>
      <c r="DE64" s="380"/>
      <c r="DF64" s="380"/>
      <c r="DG64" s="380"/>
      <c r="DH64" s="380"/>
      <c r="DI64" s="380"/>
      <c r="DJ64" s="380"/>
      <c r="DK64" s="380"/>
      <c r="DL64" s="380"/>
      <c r="DM64" s="380"/>
      <c r="DN64" s="380"/>
      <c r="DO64" s="380"/>
      <c r="DP64" s="380"/>
      <c r="DQ64" s="380"/>
      <c r="DR64" s="380"/>
      <c r="DS64" s="380"/>
      <c r="DT64" s="380"/>
      <c r="DU64" s="380"/>
      <c r="DV64" s="380"/>
      <c r="DW64" s="380"/>
      <c r="DX64" s="380"/>
      <c r="DY64" s="380"/>
      <c r="DZ64" s="380"/>
      <c r="EA64" s="380"/>
      <c r="EB64" s="380"/>
      <c r="EC64" s="380"/>
      <c r="ED64" s="380"/>
      <c r="EE64" s="380"/>
      <c r="EF64" s="380"/>
      <c r="EG64" s="380"/>
      <c r="EH64" s="380"/>
      <c r="EI64" s="380"/>
      <c r="EJ64" s="380"/>
      <c r="EK64" s="380"/>
      <c r="EL64" s="380"/>
      <c r="EM64" s="380"/>
      <c r="EN64" s="380"/>
      <c r="EO64" s="380"/>
      <c r="EP64" s="380"/>
      <c r="EQ64" s="380"/>
      <c r="ER64" s="380"/>
      <c r="ES64" s="380"/>
      <c r="ET64" s="380"/>
      <c r="EU64" s="380"/>
      <c r="EV64" s="380"/>
      <c r="EW64" s="380"/>
      <c r="EX64" s="380"/>
      <c r="EY64" s="380"/>
      <c r="EZ64" s="380"/>
      <c r="FA64" s="380"/>
      <c r="FB64" s="380"/>
      <c r="FC64" s="380"/>
      <c r="FD64" s="380"/>
      <c r="FE64" s="380"/>
      <c r="FF64" s="380"/>
      <c r="FG64" s="380"/>
      <c r="FH64" s="380"/>
      <c r="FI64" s="380"/>
      <c r="FJ64" s="380"/>
      <c r="FK64" s="380"/>
      <c r="FL64" s="380"/>
      <c r="FM64" s="380"/>
      <c r="FN64" s="380"/>
      <c r="FO64" s="380"/>
      <c r="FP64" s="380"/>
      <c r="FQ64" s="380"/>
      <c r="FR64" s="380"/>
      <c r="FS64" s="380"/>
      <c r="FT64" s="380"/>
      <c r="FU64" s="380"/>
      <c r="FV64" s="380"/>
      <c r="FW64" s="380"/>
      <c r="FX64" s="380"/>
      <c r="FY64" s="380"/>
      <c r="FZ64" s="380"/>
      <c r="GA64" s="380"/>
      <c r="GB64" s="380"/>
      <c r="GC64" s="380"/>
      <c r="GD64" s="380"/>
      <c r="GE64" s="380"/>
      <c r="GF64" s="380"/>
      <c r="GG64" s="380"/>
      <c r="GH64" s="380"/>
      <c r="GI64" s="380"/>
      <c r="GJ64" s="380"/>
      <c r="GK64" s="380"/>
      <c r="GL64" s="380"/>
      <c r="GM64" s="380"/>
      <c r="GN64" s="380"/>
      <c r="GO64" s="380"/>
      <c r="GP64" s="380"/>
      <c r="GQ64" s="380"/>
      <c r="GR64" s="380"/>
      <c r="GS64" s="380"/>
      <c r="GT64" s="380"/>
      <c r="GU64" s="380"/>
      <c r="GV64" s="380"/>
      <c r="GW64" s="380"/>
      <c r="GX64" s="380"/>
      <c r="GY64" s="380"/>
      <c r="GZ64" s="380"/>
      <c r="HA64" s="380"/>
      <c r="HB64" s="380"/>
      <c r="HC64" s="380"/>
      <c r="HD64" s="380"/>
      <c r="HE64" s="380"/>
      <c r="HF64" s="380"/>
      <c r="HG64" s="380"/>
      <c r="HH64" s="380"/>
      <c r="HI64" s="380"/>
      <c r="HJ64" s="380"/>
      <c r="HK64" s="380"/>
      <c r="HL64" s="380"/>
      <c r="HM64" s="380"/>
      <c r="HN64" s="380"/>
      <c r="HO64" s="380"/>
      <c r="HP64" s="380"/>
      <c r="HQ64" s="380"/>
      <c r="HR64" s="380"/>
      <c r="HS64" s="380"/>
      <c r="HT64" s="380"/>
      <c r="HU64" s="380"/>
      <c r="HV64" s="380"/>
      <c r="HW64" s="380"/>
      <c r="HX64" s="380"/>
      <c r="HY64" s="380"/>
      <c r="HZ64" s="380"/>
      <c r="IA64" s="380"/>
      <c r="IB64" s="380"/>
      <c r="IC64" s="380"/>
      <c r="ID64" s="380"/>
      <c r="IE64" s="380"/>
      <c r="IF64" s="380"/>
      <c r="IG64" s="380"/>
      <c r="IH64" s="380"/>
      <c r="II64" s="380"/>
      <c r="IJ64" s="380"/>
      <c r="IK64" s="380"/>
      <c r="IL64" s="380"/>
      <c r="IM64" s="380"/>
      <c r="IN64" s="380"/>
      <c r="IO64" s="380"/>
      <c r="IP64" s="380"/>
      <c r="IQ64" s="380"/>
      <c r="IR64" s="380"/>
      <c r="IS64" s="380"/>
      <c r="IT64" s="380"/>
      <c r="IU64" s="380"/>
      <c r="IV64" s="380"/>
      <c r="IW64" s="380"/>
    </row>
    <row r="65" customFormat="false" ht="12" hidden="false" customHeight="false" outlineLevel="0" collapsed="false">
      <c r="A65" s="162"/>
      <c r="B65" s="163"/>
      <c r="C65" s="147"/>
      <c r="D65" s="146"/>
      <c r="E65" s="147" t="s">
        <v>523</v>
      </c>
      <c r="F65" s="378" t="n">
        <v>18</v>
      </c>
      <c r="G65" s="149"/>
      <c r="H65" s="150"/>
      <c r="I65" s="371"/>
      <c r="J65" s="341"/>
      <c r="K65" s="147" t="s">
        <v>100</v>
      </c>
      <c r="L65" s="159" t="n">
        <v>10</v>
      </c>
    </row>
    <row r="66" customFormat="false" ht="12" hidden="false" customHeight="false" outlineLevel="0" collapsed="false">
      <c r="A66" s="162"/>
      <c r="B66" s="163"/>
      <c r="C66" s="147"/>
      <c r="D66" s="146"/>
      <c r="E66" s="147" t="s">
        <v>487</v>
      </c>
      <c r="F66" s="378" t="n">
        <v>4</v>
      </c>
      <c r="G66" s="149"/>
      <c r="H66" s="150"/>
      <c r="I66" s="375"/>
      <c r="J66" s="376"/>
      <c r="K66" s="147" t="s">
        <v>100</v>
      </c>
      <c r="L66" s="159" t="n">
        <v>4</v>
      </c>
    </row>
    <row r="67" customFormat="false" ht="12" hidden="false" customHeight="false" outlineLevel="0" collapsed="false">
      <c r="A67" s="162"/>
      <c r="B67" s="163"/>
      <c r="C67" s="147"/>
      <c r="D67" s="146"/>
      <c r="E67" s="147" t="s">
        <v>109</v>
      </c>
      <c r="F67" s="378" t="n">
        <v>13</v>
      </c>
      <c r="G67" s="149"/>
      <c r="H67" s="150"/>
      <c r="I67" s="147"/>
      <c r="J67" s="146"/>
      <c r="K67" s="147" t="s">
        <v>118</v>
      </c>
      <c r="L67" s="159" t="n">
        <v>0.31</v>
      </c>
    </row>
    <row r="68" customFormat="false" ht="12" hidden="false" customHeight="false" outlineLevel="0" collapsed="false">
      <c r="A68" s="162"/>
      <c r="B68" s="163"/>
      <c r="C68" s="147"/>
      <c r="D68" s="146"/>
      <c r="E68" s="147" t="s">
        <v>463</v>
      </c>
      <c r="F68" s="378" t="n">
        <v>20</v>
      </c>
      <c r="G68" s="149"/>
      <c r="H68" s="150"/>
      <c r="I68" s="147"/>
      <c r="J68" s="146"/>
      <c r="K68" s="147" t="s">
        <v>524</v>
      </c>
      <c r="L68" s="159" t="n">
        <v>8.7</v>
      </c>
    </row>
    <row r="69" customFormat="false" ht="12" hidden="false" customHeight="false" outlineLevel="0" collapsed="false">
      <c r="A69" s="162"/>
      <c r="B69" s="163"/>
      <c r="C69" s="147"/>
      <c r="D69" s="146"/>
      <c r="E69" s="147" t="s">
        <v>100</v>
      </c>
      <c r="F69" s="378" t="n">
        <v>2</v>
      </c>
      <c r="G69" s="149"/>
      <c r="H69" s="150"/>
      <c r="I69" s="147"/>
      <c r="J69" s="146"/>
      <c r="K69" s="147" t="s">
        <v>121</v>
      </c>
      <c r="L69" s="159" t="n">
        <v>10</v>
      </c>
    </row>
    <row r="70" customFormat="false" ht="12" hidden="false" customHeight="false" outlineLevel="0" collapsed="false">
      <c r="A70" s="162"/>
      <c r="B70" s="163"/>
      <c r="C70" s="147"/>
      <c r="D70" s="146"/>
      <c r="E70" s="147" t="s">
        <v>100</v>
      </c>
      <c r="F70" s="378" t="n">
        <v>5.7</v>
      </c>
      <c r="G70" s="149"/>
      <c r="H70" s="150"/>
      <c r="I70" s="147"/>
      <c r="J70" s="146"/>
      <c r="K70" s="147" t="s">
        <v>121</v>
      </c>
      <c r="L70" s="159" t="n">
        <v>7</v>
      </c>
    </row>
    <row r="71" customFormat="false" ht="12" hidden="false" customHeight="false" outlineLevel="0" collapsed="false">
      <c r="A71" s="162"/>
      <c r="B71" s="163"/>
      <c r="C71" s="147"/>
      <c r="D71" s="146"/>
      <c r="E71" s="147" t="s">
        <v>100</v>
      </c>
      <c r="F71" s="160" t="n">
        <v>2.7</v>
      </c>
      <c r="G71" s="149"/>
      <c r="H71" s="150"/>
      <c r="I71" s="147"/>
      <c r="J71" s="146"/>
      <c r="K71" s="147"/>
      <c r="L71" s="152"/>
    </row>
    <row r="72" customFormat="false" ht="12" hidden="false" customHeight="false" outlineLevel="0" collapsed="false">
      <c r="A72" s="162"/>
      <c r="B72" s="163"/>
      <c r="C72" s="147"/>
      <c r="D72" s="146"/>
      <c r="E72" s="371" t="s">
        <v>105</v>
      </c>
      <c r="F72" s="381" t="n">
        <v>0.25</v>
      </c>
      <c r="G72" s="149"/>
      <c r="H72" s="150"/>
      <c r="I72" s="147"/>
      <c r="J72" s="146"/>
      <c r="K72" s="147"/>
      <c r="L72" s="152"/>
    </row>
    <row r="73" customFormat="false" ht="12" hidden="false" customHeight="false" outlineLevel="0" collapsed="false">
      <c r="A73" s="162"/>
      <c r="B73" s="163"/>
      <c r="C73" s="147"/>
      <c r="D73" s="146"/>
      <c r="E73" s="371" t="s">
        <v>132</v>
      </c>
      <c r="F73" s="382" t="n">
        <v>10</v>
      </c>
      <c r="G73" s="149"/>
      <c r="H73" s="150"/>
      <c r="I73" s="147"/>
      <c r="J73" s="146"/>
      <c r="K73" s="147"/>
      <c r="L73" s="152"/>
    </row>
    <row r="74" customFormat="false" ht="12" hidden="false" customHeight="false" outlineLevel="0" collapsed="false">
      <c r="A74" s="162"/>
      <c r="B74" s="163"/>
      <c r="C74" s="147"/>
      <c r="D74" s="146"/>
      <c r="E74" s="371" t="s">
        <v>525</v>
      </c>
      <c r="F74" s="382" t="n">
        <v>5</v>
      </c>
      <c r="G74" s="149"/>
      <c r="H74" s="150"/>
      <c r="I74" s="147"/>
      <c r="J74" s="146"/>
      <c r="K74" s="147"/>
      <c r="L74" s="152"/>
    </row>
    <row r="75" customFormat="false" ht="12" hidden="false" customHeight="false" outlineLevel="0" collapsed="false">
      <c r="A75" s="162"/>
      <c r="B75" s="163"/>
      <c r="C75" s="147"/>
      <c r="D75" s="146"/>
      <c r="E75" s="375"/>
      <c r="F75" s="383"/>
      <c r="G75" s="149"/>
      <c r="H75" s="150"/>
      <c r="I75" s="147"/>
      <c r="J75" s="146"/>
      <c r="K75" s="147"/>
      <c r="L75" s="152"/>
    </row>
    <row r="76" customFormat="false" ht="12" hidden="false" customHeight="false" outlineLevel="0" collapsed="false">
      <c r="A76" s="162"/>
      <c r="B76" s="163"/>
      <c r="C76" s="164" t="s">
        <v>129</v>
      </c>
      <c r="D76" s="165"/>
      <c r="E76" s="166"/>
      <c r="F76" s="167"/>
      <c r="G76" s="149"/>
      <c r="H76" s="150"/>
      <c r="I76" s="164" t="s">
        <v>129</v>
      </c>
      <c r="J76" s="168"/>
      <c r="K76" s="169"/>
      <c r="L76" s="170"/>
    </row>
    <row r="77" customFormat="false" ht="12" hidden="false" customHeight="false" outlineLevel="0" collapsed="false">
      <c r="A77" s="162"/>
      <c r="B77" s="163"/>
      <c r="C77" s="147" t="s">
        <v>130</v>
      </c>
      <c r="D77" s="369" t="n">
        <v>18</v>
      </c>
      <c r="E77" s="160" t="s">
        <v>526</v>
      </c>
      <c r="F77" s="378" t="n">
        <v>15</v>
      </c>
      <c r="G77" s="171"/>
      <c r="H77" s="150"/>
      <c r="I77" s="147" t="s">
        <v>132</v>
      </c>
      <c r="J77" s="369" t="n">
        <v>8</v>
      </c>
      <c r="K77" s="343" t="s">
        <v>527</v>
      </c>
      <c r="L77" s="159" t="n">
        <v>15</v>
      </c>
    </row>
    <row r="78" customFormat="false" ht="12" hidden="false" customHeight="false" outlineLevel="0" collapsed="false">
      <c r="A78" s="162"/>
      <c r="B78" s="163"/>
      <c r="C78" s="147" t="s">
        <v>437</v>
      </c>
      <c r="D78" s="369" t="n">
        <v>5</v>
      </c>
      <c r="E78" s="160" t="s">
        <v>528</v>
      </c>
      <c r="F78" s="378" t="n">
        <v>5</v>
      </c>
      <c r="G78" s="149"/>
      <c r="H78" s="150"/>
      <c r="I78" s="147" t="s">
        <v>387</v>
      </c>
      <c r="J78" s="369" t="n">
        <v>10</v>
      </c>
      <c r="K78" s="147" t="s">
        <v>528</v>
      </c>
      <c r="L78" s="159" t="n">
        <v>5</v>
      </c>
    </row>
    <row r="79" customFormat="false" ht="12" hidden="false" customHeight="false" outlineLevel="0" collapsed="false">
      <c r="A79" s="162"/>
      <c r="B79" s="163"/>
      <c r="C79" s="147" t="s">
        <v>435</v>
      </c>
      <c r="D79" s="369" t="n">
        <v>5</v>
      </c>
      <c r="E79" s="147" t="s">
        <v>528</v>
      </c>
      <c r="F79" s="159" t="n">
        <v>5</v>
      </c>
      <c r="G79" s="145"/>
      <c r="H79" s="146"/>
      <c r="I79" s="147"/>
      <c r="J79" s="146"/>
      <c r="K79" s="147" t="s">
        <v>528</v>
      </c>
      <c r="L79" s="159" t="n">
        <v>5</v>
      </c>
    </row>
    <row r="80" customFormat="false" ht="12" hidden="false" customHeight="false" outlineLevel="0" collapsed="false">
      <c r="A80" s="162"/>
      <c r="B80" s="163"/>
      <c r="C80" s="147" t="s">
        <v>529</v>
      </c>
      <c r="D80" s="369" t="n">
        <v>35</v>
      </c>
      <c r="E80" s="147" t="s">
        <v>528</v>
      </c>
      <c r="F80" s="159" t="n">
        <v>5</v>
      </c>
      <c r="G80" s="145"/>
      <c r="H80" s="146"/>
      <c r="I80" s="147"/>
      <c r="J80" s="146"/>
      <c r="K80" s="147" t="s">
        <v>528</v>
      </c>
      <c r="L80" s="159" t="n">
        <v>5</v>
      </c>
    </row>
    <row r="81" customFormat="false" ht="12" hidden="false" customHeight="false" outlineLevel="0" collapsed="false">
      <c r="A81" s="379"/>
      <c r="B81" s="376"/>
      <c r="C81" s="155"/>
      <c r="D81" s="146"/>
      <c r="E81" s="147" t="s">
        <v>528</v>
      </c>
      <c r="F81" s="378" t="n">
        <v>5</v>
      </c>
      <c r="G81" s="145"/>
      <c r="H81" s="146"/>
      <c r="I81" s="155"/>
      <c r="J81" s="146"/>
      <c r="K81" s="343" t="s">
        <v>113</v>
      </c>
      <c r="L81" s="159" t="n">
        <v>10</v>
      </c>
      <c r="M81" s="384"/>
      <c r="N81" s="384"/>
      <c r="O81" s="384"/>
      <c r="P81" s="384"/>
      <c r="Q81" s="384"/>
      <c r="R81" s="384"/>
      <c r="S81" s="384"/>
      <c r="T81" s="384"/>
      <c r="U81" s="384"/>
      <c r="V81" s="384"/>
      <c r="W81" s="384"/>
      <c r="X81" s="384"/>
      <c r="Y81" s="384"/>
      <c r="Z81" s="384"/>
      <c r="AA81" s="384"/>
      <c r="AB81" s="384"/>
      <c r="AC81" s="384"/>
      <c r="AD81" s="384"/>
      <c r="AE81" s="384"/>
      <c r="AF81" s="384"/>
      <c r="AG81" s="384"/>
      <c r="AH81" s="384"/>
      <c r="AI81" s="384"/>
      <c r="AJ81" s="384"/>
      <c r="AK81" s="384"/>
      <c r="AL81" s="384"/>
      <c r="AM81" s="384"/>
      <c r="AN81" s="384"/>
      <c r="AO81" s="384"/>
      <c r="AP81" s="384"/>
      <c r="AQ81" s="384"/>
      <c r="AR81" s="384"/>
      <c r="AS81" s="384"/>
      <c r="AT81" s="384"/>
      <c r="AU81" s="384"/>
      <c r="AV81" s="384"/>
      <c r="AW81" s="384"/>
      <c r="AX81" s="384"/>
      <c r="AY81" s="384"/>
      <c r="AZ81" s="384"/>
      <c r="BA81" s="384"/>
      <c r="BB81" s="384"/>
      <c r="BC81" s="384"/>
      <c r="BD81" s="384"/>
      <c r="BE81" s="384"/>
      <c r="BF81" s="384"/>
      <c r="BG81" s="384"/>
      <c r="BH81" s="384"/>
      <c r="BI81" s="384"/>
      <c r="BJ81" s="384"/>
      <c r="BK81" s="384"/>
      <c r="BL81" s="384"/>
      <c r="BM81" s="384"/>
      <c r="BN81" s="384"/>
      <c r="BO81" s="384"/>
      <c r="BP81" s="384"/>
      <c r="BQ81" s="384"/>
      <c r="BR81" s="384"/>
      <c r="BS81" s="384"/>
      <c r="BT81" s="384"/>
      <c r="BU81" s="384"/>
      <c r="BV81" s="384"/>
      <c r="BW81" s="384"/>
      <c r="BX81" s="384"/>
      <c r="BY81" s="384"/>
      <c r="BZ81" s="384"/>
      <c r="CA81" s="384"/>
      <c r="CB81" s="384"/>
      <c r="CC81" s="384"/>
      <c r="CD81" s="384"/>
      <c r="CE81" s="384"/>
      <c r="CF81" s="384"/>
      <c r="CG81" s="384"/>
      <c r="CH81" s="384"/>
      <c r="CI81" s="384"/>
      <c r="CJ81" s="384"/>
      <c r="CK81" s="384"/>
      <c r="CL81" s="384"/>
      <c r="CM81" s="384"/>
      <c r="CN81" s="384"/>
      <c r="CO81" s="384"/>
      <c r="CP81" s="384"/>
      <c r="CQ81" s="384"/>
      <c r="CR81" s="384"/>
      <c r="CS81" s="384"/>
      <c r="CT81" s="384"/>
      <c r="CU81" s="384"/>
      <c r="CV81" s="384"/>
      <c r="CW81" s="384"/>
      <c r="CX81" s="384"/>
      <c r="CY81" s="384"/>
      <c r="CZ81" s="384"/>
      <c r="DA81" s="384"/>
      <c r="DB81" s="384"/>
      <c r="DC81" s="384"/>
      <c r="DD81" s="384"/>
      <c r="DE81" s="384"/>
      <c r="DF81" s="384"/>
      <c r="DG81" s="384"/>
      <c r="DH81" s="384"/>
      <c r="DI81" s="384"/>
      <c r="DJ81" s="384"/>
      <c r="DK81" s="384"/>
      <c r="DL81" s="384"/>
      <c r="DM81" s="384"/>
      <c r="DN81" s="384"/>
      <c r="DO81" s="384"/>
      <c r="DP81" s="384"/>
      <c r="DQ81" s="384"/>
      <c r="DR81" s="384"/>
      <c r="DS81" s="384"/>
      <c r="DT81" s="384"/>
      <c r="DU81" s="384"/>
      <c r="DV81" s="384"/>
      <c r="DW81" s="384"/>
      <c r="DX81" s="384"/>
      <c r="DY81" s="384"/>
      <c r="DZ81" s="384"/>
      <c r="EA81" s="384"/>
      <c r="EB81" s="384"/>
      <c r="EC81" s="384"/>
      <c r="ED81" s="384"/>
      <c r="EE81" s="384"/>
      <c r="EF81" s="384"/>
      <c r="EG81" s="384"/>
      <c r="EH81" s="384"/>
      <c r="EI81" s="384"/>
      <c r="EJ81" s="384"/>
      <c r="EK81" s="384"/>
      <c r="EL81" s="384"/>
      <c r="EM81" s="384"/>
      <c r="EN81" s="384"/>
      <c r="EO81" s="384"/>
      <c r="EP81" s="384"/>
      <c r="EQ81" s="384"/>
      <c r="ER81" s="384"/>
      <c r="ES81" s="384"/>
      <c r="ET81" s="384"/>
      <c r="EU81" s="384"/>
      <c r="EV81" s="384"/>
      <c r="EW81" s="384"/>
      <c r="EX81" s="384"/>
      <c r="EY81" s="384"/>
      <c r="EZ81" s="384"/>
      <c r="FA81" s="384"/>
      <c r="FB81" s="384"/>
      <c r="FC81" s="384"/>
      <c r="FD81" s="384"/>
      <c r="FE81" s="384"/>
      <c r="FF81" s="384"/>
      <c r="FG81" s="384"/>
      <c r="FH81" s="384"/>
      <c r="FI81" s="384"/>
      <c r="FJ81" s="384"/>
      <c r="FK81" s="384"/>
      <c r="FL81" s="384"/>
      <c r="FM81" s="384"/>
      <c r="FN81" s="384"/>
      <c r="FO81" s="384"/>
      <c r="FP81" s="384"/>
      <c r="FQ81" s="384"/>
      <c r="FR81" s="384"/>
      <c r="FS81" s="384"/>
      <c r="FT81" s="384"/>
      <c r="FU81" s="384"/>
      <c r="FV81" s="384"/>
      <c r="FW81" s="384"/>
      <c r="FX81" s="384"/>
      <c r="FY81" s="384"/>
      <c r="FZ81" s="384"/>
      <c r="GA81" s="384"/>
      <c r="GB81" s="384"/>
      <c r="GC81" s="384"/>
      <c r="GD81" s="384"/>
      <c r="GE81" s="384"/>
      <c r="GF81" s="384"/>
      <c r="GG81" s="384"/>
      <c r="GH81" s="384"/>
      <c r="GI81" s="384"/>
      <c r="GJ81" s="384"/>
      <c r="GK81" s="384"/>
      <c r="GL81" s="384"/>
      <c r="GM81" s="384"/>
      <c r="GN81" s="384"/>
      <c r="GO81" s="384"/>
      <c r="GP81" s="384"/>
      <c r="GQ81" s="384"/>
      <c r="GR81" s="384"/>
      <c r="GS81" s="384"/>
      <c r="GT81" s="384"/>
      <c r="GU81" s="384"/>
      <c r="GV81" s="384"/>
      <c r="GW81" s="384"/>
      <c r="GX81" s="384"/>
      <c r="GY81" s="384"/>
      <c r="GZ81" s="384"/>
      <c r="HA81" s="384"/>
      <c r="HB81" s="384"/>
      <c r="HC81" s="384"/>
      <c r="HD81" s="384"/>
      <c r="HE81" s="384"/>
      <c r="HF81" s="384"/>
      <c r="HG81" s="384"/>
      <c r="HH81" s="384"/>
      <c r="HI81" s="384"/>
      <c r="HJ81" s="384"/>
      <c r="HK81" s="384"/>
      <c r="HL81" s="384"/>
      <c r="HM81" s="384"/>
      <c r="HN81" s="384"/>
      <c r="HO81" s="384"/>
      <c r="HP81" s="384"/>
      <c r="HQ81" s="384"/>
      <c r="HR81" s="384"/>
      <c r="HS81" s="384"/>
      <c r="HT81" s="384"/>
      <c r="HU81" s="384"/>
      <c r="HV81" s="384"/>
      <c r="HW81" s="384"/>
      <c r="HX81" s="384"/>
      <c r="HY81" s="384"/>
      <c r="HZ81" s="384"/>
      <c r="IA81" s="384"/>
      <c r="IB81" s="384"/>
      <c r="IC81" s="384"/>
      <c r="ID81" s="384"/>
      <c r="IE81" s="384"/>
      <c r="IF81" s="384"/>
      <c r="IG81" s="384"/>
      <c r="IH81" s="384"/>
      <c r="II81" s="384"/>
      <c r="IJ81" s="384"/>
      <c r="IK81" s="384"/>
      <c r="IL81" s="384"/>
      <c r="IM81" s="384"/>
      <c r="IN81" s="384"/>
      <c r="IO81" s="384"/>
      <c r="IP81" s="384"/>
      <c r="IQ81" s="384"/>
      <c r="IR81" s="384"/>
      <c r="IS81" s="384"/>
      <c r="IT81" s="384"/>
      <c r="IU81" s="384"/>
      <c r="IV81" s="384"/>
      <c r="IW81" s="384"/>
    </row>
    <row r="82" customFormat="false" ht="12" hidden="false" customHeight="false" outlineLevel="0" collapsed="false">
      <c r="A82" s="162"/>
      <c r="B82" s="163"/>
      <c r="C82" s="147"/>
      <c r="D82" s="146"/>
      <c r="E82" s="147" t="s">
        <v>528</v>
      </c>
      <c r="F82" s="159" t="n">
        <v>5</v>
      </c>
      <c r="G82" s="145"/>
      <c r="H82" s="146"/>
      <c r="I82" s="147"/>
      <c r="J82" s="146"/>
      <c r="K82" s="147" t="s">
        <v>113</v>
      </c>
      <c r="L82" s="159" t="n">
        <v>10</v>
      </c>
    </row>
    <row r="83" customFormat="false" ht="12" hidden="false" customHeight="false" outlineLevel="0" collapsed="false">
      <c r="A83" s="162"/>
      <c r="B83" s="163"/>
      <c r="C83" s="147"/>
      <c r="D83" s="146"/>
      <c r="E83" s="147" t="s">
        <v>528</v>
      </c>
      <c r="F83" s="159" t="n">
        <v>5</v>
      </c>
      <c r="G83" s="145"/>
      <c r="H83" s="146"/>
      <c r="I83" s="147"/>
      <c r="J83" s="146"/>
      <c r="K83" s="343" t="s">
        <v>132</v>
      </c>
      <c r="L83" s="159" t="n">
        <v>15</v>
      </c>
    </row>
    <row r="84" customFormat="false" ht="12" hidden="false" customHeight="false" outlineLevel="0" collapsed="false">
      <c r="A84" s="162"/>
      <c r="B84" s="163"/>
      <c r="C84" s="147"/>
      <c r="D84" s="146"/>
      <c r="E84" s="147" t="s">
        <v>528</v>
      </c>
      <c r="F84" s="159" t="n">
        <v>5</v>
      </c>
      <c r="G84" s="145"/>
      <c r="H84" s="146"/>
      <c r="I84" s="147"/>
      <c r="J84" s="146"/>
      <c r="K84" s="343" t="s">
        <v>135</v>
      </c>
      <c r="L84" s="159" t="n">
        <v>20.65</v>
      </c>
    </row>
    <row r="85" customFormat="false" ht="12" hidden="false" customHeight="false" outlineLevel="0" collapsed="false">
      <c r="A85" s="162"/>
      <c r="B85" s="163"/>
      <c r="C85" s="147"/>
      <c r="D85" s="146"/>
      <c r="E85" s="147" t="s">
        <v>528</v>
      </c>
      <c r="F85" s="159" t="n">
        <v>5</v>
      </c>
      <c r="G85" s="145"/>
      <c r="H85" s="146"/>
      <c r="I85" s="147"/>
      <c r="J85" s="146"/>
      <c r="K85" s="155" t="s">
        <v>95</v>
      </c>
      <c r="L85" s="152" t="n">
        <v>10</v>
      </c>
    </row>
    <row r="86" customFormat="false" ht="12" hidden="false" customHeight="false" outlineLevel="0" collapsed="false">
      <c r="A86" s="162"/>
      <c r="B86" s="163"/>
      <c r="C86" s="147"/>
      <c r="D86" s="146"/>
      <c r="E86" s="147" t="s">
        <v>528</v>
      </c>
      <c r="F86" s="159" t="n">
        <v>5</v>
      </c>
      <c r="G86" s="145"/>
      <c r="H86" s="146"/>
      <c r="I86" s="147"/>
      <c r="J86" s="146"/>
      <c r="K86" s="343" t="s">
        <v>530</v>
      </c>
      <c r="L86" s="159" t="n">
        <v>5</v>
      </c>
    </row>
    <row r="87" customFormat="false" ht="12" hidden="false" customHeight="false" outlineLevel="0" collapsed="false">
      <c r="A87" s="162"/>
      <c r="B87" s="163"/>
      <c r="C87" s="147"/>
      <c r="D87" s="146"/>
      <c r="E87" s="147" t="s">
        <v>528</v>
      </c>
      <c r="F87" s="159" t="n">
        <v>5</v>
      </c>
      <c r="G87" s="145"/>
      <c r="H87" s="146"/>
      <c r="I87" s="147"/>
      <c r="J87" s="146"/>
      <c r="K87" s="147" t="s">
        <v>530</v>
      </c>
      <c r="L87" s="159" t="n">
        <v>5</v>
      </c>
    </row>
    <row r="88" customFormat="false" ht="12" hidden="false" customHeight="false" outlineLevel="0" collapsed="false">
      <c r="A88" s="162"/>
      <c r="B88" s="163"/>
      <c r="C88" s="147"/>
      <c r="D88" s="146"/>
      <c r="E88" s="147" t="s">
        <v>531</v>
      </c>
      <c r="F88" s="159" t="n">
        <v>5</v>
      </c>
      <c r="G88" s="145"/>
      <c r="H88" s="146"/>
      <c r="I88" s="147"/>
      <c r="J88" s="146"/>
      <c r="K88" s="147" t="s">
        <v>405</v>
      </c>
      <c r="L88" s="159" t="n">
        <v>1.4</v>
      </c>
    </row>
    <row r="89" customFormat="false" ht="12" hidden="false" customHeight="false" outlineLevel="0" collapsed="false">
      <c r="A89" s="162"/>
      <c r="B89" s="163"/>
      <c r="C89" s="147"/>
      <c r="D89" s="146"/>
      <c r="E89" s="147" t="s">
        <v>434</v>
      </c>
      <c r="F89" s="159" t="n">
        <v>5</v>
      </c>
      <c r="G89" s="145"/>
      <c r="H89" s="146"/>
      <c r="I89" s="147"/>
      <c r="J89" s="146"/>
      <c r="K89" s="147" t="s">
        <v>532</v>
      </c>
      <c r="L89" s="159" t="n">
        <v>5</v>
      </c>
    </row>
    <row r="90" customFormat="false" ht="12" hidden="false" customHeight="false" outlineLevel="0" collapsed="false">
      <c r="A90" s="162"/>
      <c r="B90" s="163"/>
      <c r="C90" s="147"/>
      <c r="D90" s="146"/>
      <c r="E90" s="147" t="s">
        <v>462</v>
      </c>
      <c r="F90" s="159" t="n">
        <v>5</v>
      </c>
      <c r="G90" s="145"/>
      <c r="H90" s="146"/>
      <c r="I90" s="147"/>
      <c r="J90" s="146"/>
      <c r="K90" s="147" t="s">
        <v>533</v>
      </c>
      <c r="L90" s="159" t="n">
        <v>5</v>
      </c>
    </row>
    <row r="91" customFormat="false" ht="12" hidden="false" customHeight="false" outlineLevel="0" collapsed="false">
      <c r="A91" s="385"/>
      <c r="B91" s="341"/>
      <c r="C91" s="155"/>
      <c r="D91" s="146"/>
      <c r="E91" s="147" t="s">
        <v>534</v>
      </c>
      <c r="F91" s="378" t="n">
        <v>10</v>
      </c>
      <c r="G91" s="145"/>
      <c r="H91" s="146"/>
      <c r="I91" s="155"/>
      <c r="J91" s="146"/>
      <c r="K91" s="155"/>
      <c r="L91" s="152"/>
      <c r="M91" s="295"/>
      <c r="N91" s="295"/>
      <c r="O91" s="295"/>
      <c r="P91" s="295"/>
      <c r="Q91" s="295"/>
      <c r="R91" s="295"/>
      <c r="S91" s="295"/>
      <c r="T91" s="295"/>
      <c r="U91" s="295"/>
      <c r="V91" s="295"/>
      <c r="W91" s="295"/>
      <c r="X91" s="295"/>
      <c r="Y91" s="295"/>
      <c r="Z91" s="295"/>
      <c r="AA91" s="295"/>
      <c r="AB91" s="295"/>
      <c r="AC91" s="295"/>
      <c r="AD91" s="295"/>
      <c r="AE91" s="295"/>
      <c r="AF91" s="295"/>
      <c r="AG91" s="295"/>
      <c r="AH91" s="295"/>
      <c r="AI91" s="295"/>
      <c r="AJ91" s="295"/>
      <c r="AK91" s="295"/>
      <c r="AL91" s="295"/>
      <c r="AM91" s="295"/>
      <c r="AN91" s="295"/>
      <c r="AO91" s="295"/>
      <c r="AP91" s="295"/>
      <c r="AQ91" s="295"/>
      <c r="AR91" s="295"/>
      <c r="AS91" s="295"/>
      <c r="AT91" s="295"/>
      <c r="AU91" s="295"/>
      <c r="AV91" s="295"/>
      <c r="AW91" s="295"/>
      <c r="AX91" s="295"/>
      <c r="AY91" s="295"/>
      <c r="AZ91" s="295"/>
      <c r="BA91" s="295"/>
      <c r="BB91" s="295"/>
      <c r="BC91" s="295"/>
      <c r="BD91" s="295"/>
      <c r="BE91" s="295"/>
      <c r="BF91" s="295"/>
      <c r="BG91" s="295"/>
      <c r="BH91" s="295"/>
      <c r="BI91" s="295"/>
      <c r="BJ91" s="295"/>
      <c r="BK91" s="295"/>
      <c r="BL91" s="295"/>
      <c r="BM91" s="295"/>
      <c r="BN91" s="295"/>
      <c r="BO91" s="295"/>
      <c r="BP91" s="295"/>
      <c r="BQ91" s="295"/>
      <c r="BR91" s="295"/>
      <c r="BS91" s="295"/>
      <c r="BT91" s="295"/>
      <c r="BU91" s="295"/>
      <c r="BV91" s="295"/>
      <c r="BW91" s="295"/>
      <c r="BX91" s="295"/>
      <c r="BY91" s="295"/>
      <c r="BZ91" s="295"/>
      <c r="CA91" s="295"/>
      <c r="CB91" s="295"/>
      <c r="CC91" s="295"/>
      <c r="CD91" s="295"/>
      <c r="CE91" s="295"/>
      <c r="CF91" s="295"/>
      <c r="CG91" s="295"/>
      <c r="CH91" s="295"/>
      <c r="CI91" s="295"/>
      <c r="CJ91" s="295"/>
      <c r="CK91" s="295"/>
      <c r="CL91" s="295"/>
      <c r="CM91" s="295"/>
      <c r="CN91" s="295"/>
      <c r="CO91" s="295"/>
      <c r="CP91" s="295"/>
      <c r="CQ91" s="295"/>
      <c r="CR91" s="295"/>
      <c r="CS91" s="295"/>
      <c r="CT91" s="295"/>
      <c r="CU91" s="295"/>
      <c r="CV91" s="295"/>
      <c r="CW91" s="295"/>
      <c r="CX91" s="295"/>
      <c r="CY91" s="295"/>
      <c r="CZ91" s="295"/>
      <c r="DA91" s="295"/>
      <c r="DB91" s="295"/>
      <c r="DC91" s="295"/>
      <c r="DD91" s="295"/>
      <c r="DE91" s="295"/>
      <c r="DF91" s="295"/>
      <c r="DG91" s="295"/>
      <c r="DH91" s="295"/>
      <c r="DI91" s="295"/>
      <c r="DJ91" s="295"/>
      <c r="DK91" s="295"/>
      <c r="DL91" s="295"/>
      <c r="DM91" s="295"/>
      <c r="DN91" s="295"/>
      <c r="DO91" s="295"/>
      <c r="DP91" s="295"/>
      <c r="DQ91" s="295"/>
      <c r="DR91" s="295"/>
      <c r="DS91" s="295"/>
      <c r="DT91" s="295"/>
      <c r="DU91" s="295"/>
      <c r="DV91" s="295"/>
      <c r="DW91" s="295"/>
      <c r="DX91" s="295"/>
      <c r="DY91" s="295"/>
      <c r="DZ91" s="295"/>
      <c r="EA91" s="295"/>
      <c r="EB91" s="295"/>
      <c r="EC91" s="295"/>
      <c r="ED91" s="295"/>
      <c r="EE91" s="295"/>
      <c r="EF91" s="295"/>
      <c r="EG91" s="295"/>
      <c r="EH91" s="295"/>
      <c r="EI91" s="295"/>
      <c r="EJ91" s="295"/>
      <c r="EK91" s="295"/>
      <c r="EL91" s="295"/>
      <c r="EM91" s="295"/>
      <c r="EN91" s="295"/>
      <c r="EO91" s="295"/>
      <c r="EP91" s="295"/>
      <c r="EQ91" s="295"/>
      <c r="ER91" s="295"/>
      <c r="ES91" s="295"/>
      <c r="ET91" s="295"/>
      <c r="EU91" s="295"/>
      <c r="EV91" s="295"/>
      <c r="EW91" s="295"/>
      <c r="EX91" s="295"/>
      <c r="EY91" s="295"/>
      <c r="EZ91" s="295"/>
      <c r="FA91" s="295"/>
      <c r="FB91" s="295"/>
      <c r="FC91" s="295"/>
      <c r="FD91" s="295"/>
      <c r="FE91" s="295"/>
      <c r="FF91" s="295"/>
      <c r="FG91" s="295"/>
      <c r="FH91" s="295"/>
      <c r="FI91" s="295"/>
      <c r="FJ91" s="295"/>
      <c r="FK91" s="295"/>
      <c r="FL91" s="295"/>
      <c r="FM91" s="295"/>
      <c r="FN91" s="295"/>
      <c r="FO91" s="295"/>
      <c r="FP91" s="295"/>
      <c r="FQ91" s="295"/>
      <c r="FR91" s="295"/>
      <c r="FS91" s="295"/>
      <c r="FT91" s="295"/>
      <c r="FU91" s="295"/>
      <c r="FV91" s="295"/>
      <c r="FW91" s="295"/>
      <c r="FX91" s="295"/>
      <c r="FY91" s="295"/>
      <c r="FZ91" s="295"/>
      <c r="GA91" s="295"/>
      <c r="GB91" s="295"/>
      <c r="GC91" s="295"/>
      <c r="GD91" s="295"/>
      <c r="GE91" s="295"/>
      <c r="GF91" s="295"/>
      <c r="GG91" s="295"/>
      <c r="GH91" s="295"/>
      <c r="GI91" s="295"/>
      <c r="GJ91" s="295"/>
      <c r="GK91" s="295"/>
      <c r="GL91" s="295"/>
      <c r="GM91" s="295"/>
      <c r="GN91" s="295"/>
      <c r="GO91" s="295"/>
      <c r="GP91" s="295"/>
      <c r="GQ91" s="295"/>
      <c r="GR91" s="295"/>
      <c r="GS91" s="295"/>
      <c r="GT91" s="295"/>
      <c r="GU91" s="295"/>
      <c r="GV91" s="295"/>
      <c r="GW91" s="295"/>
      <c r="GX91" s="295"/>
      <c r="GY91" s="295"/>
      <c r="GZ91" s="295"/>
      <c r="HA91" s="295"/>
      <c r="HB91" s="295"/>
      <c r="HC91" s="295"/>
      <c r="HD91" s="295"/>
      <c r="HE91" s="295"/>
      <c r="HF91" s="295"/>
      <c r="HG91" s="295"/>
      <c r="HH91" s="295"/>
      <c r="HI91" s="295"/>
      <c r="HJ91" s="295"/>
      <c r="HK91" s="295"/>
      <c r="HL91" s="295"/>
      <c r="HM91" s="295"/>
      <c r="HN91" s="295"/>
      <c r="HO91" s="295"/>
      <c r="HP91" s="295"/>
      <c r="HQ91" s="295"/>
      <c r="HR91" s="295"/>
      <c r="HS91" s="295"/>
      <c r="HT91" s="295"/>
      <c r="HU91" s="295"/>
      <c r="HV91" s="295"/>
      <c r="HW91" s="295"/>
      <c r="HX91" s="295"/>
      <c r="HY91" s="295"/>
      <c r="HZ91" s="295"/>
      <c r="IA91" s="295"/>
      <c r="IB91" s="295"/>
      <c r="IC91" s="295"/>
      <c r="ID91" s="295"/>
      <c r="IE91" s="295"/>
      <c r="IF91" s="295"/>
      <c r="IG91" s="295"/>
      <c r="IH91" s="295"/>
      <c r="II91" s="295"/>
      <c r="IJ91" s="295"/>
      <c r="IK91" s="295"/>
      <c r="IL91" s="295"/>
      <c r="IM91" s="295"/>
      <c r="IN91" s="295"/>
      <c r="IO91" s="295"/>
      <c r="IP91" s="295"/>
      <c r="IQ91" s="295"/>
      <c r="IR91" s="295"/>
      <c r="IS91" s="295"/>
      <c r="IT91" s="295"/>
      <c r="IU91" s="295"/>
      <c r="IV91" s="295"/>
      <c r="IW91" s="295"/>
    </row>
    <row r="92" customFormat="false" ht="12" hidden="false" customHeight="false" outlineLevel="0" collapsed="false">
      <c r="A92" s="162"/>
      <c r="B92" s="163"/>
      <c r="C92" s="147"/>
      <c r="D92" s="146"/>
      <c r="E92" s="147" t="s">
        <v>535</v>
      </c>
      <c r="F92" s="159" t="n">
        <v>5</v>
      </c>
      <c r="G92" s="145"/>
      <c r="H92" s="146"/>
      <c r="I92" s="147"/>
      <c r="J92" s="146"/>
      <c r="K92" s="147"/>
      <c r="L92" s="152"/>
    </row>
    <row r="93" customFormat="false" ht="12" hidden="false" customHeight="false" outlineLevel="0" collapsed="false">
      <c r="A93" s="162"/>
      <c r="B93" s="163"/>
      <c r="C93" s="147"/>
      <c r="D93" s="146"/>
      <c r="E93" s="147" t="s">
        <v>535</v>
      </c>
      <c r="F93" s="159" t="n">
        <v>5</v>
      </c>
      <c r="G93" s="145"/>
      <c r="H93" s="146"/>
      <c r="I93" s="147"/>
      <c r="J93" s="146"/>
      <c r="K93" s="147"/>
      <c r="L93" s="152"/>
    </row>
    <row r="94" customFormat="false" ht="12" hidden="false" customHeight="false" outlineLevel="0" collapsed="false">
      <c r="A94" s="162"/>
      <c r="B94" s="163"/>
      <c r="C94" s="147"/>
      <c r="D94" s="146"/>
      <c r="E94" s="147" t="s">
        <v>535</v>
      </c>
      <c r="F94" s="159" t="n">
        <v>5</v>
      </c>
      <c r="G94" s="145"/>
      <c r="H94" s="146"/>
      <c r="I94" s="147"/>
      <c r="J94" s="146"/>
      <c r="K94" s="147"/>
      <c r="L94" s="152"/>
    </row>
    <row r="95" customFormat="false" ht="12" hidden="false" customHeight="false" outlineLevel="0" collapsed="false">
      <c r="A95" s="162"/>
      <c r="B95" s="163"/>
      <c r="C95" s="147"/>
      <c r="D95" s="146"/>
      <c r="E95" s="147" t="s">
        <v>535</v>
      </c>
      <c r="F95" s="159" t="n">
        <v>5</v>
      </c>
      <c r="G95" s="145"/>
      <c r="H95" s="146"/>
      <c r="I95" s="147"/>
      <c r="J95" s="146"/>
      <c r="K95" s="147"/>
      <c r="L95" s="152"/>
    </row>
    <row r="96" customFormat="false" ht="12" hidden="false" customHeight="false" outlineLevel="0" collapsed="false">
      <c r="A96" s="162"/>
      <c r="B96" s="163"/>
      <c r="C96" s="147"/>
      <c r="D96" s="146"/>
      <c r="E96" s="147" t="s">
        <v>535</v>
      </c>
      <c r="F96" s="159" t="n">
        <v>5</v>
      </c>
      <c r="G96" s="145"/>
      <c r="H96" s="146"/>
      <c r="I96" s="147"/>
      <c r="J96" s="146"/>
      <c r="K96" s="343"/>
      <c r="L96" s="152"/>
    </row>
    <row r="97" customFormat="false" ht="12" hidden="false" customHeight="false" outlineLevel="0" collapsed="false">
      <c r="A97" s="162"/>
      <c r="B97" s="163"/>
      <c r="C97" s="147"/>
      <c r="D97" s="146"/>
      <c r="E97" s="147" t="s">
        <v>536</v>
      </c>
      <c r="F97" s="159" t="n">
        <v>5</v>
      </c>
      <c r="G97" s="145"/>
      <c r="H97" s="146"/>
      <c r="I97" s="147"/>
      <c r="J97" s="146"/>
      <c r="K97" s="343"/>
      <c r="L97" s="152"/>
    </row>
    <row r="98" customFormat="false" ht="12" hidden="false" customHeight="false" outlineLevel="0" collapsed="false">
      <c r="A98" s="162"/>
      <c r="B98" s="163"/>
      <c r="C98" s="147"/>
      <c r="D98" s="146"/>
      <c r="E98" s="147" t="s">
        <v>537</v>
      </c>
      <c r="F98" s="159" t="n">
        <v>5</v>
      </c>
      <c r="G98" s="145"/>
      <c r="H98" s="146"/>
      <c r="I98" s="147"/>
      <c r="J98" s="146"/>
      <c r="K98" s="343"/>
      <c r="L98" s="152"/>
    </row>
    <row r="99" customFormat="false" ht="12.75" hidden="false" customHeight="false" outlineLevel="0" collapsed="false">
      <c r="A99" s="162"/>
      <c r="B99" s="163"/>
      <c r="C99" s="147"/>
      <c r="D99" s="146"/>
      <c r="E99" s="386"/>
      <c r="F99" s="387"/>
      <c r="G99" s="145"/>
      <c r="H99" s="146"/>
      <c r="I99" s="147"/>
      <c r="J99" s="146"/>
      <c r="K99" s="343"/>
      <c r="L99" s="152"/>
    </row>
    <row r="100" customFormat="false" ht="12.75" hidden="false" customHeight="false" outlineLevel="0" collapsed="false">
      <c r="A100" s="162"/>
      <c r="B100" s="163"/>
      <c r="C100" s="147"/>
      <c r="D100" s="146"/>
      <c r="E100" s="386"/>
      <c r="F100" s="387"/>
      <c r="G100" s="145"/>
      <c r="H100" s="146"/>
      <c r="I100" s="147"/>
      <c r="J100" s="146"/>
      <c r="K100" s="343"/>
      <c r="L100" s="152"/>
    </row>
    <row r="101" customFormat="false" ht="12" hidden="false" customHeight="false" outlineLevel="0" collapsed="false">
      <c r="A101" s="162"/>
      <c r="B101" s="163"/>
      <c r="C101" s="147"/>
      <c r="D101" s="146"/>
      <c r="E101" s="147"/>
      <c r="F101" s="152"/>
      <c r="G101" s="145"/>
      <c r="H101" s="146"/>
      <c r="I101" s="147"/>
      <c r="J101" s="146"/>
      <c r="K101" s="343"/>
      <c r="L101" s="152"/>
    </row>
    <row r="102" customFormat="false" ht="12" hidden="false" customHeight="false" outlineLevel="0" collapsed="false">
      <c r="A102" s="173"/>
      <c r="B102" s="174"/>
      <c r="C102" s="388"/>
      <c r="D102" s="389"/>
      <c r="E102" s="176"/>
      <c r="F102" s="177"/>
      <c r="G102" s="390"/>
      <c r="H102" s="389"/>
      <c r="I102" s="388"/>
      <c r="J102" s="391"/>
      <c r="K102" s="178"/>
      <c r="L102" s="179"/>
    </row>
    <row r="103" customFormat="false" ht="12" hidden="false" customHeight="false" outlineLevel="0" collapsed="false">
      <c r="A103" s="180" t="s">
        <v>137</v>
      </c>
      <c r="B103" s="181" t="n">
        <f aca="false">SUM(B47:B102)</f>
        <v>5.617</v>
      </c>
      <c r="C103" s="182" t="s">
        <v>137</v>
      </c>
      <c r="D103" s="181" t="n">
        <f aca="false">SUM(D47:D102)</f>
        <v>155</v>
      </c>
      <c r="E103" s="182" t="s">
        <v>137</v>
      </c>
      <c r="F103" s="183" t="n">
        <f aca="false">SUM(F47:F102)</f>
        <v>376.65</v>
      </c>
      <c r="G103" s="180"/>
      <c r="H103" s="181"/>
      <c r="I103" s="182" t="s">
        <v>137</v>
      </c>
      <c r="J103" s="184" t="n">
        <f aca="false">SUM(J47:J102)</f>
        <v>271.238</v>
      </c>
      <c r="K103" s="182" t="s">
        <v>137</v>
      </c>
      <c r="L103" s="185" t="n">
        <f aca="false">SUM(L47:L102)</f>
        <v>392.582</v>
      </c>
    </row>
    <row r="104" customFormat="false" ht="12.75" hidden="false" customHeight="false" outlineLevel="0" collapsed="false">
      <c r="A104" s="186"/>
      <c r="B104" s="187"/>
      <c r="C104" s="188"/>
      <c r="D104" s="187"/>
      <c r="E104" s="189" t="s">
        <v>138</v>
      </c>
      <c r="F104" s="190" t="n">
        <f aca="false">+B103+F103+D103</f>
        <v>537.267</v>
      </c>
      <c r="G104" s="186"/>
      <c r="H104" s="187"/>
      <c r="I104" s="188"/>
      <c r="J104" s="187"/>
      <c r="K104" s="189" t="s">
        <v>138</v>
      </c>
      <c r="L104" s="190" t="n">
        <f aca="false">J103+L103</f>
        <v>663.82</v>
      </c>
    </row>
    <row r="105" customFormat="false" ht="12.75" hidden="false" customHeight="false" outlineLevel="0" collapsed="false">
      <c r="G105" s="191"/>
      <c r="H105" s="0"/>
    </row>
    <row r="106" customFormat="false" ht="12.75" hidden="false" customHeight="false" outlineLevel="0" collapsed="false">
      <c r="A106" s="1" t="s">
        <v>499</v>
      </c>
      <c r="H106" s="0"/>
    </row>
    <row r="107" customFormat="false" ht="12.75" hidden="false" customHeight="false" outlineLevel="0" collapsed="false">
      <c r="G107" s="295"/>
      <c r="H107" s="0"/>
    </row>
    <row r="108" customFormat="false" ht="12.75" hidden="true" customHeight="false" outlineLevel="0" collapsed="false">
      <c r="E108" s="0"/>
      <c r="G108" s="1" t="s">
        <v>139</v>
      </c>
      <c r="H108" s="0"/>
    </row>
    <row r="109" customFormat="false" ht="24" hidden="true" customHeight="false" outlineLevel="0" collapsed="false">
      <c r="A109" s="192" t="s">
        <v>140</v>
      </c>
      <c r="B109" s="192" t="s">
        <v>141</v>
      </c>
      <c r="C109" s="192" t="s">
        <v>142</v>
      </c>
      <c r="D109" s="192" t="s">
        <v>143</v>
      </c>
      <c r="E109" s="192" t="s">
        <v>144</v>
      </c>
      <c r="F109" s="192" t="s">
        <v>145</v>
      </c>
      <c r="G109" s="1" t="n">
        <v>1.65</v>
      </c>
      <c r="H109" s="0"/>
    </row>
    <row r="110" customFormat="false" ht="12.75" hidden="true" customHeight="false" outlineLevel="0" collapsed="false">
      <c r="A110" s="0" t="s">
        <v>146</v>
      </c>
      <c r="B110" s="0" t="s">
        <v>147</v>
      </c>
      <c r="C110" s="0" t="n">
        <v>10</v>
      </c>
      <c r="D110" s="0" t="n">
        <v>95</v>
      </c>
      <c r="E110" s="0" t="n">
        <v>0.09</v>
      </c>
      <c r="F110" s="0" t="n">
        <f aca="false">+$G$109*(E110/100)</f>
        <v>0.001485</v>
      </c>
      <c r="G110" s="0"/>
      <c r="H110" s="0"/>
      <c r="I110" s="0"/>
      <c r="J110" s="0"/>
      <c r="K110" s="0"/>
      <c r="L110" s="0"/>
      <c r="M110" s="0"/>
      <c r="N110" s="0"/>
      <c r="O110" s="0"/>
    </row>
    <row r="111" customFormat="false" ht="12.75" hidden="true" customHeight="false" outlineLevel="0" collapsed="false">
      <c r="A111" s="0"/>
      <c r="B111" s="0" t="s">
        <v>148</v>
      </c>
      <c r="C111" s="0" t="n">
        <v>42</v>
      </c>
      <c r="D111" s="0" t="n">
        <v>65</v>
      </c>
      <c r="E111" s="0" t="n">
        <v>0.27</v>
      </c>
      <c r="F111" s="0" t="n">
        <f aca="false">+$G$109*(E111/100)</f>
        <v>0.004455</v>
      </c>
      <c r="G111" s="0"/>
      <c r="H111" s="0"/>
      <c r="I111" s="0"/>
      <c r="J111" s="0"/>
      <c r="K111" s="0"/>
      <c r="L111" s="0"/>
      <c r="M111" s="0"/>
      <c r="N111" s="0"/>
      <c r="O111" s="0"/>
    </row>
    <row r="112" customFormat="false" ht="12.75" hidden="true" customHeight="false" outlineLevel="0" collapsed="false">
      <c r="A112" s="0"/>
      <c r="B112" s="0" t="s">
        <v>149</v>
      </c>
      <c r="C112" s="0" t="n">
        <v>89</v>
      </c>
      <c r="D112" s="0" t="n">
        <v>43.87</v>
      </c>
      <c r="E112" s="0" t="n">
        <v>0.39</v>
      </c>
      <c r="F112" s="0" t="n">
        <f aca="false">+$G$109*(E112/100)</f>
        <v>0.006435</v>
      </c>
      <c r="G112" s="0"/>
      <c r="H112" s="0"/>
      <c r="I112" s="0"/>
      <c r="J112" s="0"/>
      <c r="K112" s="0"/>
      <c r="L112" s="0"/>
      <c r="M112" s="0"/>
      <c r="N112" s="0"/>
      <c r="O112" s="0"/>
    </row>
    <row r="113" customFormat="false" ht="12.75" hidden="true" customHeight="false" outlineLevel="0" collapsed="false">
      <c r="A113" s="0"/>
      <c r="B113" s="0" t="s">
        <v>150</v>
      </c>
      <c r="C113" s="0" t="n">
        <v>2.44</v>
      </c>
      <c r="D113" s="0" t="n">
        <v>1.05</v>
      </c>
      <c r="E113" s="0" t="n">
        <v>0.03</v>
      </c>
      <c r="F113" s="0" t="n">
        <f aca="false">+$G$109*(E113/100)</f>
        <v>0.000495</v>
      </c>
      <c r="G113" s="0"/>
      <c r="H113" s="0"/>
      <c r="I113" s="0"/>
      <c r="J113" s="0"/>
      <c r="K113" s="0"/>
      <c r="L113" s="0"/>
      <c r="M113" s="0"/>
      <c r="N113" s="0"/>
      <c r="O113" s="0"/>
    </row>
    <row r="114" customFormat="false" ht="12.75" hidden="true" customHeight="false" outlineLevel="0" collapsed="false">
      <c r="A114" s="0"/>
      <c r="B114" s="0"/>
      <c r="C114" s="0"/>
      <c r="D114" s="0"/>
      <c r="E114" s="193" t="s">
        <v>138</v>
      </c>
      <c r="F114" s="0" t="n">
        <f aca="false">SUM(F110:F113)</f>
        <v>0.01287</v>
      </c>
      <c r="G114" s="0"/>
      <c r="H114" s="0"/>
      <c r="I114" s="0"/>
      <c r="J114" s="0"/>
      <c r="K114" s="0"/>
      <c r="L114" s="0"/>
      <c r="M114" s="0"/>
      <c r="N114" s="0"/>
      <c r="O114" s="0"/>
    </row>
    <row r="115" customFormat="false" ht="12.75" hidden="true" customHeight="false" outlineLevel="0" collapsed="false">
      <c r="A115" s="0"/>
      <c r="B115" s="0"/>
      <c r="C115" s="0"/>
      <c r="D115" s="0"/>
      <c r="E115" s="193"/>
      <c r="F115" s="0"/>
      <c r="G115" s="0"/>
      <c r="H115" s="0"/>
      <c r="I115" s="0"/>
      <c r="J115" s="0"/>
      <c r="K115" s="0"/>
      <c r="L115" s="0"/>
      <c r="M115" s="0"/>
      <c r="N115" s="0"/>
      <c r="O115" s="0"/>
    </row>
    <row r="116" customFormat="false" ht="12.75" hidden="true" customHeight="false" outlineLevel="0" collapsed="false">
      <c r="A116" s="0" t="s">
        <v>151</v>
      </c>
      <c r="B116" s="0" t="s">
        <v>152</v>
      </c>
      <c r="C116" s="194" t="n">
        <v>0.27</v>
      </c>
      <c r="D116" s="194" t="n">
        <v>96.33</v>
      </c>
      <c r="E116" s="194" t="n">
        <v>0.26</v>
      </c>
      <c r="F116" s="194" t="n">
        <f aca="false">+$G$109*(E116/100)</f>
        <v>0.00429</v>
      </c>
      <c r="G116" s="0"/>
      <c r="H116" s="0"/>
      <c r="I116" s="0"/>
      <c r="J116" s="0"/>
      <c r="K116" s="0"/>
      <c r="L116" s="0"/>
      <c r="M116" s="0"/>
      <c r="N116" s="0"/>
      <c r="O116" s="0"/>
    </row>
    <row r="117" customFormat="false" ht="12.75" hidden="true" customHeight="false" outlineLevel="0" collapsed="false">
      <c r="A117" s="0"/>
      <c r="B117" s="0" t="s">
        <v>153</v>
      </c>
      <c r="C117" s="194" t="n">
        <v>0.36</v>
      </c>
      <c r="D117" s="194" t="n">
        <v>85.77</v>
      </c>
      <c r="E117" s="194" t="n">
        <v>0.31</v>
      </c>
      <c r="F117" s="194" t="n">
        <f aca="false">+$G$109*(E117/100)</f>
        <v>0.005115</v>
      </c>
      <c r="G117" s="0"/>
      <c r="H117" s="0"/>
      <c r="I117" s="0"/>
      <c r="J117" s="0"/>
      <c r="K117" s="0"/>
      <c r="L117" s="0"/>
      <c r="M117" s="0"/>
      <c r="N117" s="0"/>
      <c r="O117" s="0"/>
    </row>
    <row r="118" customFormat="false" ht="12.75" hidden="true" customHeight="false" outlineLevel="0" collapsed="false">
      <c r="A118" s="0"/>
      <c r="B118" s="0" t="s">
        <v>154</v>
      </c>
      <c r="C118" s="194" t="n">
        <v>0.8</v>
      </c>
      <c r="D118" s="194" t="n">
        <v>9.94</v>
      </c>
      <c r="E118" s="194" t="n">
        <v>0.08</v>
      </c>
      <c r="F118" s="194" t="n">
        <f aca="false">+$G$109*(E118/100)</f>
        <v>0.00132</v>
      </c>
      <c r="G118" s="0"/>
      <c r="H118" s="0"/>
      <c r="I118" s="0"/>
      <c r="J118" s="0"/>
      <c r="K118" s="0"/>
      <c r="L118" s="0"/>
      <c r="M118" s="0"/>
      <c r="N118" s="0"/>
      <c r="O118" s="0"/>
    </row>
    <row r="119" customFormat="false" ht="12.75" hidden="true" customHeight="false" outlineLevel="0" collapsed="false">
      <c r="A119" s="0"/>
      <c r="B119" s="0" t="s">
        <v>155</v>
      </c>
      <c r="C119" s="194" t="n">
        <v>1.14</v>
      </c>
      <c r="D119" s="194" t="n">
        <v>6.21</v>
      </c>
      <c r="E119" s="194" t="n">
        <v>0.07</v>
      </c>
      <c r="F119" s="194" t="n">
        <f aca="false">+$G$109*(E119/100)</f>
        <v>0.001155</v>
      </c>
      <c r="G119" s="0"/>
      <c r="H119" s="0"/>
      <c r="I119" s="0"/>
      <c r="J119" s="0"/>
      <c r="K119" s="0"/>
      <c r="L119" s="0"/>
      <c r="M119" s="0"/>
      <c r="N119" s="0"/>
      <c r="O119" s="0"/>
    </row>
    <row r="120" customFormat="false" ht="12.75" hidden="true" customHeight="false" outlineLevel="0" collapsed="false">
      <c r="A120" s="0"/>
      <c r="B120" s="0"/>
      <c r="C120" s="194"/>
      <c r="D120" s="194"/>
      <c r="E120" s="195" t="s">
        <v>156</v>
      </c>
      <c r="F120" s="194" t="n">
        <f aca="false">SUM(F117:F119)</f>
        <v>0.00759</v>
      </c>
      <c r="G120" s="0"/>
      <c r="H120" s="0"/>
      <c r="I120" s="0"/>
      <c r="J120" s="0"/>
      <c r="K120" s="0"/>
      <c r="L120" s="0"/>
      <c r="M120" s="0"/>
      <c r="N120" s="0"/>
      <c r="O120" s="0"/>
    </row>
    <row r="121" customFormat="false" ht="12.75" hidden="true" customHeight="false" outlineLevel="0" collapsed="false">
      <c r="A121" s="0"/>
      <c r="B121" s="0"/>
      <c r="C121" s="194"/>
      <c r="D121" s="194"/>
      <c r="E121" s="195" t="s">
        <v>157</v>
      </c>
      <c r="F121" s="194" t="n">
        <f aca="false">SUM(F116:F119)</f>
        <v>0.01188</v>
      </c>
      <c r="G121" s="0"/>
      <c r="H121" s="0"/>
      <c r="I121" s="0"/>
      <c r="J121" s="0"/>
      <c r="K121" s="0"/>
      <c r="L121" s="0"/>
      <c r="M121" s="0"/>
      <c r="N121" s="0"/>
      <c r="O121" s="0"/>
    </row>
    <row r="122" customFormat="false" ht="12.75" hidden="true" customHeight="false" outlineLevel="0" collapsed="false">
      <c r="A122" s="0"/>
      <c r="B122" s="0"/>
      <c r="C122" s="194"/>
      <c r="D122" s="194"/>
      <c r="E122" s="194"/>
      <c r="F122" s="194"/>
      <c r="G122" s="0"/>
      <c r="H122" s="0"/>
      <c r="I122" s="0"/>
      <c r="J122" s="0"/>
      <c r="K122" s="0"/>
      <c r="L122" s="0"/>
      <c r="M122" s="0"/>
      <c r="N122" s="0"/>
      <c r="O122" s="0"/>
    </row>
    <row r="123" customFormat="false" ht="12.75" hidden="true" customHeight="false" outlineLevel="0" collapsed="false">
      <c r="A123" s="0" t="s">
        <v>158</v>
      </c>
      <c r="B123" s="0" t="s">
        <v>158</v>
      </c>
      <c r="C123" s="194" t="n">
        <v>0.62</v>
      </c>
      <c r="D123" s="194" t="n">
        <v>94.29</v>
      </c>
      <c r="E123" s="194" t="n">
        <v>0.58</v>
      </c>
      <c r="F123" s="194" t="n">
        <f aca="false">+$G$109*(E123/100)</f>
        <v>0.00957</v>
      </c>
      <c r="G123" s="0"/>
      <c r="H123" s="0"/>
      <c r="I123" s="0"/>
      <c r="J123" s="0"/>
      <c r="K123" s="0"/>
      <c r="L123" s="0"/>
      <c r="M123" s="0"/>
      <c r="N123" s="0"/>
      <c r="O123" s="0"/>
    </row>
    <row r="124" customFormat="false" ht="12.75" hidden="true" customHeight="false" outlineLevel="0" collapsed="false">
      <c r="A124" s="0"/>
      <c r="B124" s="0"/>
      <c r="C124" s="194"/>
      <c r="D124" s="194"/>
      <c r="E124" s="194"/>
      <c r="F124" s="194"/>
      <c r="G124" s="0"/>
      <c r="H124" s="0"/>
      <c r="I124" s="0"/>
      <c r="J124" s="0"/>
      <c r="K124" s="0"/>
      <c r="L124" s="0"/>
      <c r="M124" s="0"/>
      <c r="N124" s="0"/>
      <c r="O124" s="0"/>
    </row>
    <row r="125" customFormat="false" ht="12.75" hidden="true" customHeight="false" outlineLevel="0" collapsed="false">
      <c r="A125" s="0" t="s">
        <v>159</v>
      </c>
      <c r="B125" s="0" t="s">
        <v>160</v>
      </c>
      <c r="C125" s="194" t="n">
        <v>0.85</v>
      </c>
      <c r="D125" s="194" t="n">
        <v>100</v>
      </c>
      <c r="E125" s="194" t="n">
        <v>0.85</v>
      </c>
      <c r="F125" s="194" t="n">
        <f aca="false">+$G$109*(E125/100)</f>
        <v>0.014025</v>
      </c>
      <c r="G125" s="0"/>
      <c r="H125" s="0"/>
      <c r="I125" s="0"/>
      <c r="J125" s="0"/>
      <c r="K125" s="0"/>
      <c r="L125" s="0"/>
      <c r="M125" s="0"/>
      <c r="N125" s="0"/>
      <c r="O125" s="0"/>
    </row>
    <row r="126" customFormat="false" ht="12.75" hidden="true" customHeight="false" outlineLevel="0" collapsed="false">
      <c r="A126" s="0"/>
      <c r="B126" s="0"/>
      <c r="C126" s="194"/>
      <c r="D126" s="194"/>
      <c r="E126" s="194"/>
      <c r="F126" s="194"/>
      <c r="G126" s="0"/>
      <c r="H126" s="0"/>
      <c r="I126" s="0"/>
      <c r="J126" s="0"/>
      <c r="K126" s="0"/>
      <c r="L126" s="0"/>
      <c r="M126" s="0"/>
      <c r="N126" s="0"/>
      <c r="O126" s="0"/>
    </row>
    <row r="127" customFormat="false" ht="12.75" hidden="true" customHeight="false" outlineLevel="0" collapsed="false">
      <c r="A127" s="0" t="s">
        <v>161</v>
      </c>
      <c r="B127" s="0" t="s">
        <v>162</v>
      </c>
      <c r="C127" s="194" t="s">
        <v>163</v>
      </c>
      <c r="D127" s="194"/>
      <c r="E127" s="194" t="n">
        <v>0.3546</v>
      </c>
      <c r="F127" s="194" t="n">
        <f aca="false">+$G$109*(E127/100)</f>
        <v>0.0058509</v>
      </c>
      <c r="G127" s="0"/>
      <c r="H127" s="0"/>
      <c r="I127" s="0"/>
      <c r="J127" s="0"/>
      <c r="K127" s="0"/>
      <c r="L127" s="0"/>
      <c r="M127" s="0"/>
      <c r="N127" s="0"/>
      <c r="O127" s="0"/>
    </row>
    <row r="128" customFormat="false" ht="12.75" hidden="true" customHeight="false" outlineLevel="0" collapsed="false">
      <c r="A128" s="0"/>
      <c r="B128" s="0" t="s">
        <v>164</v>
      </c>
      <c r="C128" s="194" t="s">
        <v>165</v>
      </c>
      <c r="D128" s="194"/>
      <c r="E128" s="194" t="n">
        <v>0.557</v>
      </c>
      <c r="F128" s="194" t="n">
        <f aca="false">+$G$109*(E128/100)</f>
        <v>0.0091905</v>
      </c>
      <c r="G128" s="0"/>
      <c r="H128" s="0"/>
      <c r="I128" s="0"/>
    </row>
    <row r="129" customFormat="false" ht="12.75" hidden="true" customHeight="false" outlineLevel="0" collapsed="false">
      <c r="A129" s="0"/>
      <c r="B129" s="0" t="s">
        <v>166</v>
      </c>
      <c r="C129" s="194" t="s">
        <v>167</v>
      </c>
      <c r="D129" s="194"/>
      <c r="E129" s="194" t="n">
        <v>0.628</v>
      </c>
      <c r="F129" s="194" t="n">
        <f aca="false">+$G$109*(E129/100)</f>
        <v>0.010362</v>
      </c>
      <c r="G129" s="0"/>
      <c r="H129" s="0"/>
      <c r="I129" s="0"/>
    </row>
    <row r="130" customFormat="false" ht="12.75" hidden="true" customHeight="false" outlineLevel="0" collapsed="false">
      <c r="A130" s="0"/>
      <c r="B130" s="0"/>
      <c r="C130" s="194"/>
      <c r="D130" s="194"/>
      <c r="E130" s="194"/>
      <c r="F130" s="194"/>
      <c r="G130" s="0"/>
      <c r="H130" s="0"/>
      <c r="I130" s="0"/>
    </row>
    <row r="131" customFormat="false" ht="12.75" hidden="true" customHeight="false" outlineLevel="0" collapsed="false">
      <c r="A131" s="0" t="s">
        <v>168</v>
      </c>
      <c r="B131" s="0" t="s">
        <v>169</v>
      </c>
      <c r="C131" s="194" t="s">
        <v>170</v>
      </c>
      <c r="D131" s="194"/>
      <c r="E131" s="194" t="n">
        <v>0.309</v>
      </c>
      <c r="F131" s="194" t="n">
        <f aca="false">+$G$109*(E131/100)</f>
        <v>0.0050985</v>
      </c>
      <c r="G131" s="0"/>
      <c r="H131" s="0"/>
      <c r="I131" s="0"/>
    </row>
    <row r="132" customFormat="false" ht="12.75" hidden="true" customHeight="false" outlineLevel="0" collapsed="false">
      <c r="A132" s="0"/>
      <c r="B132" s="0"/>
      <c r="C132" s="194"/>
      <c r="D132" s="194"/>
      <c r="E132" s="194"/>
      <c r="F132" s="194"/>
      <c r="G132" s="0"/>
      <c r="H132" s="0"/>
      <c r="I132" s="0"/>
    </row>
    <row r="133" customFormat="false" ht="12.75" hidden="true" customHeight="false" outlineLevel="0" collapsed="false">
      <c r="A133" s="0" t="s">
        <v>171</v>
      </c>
      <c r="B133" s="0" t="s">
        <v>172</v>
      </c>
      <c r="C133" s="194" t="s">
        <v>173</v>
      </c>
      <c r="D133" s="194"/>
      <c r="E133" s="194" t="n">
        <v>0.3748</v>
      </c>
      <c r="F133" s="194" t="n">
        <f aca="false">+$G$109*(E133/100)</f>
        <v>0.0061842</v>
      </c>
      <c r="G133" s="0"/>
      <c r="H133" s="0"/>
      <c r="I133" s="0"/>
    </row>
    <row r="134" customFormat="false" ht="12.75" hidden="true" customHeight="false" outlineLevel="0" collapsed="false">
      <c r="A134" s="0"/>
      <c r="B134" s="0"/>
      <c r="C134" s="0"/>
      <c r="D134" s="0"/>
      <c r="E134" s="0"/>
      <c r="F134" s="0"/>
      <c r="G134" s="0"/>
      <c r="H134" s="0"/>
      <c r="I134" s="0"/>
    </row>
    <row r="135" customFormat="false" ht="12.75" hidden="false" customHeight="false" outlineLevel="0" collapsed="false">
      <c r="B135" s="0"/>
      <c r="C135" s="0"/>
      <c r="D135" s="0"/>
      <c r="E135" s="0"/>
      <c r="F135" s="0"/>
      <c r="G135" s="0"/>
      <c r="H135" s="0"/>
      <c r="I135" s="0"/>
    </row>
    <row r="136" customFormat="false" ht="12.75" hidden="false" customHeight="false" outlineLevel="0" collapsed="false">
      <c r="A136" s="0"/>
      <c r="B136" s="0"/>
      <c r="C136" s="0"/>
      <c r="D136" s="0"/>
      <c r="E136" s="0"/>
      <c r="F136" s="0"/>
      <c r="G136" s="0"/>
      <c r="H136" s="0"/>
      <c r="I136" s="0"/>
    </row>
    <row r="137" customFormat="false" ht="12.75" hidden="false" customHeight="false" outlineLevel="0" collapsed="false">
      <c r="A137" s="0"/>
      <c r="B137" s="0"/>
      <c r="C137" s="0"/>
      <c r="D137" s="0"/>
      <c r="E137" s="0"/>
      <c r="F137" s="0"/>
      <c r="G137" s="0"/>
      <c r="H137" s="0"/>
      <c r="I137" s="0"/>
    </row>
    <row r="138" customFormat="false" ht="12.75" hidden="false" customHeight="false" outlineLevel="0" collapsed="false">
      <c r="A138" s="0"/>
      <c r="B138" s="0"/>
      <c r="C138" s="0"/>
      <c r="D138" s="0"/>
      <c r="E138" s="0"/>
      <c r="F138" s="0"/>
      <c r="G138" s="0"/>
      <c r="H138" s="0"/>
      <c r="I138" s="0"/>
      <c r="N138" s="1" t="s">
        <v>439</v>
      </c>
    </row>
    <row r="139" customFormat="false" ht="12.75" hidden="false" customHeight="false" outlineLevel="0" collapsed="false">
      <c r="A139" s="196" t="s">
        <v>174</v>
      </c>
      <c r="B139" s="196"/>
      <c r="C139" s="196"/>
      <c r="D139" s="0"/>
      <c r="E139" s="197"/>
      <c r="F139" s="0"/>
      <c r="G139" s="198"/>
      <c r="H139" s="0"/>
      <c r="I139" s="296" t="s">
        <v>61</v>
      </c>
      <c r="J139" s="297"/>
      <c r="K139" s="298"/>
      <c r="N139" s="1" t="s">
        <v>176</v>
      </c>
    </row>
    <row r="140" customFormat="false" ht="12.75" hidden="false" customHeight="false" outlineLevel="0" collapsed="false">
      <c r="A140" s="199" t="s">
        <v>177</v>
      </c>
      <c r="B140" s="200" t="s">
        <v>178</v>
      </c>
      <c r="C140" s="200" t="n">
        <v>0.63</v>
      </c>
      <c r="D140" s="78"/>
      <c r="E140" s="200"/>
      <c r="F140" s="79"/>
      <c r="G140" s="199"/>
      <c r="H140" s="79"/>
      <c r="I140" s="199" t="s">
        <v>538</v>
      </c>
      <c r="J140" s="78" t="n">
        <v>5077</v>
      </c>
      <c r="K140" s="392" t="n">
        <v>100</v>
      </c>
      <c r="L140" s="78"/>
      <c r="N140" s="1" t="s">
        <v>180</v>
      </c>
      <c r="O140" s="1" t="n">
        <v>1024</v>
      </c>
    </row>
    <row r="141" customFormat="false" ht="12.75" hidden="false" customHeight="false" outlineLevel="0" collapsed="false">
      <c r="A141" s="78"/>
      <c r="B141" s="200" t="s">
        <v>181</v>
      </c>
      <c r="C141" s="200" t="n">
        <v>0</v>
      </c>
      <c r="D141" s="78"/>
      <c r="E141" s="79"/>
      <c r="F141" s="79"/>
      <c r="G141" s="199"/>
      <c r="H141" s="79"/>
      <c r="I141" s="199" t="s">
        <v>182</v>
      </c>
      <c r="J141" s="78" t="n">
        <v>6688</v>
      </c>
      <c r="K141" s="204" t="n">
        <v>14</v>
      </c>
      <c r="L141" s="78"/>
      <c r="N141" s="1" t="s">
        <v>135</v>
      </c>
      <c r="O141" s="362" t="n">
        <v>0</v>
      </c>
    </row>
    <row r="142" customFormat="false" ht="12.75" hidden="false" customHeight="false" outlineLevel="0" collapsed="false">
      <c r="A142" s="78"/>
      <c r="B142" s="200" t="s">
        <v>183</v>
      </c>
      <c r="C142" s="200" t="n">
        <v>0.5</v>
      </c>
      <c r="D142" s="78" t="s">
        <v>539</v>
      </c>
      <c r="E142" s="79"/>
      <c r="F142" s="79"/>
      <c r="G142" s="199"/>
      <c r="H142" s="79"/>
      <c r="I142" s="199" t="s">
        <v>87</v>
      </c>
      <c r="J142" s="78" t="n">
        <v>6888</v>
      </c>
      <c r="K142" s="204" t="n">
        <v>0</v>
      </c>
      <c r="L142" s="78"/>
      <c r="N142" s="1" t="s">
        <v>184</v>
      </c>
      <c r="O142" s="1" t="n">
        <v>219</v>
      </c>
    </row>
    <row r="143" customFormat="false" ht="12.75" hidden="false" customHeight="false" outlineLevel="0" collapsed="false">
      <c r="A143" s="78"/>
      <c r="B143" s="200" t="s">
        <v>185</v>
      </c>
      <c r="C143" s="200" t="n">
        <v>10</v>
      </c>
      <c r="D143" s="78" t="n">
        <v>2</v>
      </c>
      <c r="E143" s="79"/>
      <c r="F143" s="79"/>
      <c r="G143" s="199"/>
      <c r="H143" s="79" t="s">
        <v>540</v>
      </c>
      <c r="I143" s="199" t="s">
        <v>500</v>
      </c>
      <c r="J143" s="78"/>
      <c r="K143" s="204" t="n">
        <v>3957</v>
      </c>
      <c r="L143" s="78"/>
    </row>
    <row r="144" customFormat="false" ht="12.75" hidden="false" customHeight="false" outlineLevel="0" collapsed="false">
      <c r="A144" s="199" t="s">
        <v>187</v>
      </c>
      <c r="B144" s="200" t="s">
        <v>188</v>
      </c>
      <c r="C144" s="200" t="n">
        <v>3.6</v>
      </c>
      <c r="D144" s="78"/>
      <c r="E144" s="79"/>
      <c r="F144" s="79"/>
      <c r="G144" s="199"/>
      <c r="H144" s="79" t="s">
        <v>540</v>
      </c>
      <c r="I144" s="199" t="s">
        <v>500</v>
      </c>
      <c r="J144" s="78"/>
      <c r="K144" s="204" t="n">
        <v>5077</v>
      </c>
      <c r="L144" s="78"/>
    </row>
    <row r="145" customFormat="false" ht="12.75" hidden="false" customHeight="false" outlineLevel="0" collapsed="false">
      <c r="A145" s="199"/>
      <c r="B145" s="200"/>
      <c r="C145" s="200"/>
      <c r="D145" s="78"/>
      <c r="E145" s="79"/>
      <c r="F145" s="79"/>
      <c r="G145" s="199"/>
      <c r="H145" s="79"/>
      <c r="I145" s="199" t="s">
        <v>189</v>
      </c>
      <c r="J145" s="78" t="n">
        <v>900338</v>
      </c>
      <c r="K145" s="204" t="n">
        <v>640</v>
      </c>
      <c r="L145" s="78"/>
      <c r="N145" s="1" t="s">
        <v>186</v>
      </c>
      <c r="O145" s="393" t="n">
        <v>1</v>
      </c>
    </row>
    <row r="146" customFormat="false" ht="12.75" hidden="false" customHeight="false" outlineLevel="0" collapsed="false">
      <c r="A146" s="78"/>
      <c r="B146" s="200"/>
      <c r="C146" s="199"/>
      <c r="D146" s="78"/>
      <c r="E146" s="79"/>
      <c r="F146" s="79"/>
      <c r="G146" s="199"/>
      <c r="H146" s="79"/>
      <c r="I146" s="199" t="s">
        <v>195</v>
      </c>
      <c r="J146" s="78"/>
      <c r="K146" s="204" t="n">
        <v>0</v>
      </c>
      <c r="L146" s="78"/>
      <c r="N146" s="1" t="s">
        <v>190</v>
      </c>
      <c r="O146" s="1" t="n">
        <v>90</v>
      </c>
    </row>
    <row r="147" customFormat="false" ht="12.75" hidden="false" customHeight="false" outlineLevel="0" collapsed="false">
      <c r="A147" s="78"/>
      <c r="B147" s="200"/>
      <c r="C147" s="200"/>
      <c r="D147" s="78"/>
      <c r="E147" s="79"/>
      <c r="F147" s="79"/>
      <c r="G147" s="199"/>
      <c r="H147" s="79"/>
      <c r="I147" s="199" t="s">
        <v>198</v>
      </c>
      <c r="J147" s="78" t="n">
        <v>5333</v>
      </c>
      <c r="K147" s="204" t="n">
        <v>0</v>
      </c>
      <c r="L147" s="78" t="s">
        <v>199</v>
      </c>
      <c r="N147" s="1" t="s">
        <v>501</v>
      </c>
      <c r="O147" s="346" t="n">
        <v>10</v>
      </c>
    </row>
    <row r="148" customFormat="false" ht="12.75" hidden="false" customHeight="false" outlineLevel="0" collapsed="false">
      <c r="A148" s="199" t="s">
        <v>196</v>
      </c>
      <c r="B148" s="200" t="s">
        <v>197</v>
      </c>
      <c r="C148" s="200" t="n">
        <v>0.7</v>
      </c>
      <c r="D148" s="79"/>
      <c r="E148" s="79"/>
      <c r="F148" s="79"/>
      <c r="G148" s="199"/>
      <c r="H148" s="79"/>
      <c r="I148" s="202" t="s">
        <v>207</v>
      </c>
      <c r="J148" s="78" t="n">
        <v>6373</v>
      </c>
      <c r="K148" s="204" t="n">
        <v>0</v>
      </c>
      <c r="L148" s="78"/>
      <c r="N148" s="1" t="s">
        <v>123</v>
      </c>
      <c r="O148" s="393" t="n">
        <v>1000</v>
      </c>
    </row>
    <row r="149" customFormat="false" ht="12.75" hidden="false" customHeight="false" outlineLevel="0" collapsed="false">
      <c r="A149" s="79"/>
      <c r="B149" s="200" t="s">
        <v>9</v>
      </c>
      <c r="C149" s="200" t="n">
        <v>13</v>
      </c>
      <c r="D149" s="79"/>
      <c r="E149" s="79"/>
      <c r="F149" s="79"/>
      <c r="G149" s="199"/>
      <c r="H149" s="79"/>
      <c r="I149" s="202" t="s">
        <v>201</v>
      </c>
      <c r="J149" s="78" t="n">
        <v>4286</v>
      </c>
      <c r="K149" s="204" t="n">
        <v>0</v>
      </c>
      <c r="L149" s="78"/>
      <c r="N149" s="1" t="s">
        <v>361</v>
      </c>
      <c r="O149" s="362" t="n">
        <v>1</v>
      </c>
    </row>
    <row r="150" customFormat="false" ht="12.75" hidden="false" customHeight="false" outlineLevel="0" collapsed="false">
      <c r="A150" s="79"/>
      <c r="B150" s="200" t="s">
        <v>11</v>
      </c>
      <c r="C150" s="199" t="n">
        <v>0</v>
      </c>
      <c r="D150" s="79" t="s">
        <v>82</v>
      </c>
      <c r="E150" s="79"/>
      <c r="F150" s="79"/>
      <c r="G150" s="199"/>
      <c r="H150" s="79"/>
      <c r="I150" s="202" t="s">
        <v>411</v>
      </c>
      <c r="J150" s="78" t="n">
        <v>6480</v>
      </c>
      <c r="K150" s="204" t="n">
        <v>0</v>
      </c>
      <c r="L150" s="206"/>
      <c r="N150" s="1" t="s">
        <v>365</v>
      </c>
      <c r="O150" s="362" t="n">
        <v>1</v>
      </c>
    </row>
    <row r="151" customFormat="false" ht="12.75" hidden="false" customHeight="false" outlineLevel="0" collapsed="false">
      <c r="A151" s="79"/>
      <c r="B151" s="200" t="s">
        <v>204</v>
      </c>
      <c r="C151" s="200" t="n">
        <v>0.025</v>
      </c>
      <c r="D151" s="79"/>
      <c r="E151" s="79"/>
      <c r="F151" s="79"/>
      <c r="G151" s="199"/>
      <c r="H151" s="199"/>
      <c r="I151" s="202" t="s">
        <v>205</v>
      </c>
      <c r="J151" s="78" t="n">
        <v>6551</v>
      </c>
      <c r="K151" s="204" t="n">
        <v>0</v>
      </c>
      <c r="L151" s="78" t="s">
        <v>471</v>
      </c>
    </row>
    <row r="152" customFormat="false" ht="12.75" hidden="false" customHeight="false" outlineLevel="0" collapsed="false">
      <c r="A152" s="79"/>
      <c r="B152" s="200" t="s">
        <v>206</v>
      </c>
      <c r="C152" s="199" t="n">
        <v>0</v>
      </c>
      <c r="D152" s="79"/>
      <c r="E152" s="79"/>
      <c r="F152" s="79"/>
      <c r="G152" s="199"/>
      <c r="H152" s="79"/>
      <c r="I152" s="202" t="s">
        <v>200</v>
      </c>
      <c r="J152" s="78" t="n">
        <v>6835</v>
      </c>
      <c r="K152" s="204" t="n">
        <v>0</v>
      </c>
      <c r="L152" s="78" t="s">
        <v>471</v>
      </c>
    </row>
    <row r="153" customFormat="false" ht="12.75" hidden="false" customHeight="false" outlineLevel="0" collapsed="false">
      <c r="A153" s="79"/>
      <c r="B153" s="200" t="s">
        <v>502</v>
      </c>
      <c r="C153" s="200" t="n">
        <v>0.02</v>
      </c>
      <c r="D153" s="78"/>
      <c r="E153" s="79"/>
      <c r="F153" s="79"/>
      <c r="G153" s="199"/>
      <c r="H153" s="79"/>
      <c r="I153" s="202" t="s">
        <v>202</v>
      </c>
      <c r="J153" s="78" t="n">
        <v>9676</v>
      </c>
      <c r="K153" s="204" t="n">
        <v>0</v>
      </c>
      <c r="L153" s="206"/>
    </row>
    <row r="154" customFormat="false" ht="12.75" hidden="false" customHeight="false" outlineLevel="0" collapsed="false">
      <c r="A154" s="79"/>
      <c r="B154" s="200" t="s">
        <v>208</v>
      </c>
      <c r="C154" s="200" t="n">
        <v>8</v>
      </c>
      <c r="D154" s="79"/>
      <c r="E154" s="79"/>
      <c r="F154" s="79"/>
      <c r="G154" s="199"/>
      <c r="H154" s="79"/>
      <c r="I154" s="202" t="s">
        <v>412</v>
      </c>
      <c r="J154" s="78" t="n">
        <v>4056</v>
      </c>
      <c r="K154" s="204" t="n">
        <v>0</v>
      </c>
      <c r="L154" s="78"/>
    </row>
    <row r="155" customFormat="false" ht="12.75" hidden="false" customHeight="false" outlineLevel="0" collapsed="false">
      <c r="A155" s="79"/>
      <c r="B155" s="200" t="s">
        <v>211</v>
      </c>
      <c r="C155" s="344" t="n">
        <v>20</v>
      </c>
      <c r="D155" s="79"/>
      <c r="E155" s="79"/>
      <c r="F155" s="79"/>
      <c r="G155" s="199"/>
      <c r="H155" s="79"/>
      <c r="I155" s="202" t="s">
        <v>412</v>
      </c>
      <c r="J155" s="78" t="n">
        <v>6855</v>
      </c>
      <c r="K155" s="204" t="n">
        <v>0</v>
      </c>
      <c r="L155" s="78"/>
    </row>
    <row r="156" customFormat="false" ht="12.75" hidden="false" customHeight="false" outlineLevel="0" collapsed="false">
      <c r="A156" s="79"/>
      <c r="B156" s="200" t="s">
        <v>213</v>
      </c>
      <c r="C156" s="200" t="n">
        <v>3.85</v>
      </c>
      <c r="D156" s="79"/>
      <c r="E156" s="79"/>
      <c r="F156" s="79"/>
      <c r="G156" s="199"/>
      <c r="H156" s="79" t="s">
        <v>540</v>
      </c>
      <c r="I156" s="202" t="s">
        <v>209</v>
      </c>
      <c r="J156" s="78" t="n">
        <v>4132</v>
      </c>
      <c r="K156" s="204" t="n">
        <v>0</v>
      </c>
      <c r="L156" s="78"/>
    </row>
    <row r="157" customFormat="false" ht="12.75" hidden="false" customHeight="false" outlineLevel="0" collapsed="false">
      <c r="A157" s="79"/>
      <c r="B157" s="200" t="s">
        <v>15</v>
      </c>
      <c r="C157" s="200" t="n">
        <v>5</v>
      </c>
      <c r="D157" s="79"/>
      <c r="E157" s="79"/>
      <c r="F157" s="79"/>
      <c r="G157" s="199"/>
      <c r="H157" s="79"/>
      <c r="I157" s="202" t="s">
        <v>210</v>
      </c>
      <c r="J157" s="78" t="n">
        <v>4120</v>
      </c>
      <c r="K157" s="204" t="n">
        <v>821</v>
      </c>
      <c r="L157" s="78"/>
    </row>
    <row r="158" customFormat="false" ht="12.75" hidden="false" customHeight="false" outlineLevel="0" collapsed="false">
      <c r="A158" s="79"/>
      <c r="B158" s="200" t="s">
        <v>15</v>
      </c>
      <c r="C158" s="200" t="n">
        <v>0</v>
      </c>
      <c r="D158" s="79"/>
      <c r="E158" s="79"/>
      <c r="F158" s="79"/>
      <c r="G158" s="199"/>
      <c r="H158" s="78"/>
      <c r="I158" s="202" t="s">
        <v>99</v>
      </c>
      <c r="J158" s="78" t="n">
        <v>639</v>
      </c>
      <c r="K158" s="204" t="n">
        <v>460</v>
      </c>
      <c r="L158" s="78"/>
    </row>
    <row r="159" customFormat="false" ht="12.75" hidden="false" customHeight="false" outlineLevel="0" collapsed="false">
      <c r="A159" s="79"/>
      <c r="B159" s="200" t="s">
        <v>216</v>
      </c>
      <c r="C159" s="200" t="n">
        <v>0.025</v>
      </c>
      <c r="D159" s="79"/>
      <c r="E159" s="79"/>
      <c r="F159" s="79"/>
      <c r="G159" s="199"/>
      <c r="H159" s="78"/>
      <c r="I159" s="202" t="s">
        <v>212</v>
      </c>
      <c r="J159" s="78" t="n">
        <v>6840</v>
      </c>
      <c r="K159" s="204" t="n">
        <v>0</v>
      </c>
      <c r="L159" s="78"/>
    </row>
    <row r="160" customFormat="false" ht="12.75" hidden="false" customHeight="false" outlineLevel="0" collapsed="false">
      <c r="A160" s="79"/>
      <c r="B160" s="79" t="s">
        <v>216</v>
      </c>
      <c r="C160" s="79" t="n">
        <v>0</v>
      </c>
      <c r="D160" s="78"/>
      <c r="E160" s="79"/>
      <c r="F160" s="79"/>
      <c r="G160" s="199"/>
      <c r="H160" s="78"/>
      <c r="I160" s="202" t="s">
        <v>215</v>
      </c>
      <c r="J160" s="78" t="n">
        <v>6519</v>
      </c>
      <c r="K160" s="204" t="n">
        <v>0</v>
      </c>
      <c r="L160" s="78"/>
    </row>
    <row r="161" customFormat="false" ht="12.75" hidden="false" customHeight="false" outlineLevel="0" collapsed="false">
      <c r="A161" s="79"/>
      <c r="B161" s="200" t="s">
        <v>97</v>
      </c>
      <c r="C161" s="200" t="n">
        <v>4.3</v>
      </c>
      <c r="D161" s="79"/>
      <c r="E161" s="79"/>
      <c r="F161" s="79"/>
      <c r="G161" s="199"/>
      <c r="H161" s="78" t="s">
        <v>540</v>
      </c>
      <c r="I161" s="202" t="s">
        <v>217</v>
      </c>
      <c r="J161" s="78" t="n">
        <v>5502</v>
      </c>
      <c r="K161" s="204" t="n">
        <v>0</v>
      </c>
      <c r="L161" s="78"/>
    </row>
    <row r="162" customFormat="false" ht="12.75" hidden="false" customHeight="false" outlineLevel="0" collapsed="false">
      <c r="A162" s="79"/>
      <c r="B162" s="200" t="s">
        <v>503</v>
      </c>
      <c r="C162" s="200" t="n">
        <v>5</v>
      </c>
      <c r="D162" s="78"/>
      <c r="E162" s="79"/>
      <c r="F162" s="79"/>
      <c r="G162" s="199"/>
      <c r="H162" s="78"/>
      <c r="I162" s="202" t="s">
        <v>219</v>
      </c>
      <c r="J162" s="78" t="n">
        <v>6789</v>
      </c>
      <c r="K162" s="204" t="n">
        <v>0</v>
      </c>
      <c r="L162" s="78" t="s">
        <v>471</v>
      </c>
    </row>
    <row r="163" customFormat="false" ht="12.75" hidden="false" customHeight="false" outlineLevel="0" collapsed="false">
      <c r="A163" s="79"/>
      <c r="B163" s="200" t="s">
        <v>218</v>
      </c>
      <c r="C163" s="200" t="n">
        <v>0.05</v>
      </c>
      <c r="D163" s="79"/>
      <c r="E163" s="79"/>
      <c r="F163" s="79"/>
      <c r="G163" s="199"/>
      <c r="H163" s="78"/>
      <c r="I163" s="202" t="s">
        <v>221</v>
      </c>
      <c r="J163" s="78" t="n">
        <v>6545</v>
      </c>
      <c r="K163" s="204" t="n">
        <v>0</v>
      </c>
      <c r="L163" s="78" t="s">
        <v>471</v>
      </c>
    </row>
    <row r="164" customFormat="false" ht="12.75" hidden="false" customHeight="false" outlineLevel="0" collapsed="false">
      <c r="A164" s="78"/>
      <c r="B164" s="200" t="s">
        <v>220</v>
      </c>
      <c r="C164" s="200" t="s">
        <v>472</v>
      </c>
      <c r="D164" s="79" t="s">
        <v>473</v>
      </c>
      <c r="E164" s="79"/>
      <c r="F164" s="79"/>
      <c r="G164" s="199"/>
      <c r="H164" s="78" t="s">
        <v>540</v>
      </c>
      <c r="I164" s="202" t="s">
        <v>221</v>
      </c>
      <c r="J164" s="78" t="n">
        <v>275</v>
      </c>
      <c r="K164" s="204" t="n">
        <v>66</v>
      </c>
      <c r="L164" s="78"/>
    </row>
    <row r="165" customFormat="false" ht="12.75" hidden="false" customHeight="false" outlineLevel="0" collapsed="false">
      <c r="A165" s="78"/>
      <c r="B165" s="200" t="s">
        <v>222</v>
      </c>
      <c r="C165" s="200" t="n">
        <v>0.6</v>
      </c>
      <c r="D165" s="78"/>
      <c r="E165" s="79"/>
      <c r="F165" s="79"/>
      <c r="G165" s="199"/>
      <c r="H165" s="78"/>
      <c r="I165" s="202" t="s">
        <v>223</v>
      </c>
      <c r="J165" s="78" t="n">
        <v>9812</v>
      </c>
      <c r="K165" s="204" t="n">
        <v>0</v>
      </c>
      <c r="L165" s="78" t="s">
        <v>471</v>
      </c>
    </row>
    <row r="166" customFormat="false" ht="12.75" hidden="false" customHeight="false" outlineLevel="0" collapsed="false">
      <c r="A166" s="78"/>
      <c r="B166" s="200" t="s">
        <v>227</v>
      </c>
      <c r="C166" s="199" t="n">
        <v>0</v>
      </c>
      <c r="D166" s="78"/>
      <c r="E166" s="79"/>
      <c r="F166" s="79"/>
      <c r="G166" s="199"/>
      <c r="H166" s="78"/>
      <c r="I166" s="202" t="s">
        <v>226</v>
      </c>
      <c r="J166" s="78" t="n">
        <v>6387</v>
      </c>
      <c r="K166" s="204" t="n">
        <v>400</v>
      </c>
      <c r="L166" s="78"/>
    </row>
    <row r="167" customFormat="false" ht="12.75" hidden="false" customHeight="false" outlineLevel="0" collapsed="false">
      <c r="A167" s="78"/>
      <c r="B167" s="200" t="s">
        <v>228</v>
      </c>
      <c r="C167" s="200" t="n">
        <v>6</v>
      </c>
      <c r="D167" s="78"/>
      <c r="E167" s="79"/>
      <c r="F167" s="79"/>
      <c r="G167" s="199"/>
      <c r="H167" s="78"/>
      <c r="I167" s="202" t="s">
        <v>226</v>
      </c>
      <c r="J167" s="78" t="n">
        <v>6347</v>
      </c>
      <c r="K167" s="204" t="n">
        <v>0</v>
      </c>
      <c r="L167" s="78"/>
    </row>
    <row r="168" customFormat="false" ht="12.75" hidden="false" customHeight="false" outlineLevel="0" collapsed="false">
      <c r="A168" s="78"/>
      <c r="B168" s="200" t="s">
        <v>229</v>
      </c>
      <c r="C168" s="200" t="n">
        <v>0.1</v>
      </c>
      <c r="D168" s="78"/>
      <c r="E168" s="79"/>
      <c r="F168" s="79"/>
      <c r="G168" s="199"/>
      <c r="H168" s="78"/>
      <c r="I168" s="202" t="s">
        <v>226</v>
      </c>
      <c r="J168" s="78" t="n">
        <v>5892</v>
      </c>
      <c r="K168" s="204" t="n">
        <v>169</v>
      </c>
      <c r="L168" s="78"/>
    </row>
    <row r="169" customFormat="false" ht="12.75" hidden="false" customHeight="false" outlineLevel="0" collapsed="false">
      <c r="A169" s="78"/>
      <c r="B169" s="200" t="s">
        <v>58</v>
      </c>
      <c r="C169" s="200" t="n">
        <v>2</v>
      </c>
      <c r="D169" s="78"/>
      <c r="E169" s="79"/>
      <c r="F169" s="79"/>
      <c r="G169" s="199"/>
      <c r="H169" s="78"/>
      <c r="I169" s="202" t="s">
        <v>226</v>
      </c>
      <c r="J169" s="78" t="n">
        <v>6757</v>
      </c>
      <c r="K169" s="204" t="n">
        <v>13</v>
      </c>
      <c r="L169" s="78"/>
    </row>
    <row r="170" customFormat="false" ht="12.75" hidden="false" customHeight="false" outlineLevel="0" collapsed="false">
      <c r="A170" s="78"/>
      <c r="B170" s="200" t="s">
        <v>235</v>
      </c>
      <c r="C170" s="200" t="n">
        <v>0</v>
      </c>
      <c r="D170" s="78"/>
      <c r="E170" s="79"/>
      <c r="F170" s="79"/>
      <c r="G170" s="199"/>
      <c r="H170" s="78"/>
      <c r="I170" s="202" t="s">
        <v>231</v>
      </c>
      <c r="J170" s="78" t="n">
        <v>6598</v>
      </c>
      <c r="K170" s="204" t="n">
        <v>0</v>
      </c>
      <c r="L170" s="78"/>
    </row>
    <row r="171" customFormat="false" ht="12.75" hidden="false" customHeight="false" outlineLevel="0" collapsed="false">
      <c r="A171" s="78"/>
      <c r="B171" s="200" t="s">
        <v>53</v>
      </c>
      <c r="C171" s="200" t="n">
        <v>9</v>
      </c>
      <c r="D171" s="78"/>
      <c r="E171" s="79"/>
      <c r="F171" s="79"/>
      <c r="G171" s="199"/>
      <c r="H171" s="79"/>
      <c r="I171" s="202" t="s">
        <v>233</v>
      </c>
      <c r="J171" s="78" t="n">
        <v>6392</v>
      </c>
      <c r="K171" s="204" t="n">
        <v>41</v>
      </c>
      <c r="L171" s="78"/>
    </row>
    <row r="172" customFormat="false" ht="12.75" hidden="false" customHeight="false" outlineLevel="0" collapsed="false">
      <c r="A172" s="78"/>
      <c r="B172" s="200" t="s">
        <v>429</v>
      </c>
      <c r="C172" s="200" t="n">
        <v>0.06</v>
      </c>
      <c r="D172" s="78"/>
      <c r="E172" s="79"/>
      <c r="F172" s="79"/>
      <c r="G172" s="199"/>
      <c r="H172" s="79"/>
      <c r="I172" s="199" t="s">
        <v>410</v>
      </c>
      <c r="J172" s="78" t="n">
        <v>9643</v>
      </c>
      <c r="K172" s="204" t="n">
        <v>1265</v>
      </c>
      <c r="L172" s="78"/>
    </row>
    <row r="173" customFormat="false" ht="12.75" hidden="false" customHeight="false" outlineLevel="0" collapsed="false">
      <c r="A173" s="78"/>
      <c r="B173" s="200" t="s">
        <v>237</v>
      </c>
      <c r="C173" s="200" t="n">
        <v>2.25</v>
      </c>
      <c r="D173" s="78"/>
      <c r="E173" s="79"/>
      <c r="F173" s="79"/>
      <c r="G173" s="199"/>
      <c r="H173" s="78" t="s">
        <v>540</v>
      </c>
      <c r="I173" s="202" t="s">
        <v>234</v>
      </c>
      <c r="J173" s="78" t="n">
        <v>440</v>
      </c>
      <c r="K173" s="204" t="n">
        <v>444</v>
      </c>
      <c r="L173" s="78"/>
    </row>
    <row r="174" customFormat="false" ht="12.75" hidden="false" customHeight="false" outlineLevel="0" collapsed="false">
      <c r="A174" s="78"/>
      <c r="B174" s="200" t="s">
        <v>21</v>
      </c>
      <c r="C174" s="200" t="n">
        <v>36</v>
      </c>
      <c r="D174" s="78"/>
      <c r="E174" s="79"/>
      <c r="F174" s="79"/>
      <c r="G174" s="199"/>
      <c r="H174" s="79"/>
      <c r="I174" s="202" t="s">
        <v>135</v>
      </c>
      <c r="J174" s="78" t="n">
        <v>6173</v>
      </c>
      <c r="K174" s="204" t="n">
        <v>535</v>
      </c>
      <c r="L174" s="78"/>
    </row>
    <row r="175" customFormat="false" ht="12.75" hidden="false" customHeight="false" outlineLevel="0" collapsed="false">
      <c r="A175" s="78"/>
      <c r="B175" s="200" t="s">
        <v>19</v>
      </c>
      <c r="C175" s="200" t="n">
        <v>50</v>
      </c>
      <c r="D175" s="78" t="n">
        <v>70</v>
      </c>
      <c r="E175" s="79"/>
      <c r="F175" s="79"/>
      <c r="G175" s="199"/>
      <c r="H175" s="78"/>
      <c r="I175" s="202" t="s">
        <v>236</v>
      </c>
      <c r="J175" s="78"/>
      <c r="K175" s="202" t="n">
        <v>0</v>
      </c>
      <c r="L175" s="78"/>
    </row>
    <row r="176" customFormat="false" ht="12.75" hidden="false" customHeight="false" outlineLevel="0" collapsed="false">
      <c r="A176" s="78"/>
      <c r="B176" s="200" t="s">
        <v>242</v>
      </c>
      <c r="C176" s="200" t="n">
        <v>0.18</v>
      </c>
      <c r="D176" s="78"/>
      <c r="E176" s="79"/>
      <c r="F176" s="79"/>
      <c r="G176" s="199"/>
      <c r="H176" s="78"/>
      <c r="I176" s="202" t="s">
        <v>238</v>
      </c>
      <c r="J176" s="78" t="n">
        <v>4132</v>
      </c>
      <c r="K176" s="204" t="n">
        <v>7500</v>
      </c>
      <c r="L176" s="78"/>
    </row>
    <row r="177" customFormat="false" ht="12.75" hidden="false" customHeight="false" outlineLevel="0" collapsed="false">
      <c r="A177" s="78"/>
      <c r="B177" s="210" t="s">
        <v>244</v>
      </c>
      <c r="C177" s="210" t="n">
        <v>2.5</v>
      </c>
      <c r="D177" s="78"/>
      <c r="E177" s="79"/>
      <c r="F177" s="79"/>
      <c r="G177" s="199"/>
      <c r="H177" s="78"/>
      <c r="I177" s="202" t="s">
        <v>239</v>
      </c>
      <c r="J177" s="209" t="s">
        <v>240</v>
      </c>
      <c r="K177" s="204" t="n">
        <v>0</v>
      </c>
      <c r="L177" s="78" t="s">
        <v>471</v>
      </c>
    </row>
    <row r="178" customFormat="false" ht="12.75" hidden="false" customHeight="false" outlineLevel="0" collapsed="false">
      <c r="A178" s="78"/>
      <c r="B178" s="200" t="s">
        <v>23</v>
      </c>
      <c r="C178" s="200" t="n">
        <v>30</v>
      </c>
      <c r="D178" s="78"/>
      <c r="E178" s="79"/>
      <c r="F178" s="79"/>
      <c r="G178" s="199"/>
      <c r="H178" s="78"/>
      <c r="I178" s="202" t="s">
        <v>241</v>
      </c>
      <c r="J178" s="78" t="n">
        <v>3405</v>
      </c>
      <c r="K178" s="202" t="n">
        <v>0</v>
      </c>
      <c r="L178" s="78"/>
    </row>
    <row r="179" customFormat="false" ht="12.75" hidden="false" customHeight="false" outlineLevel="0" collapsed="false">
      <c r="A179" s="78"/>
      <c r="B179" s="200" t="s">
        <v>66</v>
      </c>
      <c r="C179" s="200" t="n">
        <v>0</v>
      </c>
      <c r="D179" s="78"/>
      <c r="E179" s="79"/>
      <c r="F179" s="79"/>
      <c r="G179" s="199"/>
      <c r="H179" s="364" t="s">
        <v>504</v>
      </c>
      <c r="I179" s="202" t="s">
        <v>505</v>
      </c>
      <c r="J179" s="78" t="n">
        <v>9829</v>
      </c>
      <c r="K179" s="202" t="n">
        <v>0</v>
      </c>
      <c r="L179" s="78"/>
    </row>
    <row r="180" customFormat="false" ht="12.75" hidden="false" customHeight="false" outlineLevel="0" collapsed="false">
      <c r="A180" s="78"/>
      <c r="B180" s="200" t="s">
        <v>250</v>
      </c>
      <c r="C180" s="200" t="n">
        <v>10.9</v>
      </c>
      <c r="D180" s="206"/>
      <c r="E180" s="79"/>
      <c r="F180" s="79"/>
      <c r="G180" s="199"/>
      <c r="H180" s="78" t="s">
        <v>540</v>
      </c>
      <c r="I180" s="202" t="s">
        <v>243</v>
      </c>
      <c r="J180" s="78" t="n">
        <v>6353</v>
      </c>
      <c r="K180" s="204" t="n">
        <v>3500</v>
      </c>
      <c r="L180" s="78"/>
    </row>
    <row r="181" customFormat="false" ht="12.75" hidden="false" customHeight="false" outlineLevel="0" collapsed="false">
      <c r="A181" s="78"/>
      <c r="B181" s="200" t="s">
        <v>252</v>
      </c>
      <c r="C181" s="200" t="n">
        <v>0.63</v>
      </c>
      <c r="D181" s="78"/>
      <c r="E181" s="79"/>
      <c r="F181" s="79"/>
      <c r="G181" s="199"/>
      <c r="H181" s="79"/>
      <c r="I181" s="202" t="s">
        <v>245</v>
      </c>
      <c r="J181" s="78" t="n">
        <v>6899</v>
      </c>
      <c r="K181" s="204" t="n">
        <v>1</v>
      </c>
      <c r="L181" s="78"/>
    </row>
    <row r="182" customFormat="false" ht="12.75" hidden="false" customHeight="false" outlineLevel="0" collapsed="false">
      <c r="A182" s="78"/>
      <c r="B182" s="200" t="s">
        <v>254</v>
      </c>
      <c r="C182" s="200" t="n">
        <v>0.475</v>
      </c>
      <c r="D182" s="78"/>
      <c r="E182" s="79"/>
      <c r="F182" s="79"/>
      <c r="G182" s="199"/>
      <c r="H182" s="78" t="s">
        <v>540</v>
      </c>
      <c r="I182" s="202" t="s">
        <v>247</v>
      </c>
      <c r="J182" s="211" t="s">
        <v>248</v>
      </c>
      <c r="K182" s="204" t="n">
        <v>20</v>
      </c>
      <c r="L182" s="78"/>
    </row>
    <row r="183" customFormat="false" ht="12.75" hidden="false" customHeight="false" outlineLevel="0" collapsed="false">
      <c r="A183" s="78"/>
      <c r="B183" s="200" t="s">
        <v>62</v>
      </c>
      <c r="C183" s="200" t="n">
        <v>0.85</v>
      </c>
      <c r="D183" s="78"/>
      <c r="E183" s="79"/>
      <c r="F183" s="79"/>
      <c r="G183" s="199"/>
      <c r="H183" s="78"/>
      <c r="I183" s="202" t="s">
        <v>249</v>
      </c>
      <c r="J183" s="78" t="n">
        <v>7491</v>
      </c>
      <c r="K183" s="204" t="n">
        <v>0</v>
      </c>
      <c r="L183" s="78"/>
    </row>
    <row r="184" customFormat="false" ht="12.75" hidden="false" customHeight="false" outlineLevel="0" collapsed="false">
      <c r="A184" s="78"/>
      <c r="B184" s="200" t="s">
        <v>259</v>
      </c>
      <c r="C184" s="200" t="n">
        <v>0</v>
      </c>
      <c r="D184" s="78"/>
      <c r="E184" s="79"/>
      <c r="F184" s="79"/>
      <c r="G184" s="199"/>
      <c r="H184" s="78"/>
      <c r="I184" s="202" t="s">
        <v>251</v>
      </c>
      <c r="J184" s="78" t="n">
        <v>6173</v>
      </c>
      <c r="K184" s="204" t="n">
        <v>0</v>
      </c>
      <c r="L184" s="78"/>
    </row>
    <row r="185" customFormat="false" ht="12.75" hidden="false" customHeight="false" outlineLevel="0" collapsed="false">
      <c r="A185" s="78"/>
      <c r="B185" s="200" t="s">
        <v>506</v>
      </c>
      <c r="C185" s="200" t="n">
        <v>15</v>
      </c>
      <c r="D185" s="78"/>
      <c r="E185" s="79"/>
      <c r="F185" s="79"/>
      <c r="G185" s="199"/>
      <c r="H185" s="78"/>
      <c r="I185" s="202" t="s">
        <v>253</v>
      </c>
      <c r="J185" s="78" t="n">
        <v>6210</v>
      </c>
      <c r="K185" s="204" t="n">
        <v>0</v>
      </c>
      <c r="L185" s="78" t="s">
        <v>471</v>
      </c>
    </row>
    <row r="186" customFormat="false" ht="12.75" hidden="false" customHeight="false" outlineLevel="0" collapsed="false">
      <c r="A186" s="78"/>
      <c r="B186" s="200" t="s">
        <v>403</v>
      </c>
      <c r="C186" s="200" t="n">
        <v>0.045</v>
      </c>
      <c r="D186" s="78"/>
      <c r="E186" s="79"/>
      <c r="F186" s="79"/>
      <c r="G186" s="199"/>
      <c r="H186" s="78"/>
      <c r="I186" s="202" t="s">
        <v>255</v>
      </c>
      <c r="J186" s="78" t="n">
        <v>5097</v>
      </c>
      <c r="K186" s="204" t="n">
        <v>300</v>
      </c>
      <c r="L186" s="78"/>
    </row>
    <row r="187" customFormat="false" ht="12.75" hidden="false" customHeight="false" outlineLevel="0" collapsed="false">
      <c r="A187" s="78"/>
      <c r="B187" s="200" t="s">
        <v>263</v>
      </c>
      <c r="C187" s="200" t="n">
        <v>1</v>
      </c>
      <c r="D187" s="78"/>
      <c r="E187" s="79"/>
      <c r="F187" s="79"/>
      <c r="G187" s="199"/>
      <c r="H187" s="78"/>
      <c r="I187" s="202" t="s">
        <v>256</v>
      </c>
      <c r="J187" s="78" t="s">
        <v>415</v>
      </c>
      <c r="K187" s="204" t="n">
        <v>0</v>
      </c>
      <c r="L187" s="78" t="s">
        <v>471</v>
      </c>
    </row>
    <row r="188" customFormat="false" ht="12.75" hidden="false" customHeight="false" outlineLevel="0" collapsed="false">
      <c r="A188" s="78"/>
      <c r="B188" s="200" t="s">
        <v>265</v>
      </c>
      <c r="C188" s="200" t="n">
        <v>1.5</v>
      </c>
      <c r="D188" s="78"/>
      <c r="E188" s="79"/>
      <c r="F188" s="79"/>
      <c r="G188" s="199"/>
      <c r="H188" s="78" t="s">
        <v>540</v>
      </c>
      <c r="I188" s="202" t="s">
        <v>507</v>
      </c>
      <c r="J188" s="211" t="s">
        <v>248</v>
      </c>
      <c r="K188" s="204" t="n">
        <v>800</v>
      </c>
      <c r="L188" s="78"/>
    </row>
    <row r="189" customFormat="false" ht="12.75" hidden="false" customHeight="false" outlineLevel="0" collapsed="false">
      <c r="A189" s="78"/>
      <c r="B189" s="200" t="s">
        <v>267</v>
      </c>
      <c r="C189" s="200" t="n">
        <v>1.7</v>
      </c>
      <c r="D189" s="78"/>
      <c r="E189" s="79"/>
      <c r="F189" s="79"/>
      <c r="G189" s="199"/>
      <c r="H189" s="78" t="s">
        <v>540</v>
      </c>
      <c r="I189" s="202" t="s">
        <v>474</v>
      </c>
      <c r="J189" s="211" t="s">
        <v>475</v>
      </c>
      <c r="K189" s="204" t="n">
        <v>0</v>
      </c>
      <c r="L189" s="78"/>
    </row>
    <row r="190" customFormat="false" ht="12.75" hidden="false" customHeight="false" outlineLevel="0" collapsed="false">
      <c r="A190" s="78"/>
      <c r="B190" s="200" t="s">
        <v>270</v>
      </c>
      <c r="C190" s="200" t="n">
        <v>15</v>
      </c>
      <c r="D190" s="202"/>
      <c r="E190" s="79"/>
      <c r="F190" s="79"/>
      <c r="G190" s="199"/>
      <c r="H190" s="78"/>
      <c r="I190" s="202" t="s">
        <v>283</v>
      </c>
      <c r="J190" s="211" t="s">
        <v>508</v>
      </c>
      <c r="K190" s="204" t="n">
        <v>5374</v>
      </c>
      <c r="L190" s="78"/>
    </row>
    <row r="191" customFormat="false" ht="12.75" hidden="false" customHeight="false" outlineLevel="0" collapsed="false">
      <c r="A191" s="78"/>
      <c r="B191" s="200" t="s">
        <v>272</v>
      </c>
      <c r="C191" s="200" t="n">
        <v>6</v>
      </c>
      <c r="D191" s="78"/>
      <c r="E191" s="79"/>
      <c r="F191" s="79"/>
      <c r="G191" s="199"/>
      <c r="H191" s="78"/>
      <c r="I191" s="202" t="s">
        <v>273</v>
      </c>
      <c r="J191" s="78" t="n">
        <v>6614</v>
      </c>
      <c r="K191" s="204" t="n">
        <v>0</v>
      </c>
      <c r="L191" s="78"/>
    </row>
    <row r="192" customFormat="false" ht="12.75" hidden="false" customHeight="false" outlineLevel="0" collapsed="false">
      <c r="A192" s="78"/>
      <c r="B192" s="200" t="s">
        <v>274</v>
      </c>
      <c r="C192" s="200" t="n">
        <v>10</v>
      </c>
      <c r="D192" s="78"/>
      <c r="E192" s="79"/>
      <c r="F192" s="79"/>
      <c r="G192" s="199"/>
      <c r="H192" s="78"/>
      <c r="I192" s="202" t="s">
        <v>264</v>
      </c>
      <c r="J192" s="78" t="n">
        <v>5310</v>
      </c>
      <c r="K192" s="204" t="n">
        <v>0</v>
      </c>
      <c r="L192" s="78" t="s">
        <v>471</v>
      </c>
    </row>
    <row r="193" customFormat="false" ht="12.75" hidden="false" customHeight="false" outlineLevel="0" collapsed="false">
      <c r="A193" s="78"/>
      <c r="B193" s="200" t="s">
        <v>276</v>
      </c>
      <c r="C193" s="200" t="n">
        <v>0.05</v>
      </c>
      <c r="D193" s="78"/>
      <c r="E193" s="79"/>
      <c r="F193" s="79"/>
      <c r="G193" s="199"/>
      <c r="H193" s="78"/>
      <c r="I193" s="202" t="s">
        <v>275</v>
      </c>
      <c r="J193" s="78" t="n">
        <v>6542</v>
      </c>
      <c r="K193" s="204" t="n">
        <v>0</v>
      </c>
      <c r="L193" s="78"/>
    </row>
    <row r="194" customFormat="false" ht="12.75" hidden="false" customHeight="false" outlineLevel="0" collapsed="false">
      <c r="A194" s="78"/>
      <c r="B194" s="200" t="s">
        <v>278</v>
      </c>
      <c r="C194" s="200" t="n">
        <v>0.475</v>
      </c>
      <c r="D194" s="78"/>
      <c r="E194" s="79"/>
      <c r="F194" s="79"/>
      <c r="G194" s="199"/>
      <c r="H194" s="78"/>
      <c r="I194" s="202" t="s">
        <v>268</v>
      </c>
      <c r="J194" s="78" t="s">
        <v>416</v>
      </c>
      <c r="K194" s="204" t="n">
        <v>0</v>
      </c>
      <c r="L194" s="78" t="s">
        <v>471</v>
      </c>
    </row>
    <row r="195" customFormat="false" ht="12.75" hidden="false" customHeight="false" outlineLevel="0" collapsed="false">
      <c r="A195" s="78"/>
      <c r="B195" s="200" t="s">
        <v>280</v>
      </c>
      <c r="C195" s="200" t="n">
        <v>0.205</v>
      </c>
      <c r="D195" s="78"/>
      <c r="E195" s="79"/>
      <c r="F195" s="79"/>
      <c r="G195" s="199"/>
      <c r="H195" s="78"/>
      <c r="I195" s="202" t="s">
        <v>268</v>
      </c>
      <c r="J195" s="78" t="n">
        <v>6534</v>
      </c>
      <c r="K195" s="204" t="n">
        <v>0</v>
      </c>
      <c r="L195" s="78" t="s">
        <v>471</v>
      </c>
    </row>
    <row r="196" customFormat="false" ht="12.75" hidden="false" customHeight="false" outlineLevel="0" collapsed="false">
      <c r="A196" s="78"/>
      <c r="B196" s="200" t="s">
        <v>317</v>
      </c>
      <c r="C196" s="200" t="n">
        <v>0</v>
      </c>
      <c r="D196" s="78"/>
      <c r="E196" s="79"/>
      <c r="F196" s="79"/>
      <c r="G196" s="199"/>
      <c r="H196" s="78"/>
      <c r="I196" s="202" t="s">
        <v>277</v>
      </c>
      <c r="J196" s="78" t="n">
        <v>5310</v>
      </c>
      <c r="K196" s="204" t="n">
        <v>0</v>
      </c>
      <c r="L196" s="78" t="s">
        <v>471</v>
      </c>
    </row>
    <row r="197" customFormat="false" ht="12.75" hidden="false" customHeight="false" outlineLevel="0" collapsed="false">
      <c r="A197" s="78"/>
      <c r="B197" s="200" t="s">
        <v>119</v>
      </c>
      <c r="C197" s="200" t="n">
        <v>5</v>
      </c>
      <c r="D197" s="78"/>
      <c r="E197" s="79"/>
      <c r="F197" s="79"/>
      <c r="G197" s="199"/>
      <c r="H197" s="78"/>
      <c r="I197" s="202" t="s">
        <v>279</v>
      </c>
      <c r="J197" s="78" t="n">
        <v>5310</v>
      </c>
      <c r="K197" s="204" t="n">
        <v>0</v>
      </c>
      <c r="L197" s="78" t="s">
        <v>471</v>
      </c>
    </row>
    <row r="198" customFormat="false" ht="12.75" hidden="false" customHeight="false" outlineLevel="0" collapsed="false">
      <c r="A198" s="78"/>
      <c r="B198" s="200" t="s">
        <v>283</v>
      </c>
      <c r="C198" s="200" t="n">
        <v>0</v>
      </c>
      <c r="D198" s="78"/>
      <c r="E198" s="79"/>
      <c r="F198" s="79"/>
      <c r="G198" s="199"/>
      <c r="H198" s="78"/>
      <c r="I198" s="202" t="s">
        <v>285</v>
      </c>
      <c r="J198" s="78"/>
      <c r="K198" s="202" t="n">
        <v>0</v>
      </c>
      <c r="L198" s="78"/>
    </row>
    <row r="199" customFormat="false" ht="12.75" hidden="false" customHeight="false" outlineLevel="0" collapsed="false">
      <c r="A199" s="78"/>
      <c r="B199" s="79" t="s">
        <v>319</v>
      </c>
      <c r="C199" s="79" t="n">
        <v>0</v>
      </c>
      <c r="D199" s="78"/>
      <c r="E199" s="79"/>
      <c r="F199" s="79"/>
      <c r="G199" s="199"/>
      <c r="H199" s="78"/>
      <c r="I199" s="202" t="s">
        <v>284</v>
      </c>
      <c r="J199" s="78"/>
      <c r="K199" s="202" t="n">
        <v>0</v>
      </c>
      <c r="L199" s="78"/>
    </row>
    <row r="200" customFormat="false" ht="12.75" hidden="false" customHeight="false" outlineLevel="0" collapsed="false">
      <c r="A200" s="78"/>
      <c r="B200" s="79" t="s">
        <v>288</v>
      </c>
      <c r="C200" s="79" t="n">
        <v>0</v>
      </c>
      <c r="D200" s="78"/>
      <c r="E200" s="79"/>
      <c r="F200" s="79"/>
      <c r="G200" s="199"/>
      <c r="H200" s="78"/>
      <c r="I200" s="202" t="s">
        <v>287</v>
      </c>
      <c r="J200" s="78"/>
      <c r="K200" s="202" t="n">
        <v>0</v>
      </c>
      <c r="L200" s="78"/>
    </row>
    <row r="201" customFormat="false" ht="12.75" hidden="false" customHeight="false" outlineLevel="0" collapsed="false">
      <c r="A201" s="78"/>
      <c r="B201" s="79" t="s">
        <v>322</v>
      </c>
      <c r="C201" s="79" t="n">
        <v>0</v>
      </c>
      <c r="D201" s="78"/>
      <c r="E201" s="79"/>
      <c r="F201" s="79"/>
      <c r="G201" s="199"/>
      <c r="H201" s="78"/>
      <c r="I201" s="202" t="s">
        <v>281</v>
      </c>
      <c r="J201" s="78"/>
      <c r="K201" s="202" t="n">
        <v>0</v>
      </c>
      <c r="L201" s="78"/>
    </row>
    <row r="202" customFormat="false" ht="12.75" hidden="false" customHeight="false" outlineLevel="0" collapsed="false">
      <c r="A202" s="78"/>
      <c r="B202" s="200" t="s">
        <v>286</v>
      </c>
      <c r="C202" s="200" t="n">
        <v>0.475</v>
      </c>
      <c r="D202" s="78"/>
      <c r="E202" s="79"/>
      <c r="F202" s="79"/>
      <c r="G202" s="199"/>
      <c r="H202" s="79"/>
      <c r="I202" s="202" t="s">
        <v>282</v>
      </c>
      <c r="J202" s="78"/>
      <c r="K202" s="202" t="n">
        <v>0</v>
      </c>
      <c r="L202" s="78"/>
    </row>
    <row r="203" customFormat="false" ht="12.75" hidden="false" customHeight="false" outlineLevel="0" collapsed="false">
      <c r="A203" s="78"/>
      <c r="B203" s="200" t="s">
        <v>290</v>
      </c>
      <c r="C203" s="200" t="n">
        <v>20</v>
      </c>
      <c r="D203" s="78"/>
      <c r="E203" s="79"/>
      <c r="F203" s="79"/>
      <c r="G203" s="199"/>
      <c r="H203" s="78"/>
      <c r="I203" s="202" t="s">
        <v>291</v>
      </c>
      <c r="J203" s="78" t="n">
        <v>6722</v>
      </c>
      <c r="K203" s="204" t="n">
        <v>493</v>
      </c>
      <c r="L203" s="78"/>
    </row>
    <row r="204" customFormat="false" ht="12.75" hidden="false" customHeight="false" outlineLevel="0" collapsed="false">
      <c r="A204" s="78"/>
      <c r="B204" s="200" t="s">
        <v>194</v>
      </c>
      <c r="C204" s="200" t="n">
        <v>3.1</v>
      </c>
      <c r="D204" s="78"/>
      <c r="E204" s="79"/>
      <c r="F204" s="79"/>
      <c r="G204" s="199"/>
      <c r="H204" s="78"/>
      <c r="I204" s="202" t="s">
        <v>289</v>
      </c>
      <c r="J204" s="78" t="n">
        <v>7211</v>
      </c>
      <c r="K204" s="204" t="n">
        <v>0</v>
      </c>
      <c r="L204" s="78"/>
    </row>
    <row r="205" customFormat="false" ht="12.75" hidden="false" customHeight="false" outlineLevel="0" collapsed="false">
      <c r="A205" s="78"/>
      <c r="B205" s="200" t="s">
        <v>541</v>
      </c>
      <c r="C205" s="200" t="n">
        <v>0.39</v>
      </c>
      <c r="D205" s="78"/>
      <c r="E205" s="79"/>
      <c r="F205" s="79"/>
      <c r="G205" s="199"/>
      <c r="H205" s="78"/>
      <c r="I205" s="202"/>
      <c r="J205" s="78"/>
      <c r="K205" s="204"/>
      <c r="L205" s="78"/>
    </row>
    <row r="206" customFormat="false" ht="12.75" hidden="false" customHeight="false" outlineLevel="0" collapsed="false">
      <c r="A206" s="78"/>
      <c r="B206" s="200" t="s">
        <v>292</v>
      </c>
      <c r="C206" s="200" t="n">
        <v>1.65</v>
      </c>
      <c r="D206" s="78"/>
      <c r="E206" s="79"/>
      <c r="F206" s="79"/>
      <c r="G206" s="199"/>
      <c r="H206" s="78" t="s">
        <v>540</v>
      </c>
      <c r="I206" s="202" t="s">
        <v>509</v>
      </c>
      <c r="J206" s="78" t="n">
        <v>308</v>
      </c>
      <c r="K206" s="204" t="n">
        <v>418</v>
      </c>
      <c r="L206" s="78"/>
    </row>
    <row r="207" customFormat="false" ht="12.75" hidden="false" customHeight="false" outlineLevel="0" collapsed="false">
      <c r="A207" s="78"/>
      <c r="B207" s="79" t="s">
        <v>125</v>
      </c>
      <c r="C207" s="79" t="n">
        <v>0</v>
      </c>
      <c r="D207" s="78"/>
      <c r="E207" s="79"/>
      <c r="F207" s="79"/>
      <c r="G207" s="199"/>
      <c r="H207" s="79"/>
      <c r="I207" s="202" t="s">
        <v>294</v>
      </c>
      <c r="J207" s="78" t="n">
        <v>4063</v>
      </c>
      <c r="K207" s="204" t="n">
        <v>0</v>
      </c>
      <c r="L207" s="78" t="s">
        <v>471</v>
      </c>
    </row>
    <row r="208" customFormat="false" ht="12.75" hidden="false" customHeight="false" outlineLevel="0" collapsed="false">
      <c r="A208" s="78"/>
      <c r="B208" s="200" t="s">
        <v>295</v>
      </c>
      <c r="C208" s="200" t="n">
        <v>4.3</v>
      </c>
      <c r="D208" s="78"/>
      <c r="E208" s="79"/>
      <c r="F208" s="79"/>
      <c r="G208" s="199"/>
      <c r="H208" s="79"/>
      <c r="I208" s="202" t="s">
        <v>117</v>
      </c>
      <c r="J208" s="78" t="n">
        <v>9643</v>
      </c>
      <c r="K208" s="204" t="n">
        <v>2677</v>
      </c>
      <c r="L208" s="78"/>
    </row>
    <row r="209" customFormat="false" ht="12.75" hidden="false" customHeight="false" outlineLevel="0" collapsed="false">
      <c r="A209" s="78"/>
      <c r="B209" s="200" t="s">
        <v>510</v>
      </c>
      <c r="C209" s="200" t="n">
        <v>1.7</v>
      </c>
      <c r="D209" s="78"/>
      <c r="E209" s="79"/>
      <c r="F209" s="79"/>
      <c r="G209" s="199"/>
      <c r="H209" s="78"/>
      <c r="I209" s="202" t="s">
        <v>69</v>
      </c>
      <c r="J209" s="78" t="s">
        <v>417</v>
      </c>
      <c r="K209" s="204" t="n">
        <v>7000</v>
      </c>
      <c r="L209" s="78"/>
    </row>
    <row r="210" customFormat="false" ht="12.75" hidden="false" customHeight="false" outlineLevel="0" collapsed="false">
      <c r="A210" s="78"/>
      <c r="B210" s="200" t="s">
        <v>297</v>
      </c>
      <c r="C210" s="200" t="n">
        <v>0.08</v>
      </c>
      <c r="D210" s="78"/>
      <c r="E210" s="79"/>
      <c r="F210" s="79"/>
      <c r="G210" s="199"/>
      <c r="H210" s="78"/>
      <c r="I210" s="202" t="s">
        <v>296</v>
      </c>
      <c r="J210" s="78" t="n">
        <v>9643</v>
      </c>
      <c r="K210" s="204" t="n">
        <v>0</v>
      </c>
      <c r="L210" s="78" t="s">
        <v>471</v>
      </c>
    </row>
    <row r="211" customFormat="false" ht="12.75" hidden="false" customHeight="false" outlineLevel="0" collapsed="false">
      <c r="A211" s="78"/>
      <c r="B211" s="200" t="s">
        <v>299</v>
      </c>
      <c r="C211" s="200" t="n">
        <v>40</v>
      </c>
      <c r="D211" s="78"/>
      <c r="E211" s="79"/>
      <c r="F211" s="210"/>
      <c r="G211" s="199"/>
      <c r="H211" s="78"/>
      <c r="I211" s="202" t="s">
        <v>298</v>
      </c>
      <c r="J211" s="78" t="n">
        <v>6788</v>
      </c>
      <c r="K211" s="204" t="n">
        <v>0</v>
      </c>
      <c r="L211" s="78" t="s">
        <v>471</v>
      </c>
    </row>
    <row r="212" customFormat="false" ht="12.75" hidden="false" customHeight="false" outlineLevel="0" collapsed="false">
      <c r="A212" s="78"/>
      <c r="B212" s="200" t="s">
        <v>31</v>
      </c>
      <c r="C212" s="200" t="n">
        <v>14.5</v>
      </c>
      <c r="D212" s="78"/>
      <c r="E212" s="79"/>
      <c r="F212" s="79"/>
      <c r="G212" s="199"/>
      <c r="H212" s="78"/>
      <c r="I212" s="202" t="s">
        <v>511</v>
      </c>
      <c r="J212" s="78" t="n">
        <v>6315</v>
      </c>
      <c r="K212" s="204" t="n">
        <v>348</v>
      </c>
      <c r="L212" s="78"/>
    </row>
    <row r="213" customFormat="false" ht="12.75" hidden="false" customHeight="false" outlineLevel="0" collapsed="false">
      <c r="A213" s="78"/>
      <c r="B213" s="200" t="s">
        <v>302</v>
      </c>
      <c r="C213" s="200" t="n">
        <v>0.33</v>
      </c>
      <c r="D213" s="78"/>
      <c r="E213" s="79"/>
      <c r="F213" s="79"/>
      <c r="G213" s="199"/>
      <c r="H213" s="78"/>
      <c r="I213" s="202" t="s">
        <v>300</v>
      </c>
      <c r="J213" s="78" t="n">
        <v>6683</v>
      </c>
      <c r="K213" s="204" t="n">
        <v>2500</v>
      </c>
      <c r="L213" s="78"/>
    </row>
    <row r="214" customFormat="false" ht="12.75" hidden="false" customHeight="false" outlineLevel="0" collapsed="false">
      <c r="A214" s="78"/>
      <c r="B214" s="200" t="s">
        <v>185</v>
      </c>
      <c r="C214" s="200" t="n">
        <v>0</v>
      </c>
      <c r="D214" s="78"/>
      <c r="E214" s="79"/>
      <c r="F214" s="79"/>
      <c r="G214" s="199"/>
      <c r="H214" s="78"/>
      <c r="I214" s="202" t="s">
        <v>301</v>
      </c>
      <c r="J214" s="78" t="n">
        <v>2185</v>
      </c>
      <c r="K214" s="204" t="n">
        <v>49</v>
      </c>
      <c r="L214" s="78"/>
    </row>
    <row r="215" customFormat="false" ht="12.75" hidden="false" customHeight="false" outlineLevel="0" collapsed="false">
      <c r="A215" s="78"/>
      <c r="B215" s="200"/>
      <c r="C215" s="200"/>
      <c r="D215" s="78"/>
      <c r="E215" s="79"/>
      <c r="F215" s="79"/>
      <c r="G215" s="199"/>
      <c r="H215" s="78"/>
      <c r="I215" s="202" t="s">
        <v>301</v>
      </c>
      <c r="J215" s="78" t="n">
        <v>7202</v>
      </c>
      <c r="K215" s="204" t="n">
        <v>30</v>
      </c>
      <c r="L215" s="78"/>
    </row>
    <row r="216" customFormat="false" ht="12.75" hidden="false" customHeight="false" outlineLevel="0" collapsed="false">
      <c r="A216" s="78"/>
      <c r="B216" s="200" t="s">
        <v>305</v>
      </c>
      <c r="C216" s="200" t="n">
        <v>0.7</v>
      </c>
      <c r="D216" s="78"/>
      <c r="E216" s="79"/>
      <c r="F216" s="79"/>
      <c r="G216" s="199"/>
      <c r="H216" s="78" t="s">
        <v>540</v>
      </c>
      <c r="I216" s="202" t="s">
        <v>306</v>
      </c>
      <c r="J216" s="78" t="s">
        <v>418</v>
      </c>
      <c r="K216" s="204" t="n">
        <v>8000</v>
      </c>
      <c r="L216" s="78"/>
    </row>
    <row r="217" customFormat="false" ht="12.75" hidden="false" customHeight="false" outlineLevel="0" collapsed="false">
      <c r="A217" s="78"/>
      <c r="B217" s="200" t="s">
        <v>308</v>
      </c>
      <c r="C217" s="200" t="n">
        <v>60</v>
      </c>
      <c r="D217" s="78"/>
      <c r="E217" s="79"/>
      <c r="F217" s="79"/>
      <c r="G217" s="199"/>
      <c r="H217" s="78" t="s">
        <v>540</v>
      </c>
      <c r="I217" s="202" t="s">
        <v>309</v>
      </c>
      <c r="J217" s="78" t="n">
        <v>4132</v>
      </c>
      <c r="K217" s="204" t="n">
        <v>0</v>
      </c>
      <c r="L217" s="78"/>
    </row>
    <row r="218" customFormat="false" ht="12.75" hidden="false" customHeight="false" outlineLevel="0" collapsed="false">
      <c r="A218" s="78"/>
      <c r="B218" s="200" t="s">
        <v>310</v>
      </c>
      <c r="C218" s="200" t="n">
        <v>0.3</v>
      </c>
      <c r="D218" s="78"/>
      <c r="E218" s="79"/>
      <c r="F218" s="79"/>
      <c r="G218" s="199"/>
      <c r="H218" s="78"/>
      <c r="I218" s="202" t="s">
        <v>118</v>
      </c>
      <c r="J218" s="78" t="n">
        <v>2540</v>
      </c>
      <c r="K218" s="204" t="n">
        <v>7</v>
      </c>
      <c r="L218" s="78"/>
    </row>
    <row r="219" customFormat="false" ht="12.75" hidden="false" customHeight="false" outlineLevel="0" collapsed="false">
      <c r="A219" s="78"/>
      <c r="B219" s="200" t="s">
        <v>311</v>
      </c>
      <c r="C219" s="200" t="n">
        <v>0.117</v>
      </c>
      <c r="D219" s="78"/>
      <c r="E219" s="79"/>
      <c r="F219" s="79"/>
      <c r="G219" s="199"/>
      <c r="H219" s="78"/>
      <c r="I219" s="202" t="s">
        <v>312</v>
      </c>
      <c r="J219" s="78" t="n">
        <v>9643</v>
      </c>
      <c r="K219" s="204" t="n">
        <v>0</v>
      </c>
      <c r="L219" s="78"/>
    </row>
    <row r="220" customFormat="false" ht="12.75" hidden="false" customHeight="false" outlineLevel="0" collapsed="false">
      <c r="A220" s="78"/>
      <c r="B220" s="200" t="s">
        <v>313</v>
      </c>
      <c r="C220" s="200" t="n">
        <v>0</v>
      </c>
      <c r="D220" s="78"/>
      <c r="E220" s="79"/>
      <c r="F220" s="79"/>
      <c r="G220" s="199"/>
      <c r="H220" s="78"/>
      <c r="I220" s="202" t="s">
        <v>312</v>
      </c>
      <c r="J220" s="78" t="n">
        <v>5801</v>
      </c>
      <c r="K220" s="204" t="n">
        <v>0</v>
      </c>
      <c r="L220" s="78" t="s">
        <v>471</v>
      </c>
    </row>
    <row r="221" customFormat="false" ht="12.75" hidden="false" customHeight="false" outlineLevel="0" collapsed="false">
      <c r="A221" s="78"/>
      <c r="B221" s="200" t="s">
        <v>314</v>
      </c>
      <c r="C221" s="200" t="n">
        <v>0.05</v>
      </c>
      <c r="D221" s="78"/>
      <c r="E221" s="79"/>
      <c r="F221" s="79"/>
      <c r="G221" s="199"/>
      <c r="H221" s="78"/>
      <c r="I221" s="202" t="s">
        <v>315</v>
      </c>
      <c r="J221" s="78" t="n">
        <v>6589</v>
      </c>
      <c r="K221" s="204" t="n">
        <v>0</v>
      </c>
      <c r="L221" s="206" t="s">
        <v>442</v>
      </c>
    </row>
    <row r="222" customFormat="false" ht="12.75" hidden="false" customHeight="false" outlineLevel="0" collapsed="false">
      <c r="A222" s="78"/>
      <c r="B222" s="200"/>
      <c r="C222" s="200"/>
      <c r="D222" s="78"/>
      <c r="E222" s="79"/>
      <c r="F222" s="79"/>
      <c r="G222" s="199"/>
      <c r="H222" s="78" t="s">
        <v>540</v>
      </c>
      <c r="I222" s="202" t="s">
        <v>316</v>
      </c>
      <c r="J222" s="78" t="n">
        <v>106</v>
      </c>
      <c r="K222" s="204" t="n">
        <v>0</v>
      </c>
      <c r="L222" s="78"/>
      <c r="M222" s="214" t="n">
        <v>34771</v>
      </c>
      <c r="N222" s="1" t="s">
        <v>478</v>
      </c>
    </row>
    <row r="223" customFormat="false" ht="12.75" hidden="false" customHeight="false" outlineLevel="0" collapsed="false">
      <c r="A223" s="78"/>
      <c r="B223" s="200"/>
      <c r="C223" s="199"/>
      <c r="D223" s="78"/>
      <c r="E223" s="79"/>
      <c r="F223" s="79"/>
      <c r="G223" s="199"/>
      <c r="H223" s="78"/>
      <c r="I223" s="202" t="s">
        <v>321</v>
      </c>
      <c r="J223" s="78" t="n">
        <v>6598</v>
      </c>
      <c r="K223" s="204" t="n">
        <v>0</v>
      </c>
      <c r="L223" s="78" t="s">
        <v>471</v>
      </c>
    </row>
    <row r="224" customFormat="false" ht="12.75" hidden="false" customHeight="false" outlineLevel="0" collapsed="false">
      <c r="A224" s="78"/>
      <c r="B224" s="200"/>
      <c r="C224" s="200"/>
      <c r="D224" s="78"/>
      <c r="E224" s="79"/>
      <c r="F224" s="79"/>
      <c r="G224" s="199"/>
      <c r="H224" s="78"/>
      <c r="I224" s="199"/>
      <c r="J224" s="78"/>
      <c r="K224" s="337" t="n">
        <f aca="false">SUM(K140:K223)</f>
        <v>53019</v>
      </c>
    </row>
    <row r="225" customFormat="false" ht="12.75" hidden="false" customHeight="false" outlineLevel="0" collapsed="false">
      <c r="B225" s="200"/>
      <c r="C225" s="200"/>
      <c r="D225" s="78"/>
      <c r="E225" s="79"/>
      <c r="F225" s="79"/>
      <c r="G225" s="199"/>
      <c r="H225" s="78"/>
      <c r="I225" s="199"/>
      <c r="J225" s="78"/>
      <c r="K225" s="204"/>
      <c r="L225" s="78"/>
    </row>
    <row r="226" customFormat="false" ht="12.75" hidden="false" customHeight="false" outlineLevel="0" collapsed="false">
      <c r="B226" s="0"/>
      <c r="C226" s="213" t="n">
        <f aca="false">SUM(C140:C225)</f>
        <v>429.912</v>
      </c>
      <c r="D226" s="78"/>
      <c r="E226" s="79"/>
      <c r="F226" s="79"/>
      <c r="G226" s="199"/>
      <c r="H226" s="78"/>
      <c r="I226" s="202"/>
      <c r="J226" s="78"/>
      <c r="K226" s="202"/>
      <c r="L226" s="78"/>
    </row>
    <row r="227" customFormat="false" ht="12.75" hidden="false" customHeight="false" outlineLevel="0" collapsed="false">
      <c r="B227" s="0"/>
      <c r="C227" s="79"/>
      <c r="D227" s="78"/>
      <c r="E227" s="79"/>
      <c r="F227" s="78"/>
      <c r="G227" s="202"/>
      <c r="H227" s="78"/>
      <c r="I227" s="202"/>
      <c r="J227" s="78"/>
      <c r="L227" s="78"/>
    </row>
    <row r="228" customFormat="false" ht="12.75" hidden="false" customHeight="false" outlineLevel="0" collapsed="false">
      <c r="B228" s="0"/>
      <c r="C228" s="79"/>
      <c r="D228" s="78"/>
      <c r="E228" s="213"/>
      <c r="F228" s="78"/>
      <c r="G228" s="78"/>
      <c r="H228" s="78"/>
      <c r="I228" s="202"/>
      <c r="J228" s="78"/>
      <c r="K228" s="204"/>
      <c r="L228" s="78"/>
    </row>
    <row r="229" customFormat="false" ht="12.75" hidden="false" customHeight="false" outlineLevel="0" collapsed="false">
      <c r="A229" s="215"/>
      <c r="B229" s="0"/>
      <c r="C229" s="79"/>
      <c r="D229" s="78"/>
      <c r="E229" s="78"/>
      <c r="F229" s="78"/>
      <c r="G229" s="78"/>
      <c r="H229" s="78"/>
      <c r="I229" s="202"/>
      <c r="J229" s="78"/>
      <c r="K229" s="202"/>
      <c r="L229" s="78"/>
    </row>
    <row r="230" customFormat="false" ht="12.75" hidden="false" customHeight="false" outlineLevel="0" collapsed="false">
      <c r="B230" s="216" t="s">
        <v>11</v>
      </c>
      <c r="C230" s="200" t="n">
        <v>0</v>
      </c>
      <c r="D230" s="78"/>
      <c r="E230" s="78"/>
      <c r="F230" s="78"/>
      <c r="G230" s="78"/>
      <c r="H230" s="78"/>
      <c r="I230" s="202"/>
      <c r="J230" s="78"/>
      <c r="K230" s="204"/>
      <c r="L230" s="78"/>
    </row>
    <row r="231" customFormat="false" ht="12.75" hidden="false" customHeight="false" outlineLevel="0" collapsed="false">
      <c r="B231" s="216" t="s">
        <v>9</v>
      </c>
      <c r="C231" s="200" t="n">
        <v>0</v>
      </c>
      <c r="D231" s="78"/>
      <c r="E231" s="78"/>
      <c r="F231" s="78"/>
      <c r="G231" s="78"/>
      <c r="H231" s="78"/>
      <c r="I231" s="202"/>
      <c r="J231" s="78"/>
      <c r="K231" s="204"/>
      <c r="L231" s="78"/>
    </row>
    <row r="232" customFormat="false" ht="12.75" hidden="false" customHeight="false" outlineLevel="0" collapsed="false">
      <c r="B232" s="216" t="s">
        <v>323</v>
      </c>
      <c r="C232" s="200" t="n">
        <v>0</v>
      </c>
      <c r="D232" s="78"/>
      <c r="E232" s="78"/>
      <c r="F232" s="78"/>
      <c r="G232" s="78"/>
      <c r="H232" s="78"/>
      <c r="I232" s="202"/>
      <c r="J232" s="78"/>
      <c r="K232" s="204"/>
      <c r="L232" s="78"/>
    </row>
    <row r="233" customFormat="false" ht="12.75" hidden="false" customHeight="false" outlineLevel="0" collapsed="false">
      <c r="B233" s="216" t="s">
        <v>15</v>
      </c>
      <c r="C233" s="200" t="n">
        <v>0</v>
      </c>
      <c r="D233" s="78" t="n">
        <v>3</v>
      </c>
      <c r="E233" s="78"/>
      <c r="F233" s="78" t="n">
        <v>5</v>
      </c>
      <c r="G233" s="78"/>
      <c r="H233" s="78"/>
      <c r="I233" s="202"/>
      <c r="J233" s="78"/>
      <c r="K233" s="204"/>
      <c r="L233" s="78"/>
    </row>
    <row r="234" customFormat="false" ht="12.75" hidden="false" customHeight="false" outlineLevel="0" collapsed="false">
      <c r="B234" s="216" t="s">
        <v>227</v>
      </c>
      <c r="C234" s="200" t="n">
        <v>0</v>
      </c>
      <c r="D234" s="78" t="s">
        <v>324</v>
      </c>
      <c r="E234" s="78"/>
      <c r="F234" s="78" t="n">
        <v>10</v>
      </c>
      <c r="G234" s="78"/>
      <c r="H234" s="78"/>
      <c r="I234" s="79"/>
      <c r="J234" s="78"/>
      <c r="K234" s="204"/>
      <c r="L234" s="78"/>
    </row>
    <row r="235" customFormat="false" ht="12.75" hidden="false" customHeight="false" outlineLevel="0" collapsed="false">
      <c r="B235" s="216" t="s">
        <v>53</v>
      </c>
      <c r="C235" s="200" t="n">
        <v>0</v>
      </c>
      <c r="D235" s="78"/>
      <c r="E235" s="78"/>
      <c r="F235" s="78"/>
      <c r="G235" s="78"/>
      <c r="H235" s="78"/>
      <c r="I235" s="78"/>
      <c r="J235" s="78"/>
    </row>
    <row r="236" customFormat="false" ht="12.75" hidden="false" customHeight="false" outlineLevel="0" collapsed="false">
      <c r="B236" s="216" t="s">
        <v>21</v>
      </c>
      <c r="C236" s="200" t="n">
        <v>0</v>
      </c>
      <c r="D236" s="78" t="s">
        <v>325</v>
      </c>
      <c r="E236" s="78"/>
      <c r="F236" s="78"/>
      <c r="G236" s="78"/>
      <c r="H236" s="78"/>
      <c r="I236" s="78"/>
      <c r="J236" s="78"/>
      <c r="K236" s="78"/>
    </row>
    <row r="237" customFormat="false" ht="12.75" hidden="false" customHeight="false" outlineLevel="0" collapsed="false">
      <c r="B237" s="216" t="s">
        <v>19</v>
      </c>
      <c r="C237" s="200" t="n">
        <v>0</v>
      </c>
      <c r="D237" s="78"/>
      <c r="E237" s="78"/>
      <c r="F237" s="78" t="n">
        <v>5</v>
      </c>
      <c r="G237" s="78"/>
      <c r="H237" s="78"/>
      <c r="I237" s="78"/>
      <c r="J237" s="78"/>
      <c r="K237" s="78"/>
    </row>
    <row r="238" customFormat="false" ht="12.75" hidden="false" customHeight="false" outlineLevel="0" collapsed="false">
      <c r="B238" s="216" t="s">
        <v>23</v>
      </c>
      <c r="C238" s="200" t="n">
        <v>0</v>
      </c>
      <c r="D238" s="78"/>
      <c r="E238" s="78"/>
      <c r="F238" s="78" t="n">
        <v>15</v>
      </c>
      <c r="G238" s="78"/>
      <c r="H238" s="78"/>
      <c r="I238" s="78"/>
      <c r="J238" s="78"/>
      <c r="K238" s="78"/>
    </row>
    <row r="239" customFormat="false" ht="12.75" hidden="false" customHeight="false" outlineLevel="0" collapsed="false">
      <c r="A239" s="1" t="s">
        <v>326</v>
      </c>
      <c r="B239" s="0" t="s">
        <v>250</v>
      </c>
      <c r="C239" s="79" t="n">
        <v>0</v>
      </c>
      <c r="D239" s="78" t="s">
        <v>324</v>
      </c>
      <c r="E239" s="78"/>
      <c r="F239" s="78" t="n">
        <v>15</v>
      </c>
      <c r="G239" s="78"/>
      <c r="H239" s="78"/>
      <c r="I239" s="78"/>
      <c r="J239" s="78"/>
      <c r="K239" s="78"/>
    </row>
    <row r="240" customFormat="false" ht="12.75" hidden="false" customHeight="false" outlineLevel="0" collapsed="false">
      <c r="B240" s="216" t="s">
        <v>270</v>
      </c>
      <c r="C240" s="200" t="n">
        <v>0</v>
      </c>
      <c r="D240" s="78" t="s">
        <v>324</v>
      </c>
      <c r="E240" s="78"/>
      <c r="F240" s="78" t="n">
        <v>5</v>
      </c>
      <c r="G240" s="78"/>
      <c r="H240" s="78"/>
      <c r="I240" s="78"/>
      <c r="J240" s="78"/>
      <c r="K240" s="78"/>
    </row>
    <row r="241" customFormat="false" ht="12.75" hidden="false" customHeight="false" outlineLevel="0" collapsed="false">
      <c r="B241" s="216" t="s">
        <v>327</v>
      </c>
      <c r="C241" s="200" t="n">
        <v>0</v>
      </c>
      <c r="D241" s="78" t="s">
        <v>324</v>
      </c>
      <c r="E241" s="78"/>
      <c r="F241" s="78"/>
      <c r="G241" s="78"/>
      <c r="H241" s="78"/>
      <c r="I241" s="79"/>
      <c r="J241" s="78"/>
      <c r="K241" s="78"/>
    </row>
    <row r="242" customFormat="false" ht="12.75" hidden="false" customHeight="false" outlineLevel="0" collapsed="false">
      <c r="B242" s="0" t="s">
        <v>299</v>
      </c>
      <c r="C242" s="199" t="n">
        <v>0</v>
      </c>
      <c r="D242" s="78"/>
      <c r="E242" s="78"/>
      <c r="F242" s="78" t="n">
        <f aca="false">SUM(F233:F241)</f>
        <v>55</v>
      </c>
      <c r="G242" s="78"/>
      <c r="H242" s="78"/>
      <c r="I242" s="78"/>
      <c r="J242" s="78"/>
    </row>
    <row r="243" customFormat="false" ht="12.75" hidden="false" customHeight="false" outlineLevel="0" collapsed="false">
      <c r="B243" s="0" t="s">
        <v>31</v>
      </c>
      <c r="C243" s="199" t="n">
        <v>0</v>
      </c>
      <c r="D243" s="78" t="s">
        <v>328</v>
      </c>
      <c r="E243" s="78"/>
      <c r="F243" s="78"/>
      <c r="G243" s="78"/>
      <c r="H243" s="78"/>
      <c r="I243" s="78"/>
      <c r="J243" s="78"/>
    </row>
    <row r="244" customFormat="false" ht="12.75" hidden="false" customHeight="false" outlineLevel="0" collapsed="false">
      <c r="B244" s="0" t="s">
        <v>317</v>
      </c>
      <c r="C244" s="199" t="n">
        <v>0</v>
      </c>
      <c r="D244" s="78"/>
      <c r="E244" s="78"/>
      <c r="F244" s="78"/>
      <c r="G244" s="78"/>
      <c r="H244" s="78"/>
      <c r="I244" s="78"/>
      <c r="J244" s="78"/>
    </row>
    <row r="245" customFormat="false" ht="12.75" hidden="false" customHeight="false" outlineLevel="0" collapsed="false">
      <c r="B245" s="0" t="s">
        <v>329</v>
      </c>
      <c r="C245" s="199" t="n">
        <v>0</v>
      </c>
      <c r="D245" s="78"/>
      <c r="E245" s="78"/>
      <c r="F245" s="78"/>
      <c r="G245" s="78"/>
      <c r="H245" s="78"/>
      <c r="I245" s="78"/>
      <c r="J245" s="78"/>
    </row>
    <row r="246" customFormat="false" ht="12.75" hidden="false" customHeight="false" outlineLevel="0" collapsed="false">
      <c r="B246" s="0" t="s">
        <v>330</v>
      </c>
      <c r="C246" s="217" t="n">
        <f aca="false">SUM(C230:C245)</f>
        <v>0</v>
      </c>
      <c r="D246" s="78"/>
      <c r="E246" s="78"/>
      <c r="F246" s="78"/>
      <c r="G246" s="78"/>
      <c r="H246" s="78"/>
      <c r="I246" s="78"/>
      <c r="J246" s="78"/>
    </row>
    <row r="247" customFormat="false" ht="12.75" hidden="false" customHeight="false" outlineLevel="0" collapsed="false">
      <c r="B247" s="48"/>
      <c r="C247" s="48"/>
      <c r="D247" s="78"/>
      <c r="E247" s="78"/>
      <c r="G247" s="78"/>
      <c r="H247" s="78"/>
      <c r="I247" s="78"/>
      <c r="J247" s="78"/>
    </row>
    <row r="248" customFormat="false" ht="12.75" hidden="false" customHeight="false" outlineLevel="0" collapsed="false">
      <c r="B248" s="0"/>
      <c r="C248" s="0" t="n">
        <f aca="false">C226+C246</f>
        <v>429.912</v>
      </c>
      <c r="D248" s="78"/>
      <c r="H248" s="78"/>
      <c r="I248" s="78"/>
      <c r="J248" s="78"/>
    </row>
    <row r="249" customFormat="false" ht="12.75" hidden="false" customHeight="false" outlineLevel="0" collapsed="false">
      <c r="B249" s="0"/>
      <c r="C249" s="0"/>
      <c r="H249" s="78"/>
      <c r="I249" s="78"/>
      <c r="J249" s="78"/>
    </row>
    <row r="250" customFormat="false" ht="12.75" hidden="false" customHeight="false" outlineLevel="0" collapsed="false">
      <c r="B250" s="0"/>
      <c r="C250" s="0" t="n">
        <f aca="false">E228-C248</f>
        <v>-429.912</v>
      </c>
      <c r="H250" s="78"/>
      <c r="I250" s="78"/>
      <c r="J250" s="78"/>
      <c r="O250" s="219"/>
      <c r="P250" s="219"/>
      <c r="Q250" s="219"/>
      <c r="R250" s="219"/>
      <c r="S250" s="220"/>
    </row>
    <row r="251" customFormat="false" ht="12.75" hidden="false" customHeight="false" outlineLevel="0" collapsed="false">
      <c r="B251" s="0"/>
      <c r="C251" s="0"/>
      <c r="G251" s="218" t="s">
        <v>331</v>
      </c>
      <c r="I251" s="78"/>
      <c r="J251" s="78"/>
      <c r="O251" s="223"/>
      <c r="P251" s="223"/>
      <c r="Q251" s="223"/>
      <c r="R251" s="87"/>
      <c r="S251" s="181"/>
    </row>
    <row r="252" customFormat="false" ht="12.75" hidden="false" customHeight="false" outlineLevel="0" collapsed="false">
      <c r="G252" s="221"/>
      <c r="I252" s="79"/>
      <c r="J252" s="78"/>
      <c r="N252" s="219"/>
      <c r="O252" s="87"/>
      <c r="P252" s="87"/>
      <c r="Q252" s="87"/>
      <c r="R252" s="87"/>
      <c r="S252" s="184"/>
    </row>
    <row r="253" customFormat="false" ht="12.75" hidden="false" customHeight="false" outlineLevel="0" collapsed="false">
      <c r="G253" s="224"/>
      <c r="H253" s="219"/>
      <c r="I253" s="79"/>
      <c r="J253" s="78"/>
      <c r="M253" s="219"/>
      <c r="N253" s="223"/>
      <c r="O253" s="87"/>
      <c r="P253" s="87"/>
      <c r="Q253" s="87"/>
      <c r="R253" s="87"/>
      <c r="S253" s="184"/>
    </row>
    <row r="254" customFormat="false" ht="12.75" hidden="false" customHeight="false" outlineLevel="0" collapsed="false">
      <c r="B254" s="0"/>
      <c r="C254" s="225"/>
      <c r="G254" s="224"/>
      <c r="H254" s="222" t="s">
        <v>332</v>
      </c>
      <c r="I254" s="219"/>
      <c r="J254" s="219"/>
      <c r="K254" s="219"/>
      <c r="M254" s="223"/>
      <c r="N254" s="87"/>
      <c r="O254" s="87"/>
      <c r="P254" s="87"/>
      <c r="Q254" s="87"/>
      <c r="R254" s="87"/>
      <c r="S254" s="184"/>
    </row>
    <row r="255" customFormat="false" ht="12.75" hidden="false" customHeight="false" outlineLevel="0" collapsed="false">
      <c r="B255" s="0"/>
      <c r="C255" s="225"/>
      <c r="G255" s="224"/>
      <c r="H255" s="87"/>
      <c r="I255" s="226"/>
      <c r="J255" s="227"/>
      <c r="K255" s="223"/>
      <c r="L255" s="219"/>
      <c r="M255" s="87"/>
      <c r="N255" s="87"/>
      <c r="O255" s="87"/>
      <c r="P255" s="87"/>
      <c r="Q255" s="87"/>
      <c r="R255" s="87"/>
      <c r="S255" s="184"/>
    </row>
    <row r="256" customFormat="false" ht="12.75" hidden="false" customHeight="false" outlineLevel="0" collapsed="false">
      <c r="B256" s="0"/>
      <c r="C256" s="225"/>
      <c r="G256" s="224"/>
      <c r="H256" s="87"/>
      <c r="I256" s="81" t="s">
        <v>334</v>
      </c>
      <c r="J256" s="228" t="n">
        <v>0</v>
      </c>
      <c r="K256" s="87"/>
      <c r="L256" s="223"/>
      <c r="M256" s="87"/>
      <c r="N256" s="87"/>
      <c r="O256" s="87"/>
      <c r="P256" s="87"/>
      <c r="Q256" s="87"/>
      <c r="R256" s="87"/>
      <c r="S256" s="184"/>
    </row>
    <row r="257" customFormat="false" ht="12.75" hidden="false" customHeight="false" outlineLevel="0" collapsed="false">
      <c r="B257" s="0"/>
      <c r="C257" s="225"/>
      <c r="G257" s="224"/>
      <c r="H257" s="87"/>
      <c r="I257" s="87" t="s">
        <v>335</v>
      </c>
      <c r="J257" s="214" t="n">
        <v>0</v>
      </c>
      <c r="K257" s="87"/>
      <c r="L257" s="87"/>
      <c r="M257" s="87"/>
      <c r="N257" s="87"/>
      <c r="O257" s="87"/>
      <c r="P257" s="87"/>
      <c r="Q257" s="87"/>
      <c r="R257" s="87"/>
      <c r="S257" s="184"/>
    </row>
    <row r="258" customFormat="false" ht="12.75" hidden="false" customHeight="false" outlineLevel="0" collapsed="false">
      <c r="B258" s="0"/>
      <c r="C258" s="225"/>
      <c r="G258" s="224"/>
      <c r="H258" s="87"/>
      <c r="I258" s="87" t="s">
        <v>336</v>
      </c>
      <c r="J258" s="214" t="n">
        <v>0</v>
      </c>
      <c r="K258" s="87"/>
      <c r="L258" s="87"/>
      <c r="M258" s="87"/>
      <c r="N258" s="87"/>
      <c r="O258" s="87"/>
      <c r="P258" s="87"/>
      <c r="Q258" s="87"/>
      <c r="R258" s="87"/>
      <c r="S258" s="184"/>
    </row>
    <row r="259" customFormat="false" ht="12.75" hidden="false" customHeight="false" outlineLevel="0" collapsed="false">
      <c r="B259" s="0"/>
      <c r="C259" s="225"/>
      <c r="G259" s="224"/>
      <c r="H259" s="87"/>
      <c r="I259" s="87" t="s">
        <v>337</v>
      </c>
      <c r="J259" s="214" t="n">
        <v>0</v>
      </c>
      <c r="K259" s="87"/>
      <c r="L259" s="87"/>
      <c r="M259" s="87"/>
      <c r="N259" s="87"/>
      <c r="O259" s="87"/>
      <c r="P259" s="87"/>
      <c r="Q259" s="87"/>
      <c r="R259" s="87"/>
      <c r="S259" s="184"/>
    </row>
    <row r="260" customFormat="false" ht="12.75" hidden="false" customHeight="false" outlineLevel="0" collapsed="false">
      <c r="B260" s="0"/>
      <c r="C260" s="225"/>
      <c r="G260" s="224"/>
      <c r="H260" s="87"/>
      <c r="I260" s="87" t="s">
        <v>338</v>
      </c>
      <c r="J260" s="214" t="n">
        <v>0</v>
      </c>
      <c r="K260" s="87"/>
      <c r="L260" s="87"/>
      <c r="M260" s="87"/>
      <c r="N260" s="87"/>
      <c r="O260" s="87"/>
      <c r="P260" s="87"/>
      <c r="Q260" s="87"/>
      <c r="R260" s="87"/>
      <c r="S260" s="184"/>
    </row>
    <row r="261" customFormat="false" ht="12.75" hidden="false" customHeight="false" outlineLevel="0" collapsed="false">
      <c r="B261" s="0"/>
      <c r="C261" s="225"/>
      <c r="G261" s="224"/>
      <c r="H261" s="87"/>
      <c r="I261" s="87" t="s">
        <v>339</v>
      </c>
      <c r="J261" s="214" t="n">
        <v>0</v>
      </c>
      <c r="K261" s="87"/>
      <c r="L261" s="87"/>
      <c r="M261" s="87"/>
      <c r="N261" s="87"/>
      <c r="O261" s="87"/>
      <c r="P261" s="87"/>
      <c r="Q261" s="87"/>
      <c r="R261" s="87"/>
      <c r="S261" s="184"/>
    </row>
    <row r="262" customFormat="false" ht="12.75" hidden="false" customHeight="false" outlineLevel="0" collapsed="false">
      <c r="B262" s="0"/>
      <c r="C262" s="225"/>
      <c r="G262" s="224"/>
      <c r="H262" s="87"/>
      <c r="I262" s="87" t="s">
        <v>340</v>
      </c>
      <c r="J262" s="230" t="n">
        <v>0</v>
      </c>
      <c r="K262" s="87"/>
      <c r="L262" s="87"/>
      <c r="M262" s="87"/>
      <c r="N262" s="87"/>
      <c r="O262" s="87"/>
      <c r="P262" s="87"/>
      <c r="Q262" s="87"/>
      <c r="R262" s="87"/>
      <c r="S262" s="184"/>
    </row>
    <row r="263" customFormat="false" ht="12.75" hidden="false" customHeight="false" outlineLevel="0" collapsed="false">
      <c r="B263" s="0"/>
      <c r="C263" s="225"/>
      <c r="G263" s="224"/>
      <c r="H263" s="87" t="s">
        <v>333</v>
      </c>
      <c r="I263" s="87"/>
      <c r="J263" s="214" t="n">
        <f aca="false">SUM(J256:J262)</f>
        <v>0</v>
      </c>
      <c r="K263" s="87"/>
      <c r="L263" s="87"/>
      <c r="M263" s="87"/>
      <c r="N263" s="87"/>
      <c r="O263" s="87"/>
      <c r="P263" s="87"/>
      <c r="Q263" s="87"/>
      <c r="R263" s="87"/>
      <c r="S263" s="184"/>
    </row>
    <row r="264" customFormat="false" ht="12.75" hidden="false" customHeight="false" outlineLevel="0" collapsed="false">
      <c r="B264" s="0"/>
      <c r="C264" s="225"/>
      <c r="G264" s="224"/>
      <c r="H264" s="87"/>
      <c r="I264" s="87"/>
      <c r="J264" s="214"/>
      <c r="K264" s="87"/>
      <c r="L264" s="87"/>
      <c r="M264" s="87"/>
      <c r="N264" s="87"/>
      <c r="O264" s="87"/>
      <c r="P264" s="87"/>
      <c r="Q264" s="87"/>
      <c r="R264" s="87"/>
      <c r="S264" s="184"/>
    </row>
    <row r="265" customFormat="false" ht="12.75" hidden="false" customHeight="false" outlineLevel="0" collapsed="false">
      <c r="B265" s="0"/>
      <c r="C265" s="225"/>
      <c r="G265" s="224"/>
      <c r="H265" s="87"/>
      <c r="I265" s="87" t="s">
        <v>342</v>
      </c>
      <c r="J265" s="214" t="n">
        <v>0</v>
      </c>
      <c r="K265" s="87"/>
      <c r="L265" s="87"/>
      <c r="M265" s="87"/>
      <c r="N265" s="87"/>
      <c r="O265" s="87"/>
      <c r="P265" s="87"/>
      <c r="Q265" s="87"/>
      <c r="R265" s="87"/>
      <c r="S265" s="184"/>
    </row>
    <row r="266" customFormat="false" ht="12.75" hidden="false" customHeight="false" outlineLevel="0" collapsed="false">
      <c r="B266" s="0"/>
      <c r="C266" s="225"/>
      <c r="G266" s="224"/>
      <c r="H266" s="87"/>
      <c r="I266" s="87" t="s">
        <v>344</v>
      </c>
      <c r="J266" s="214" t="n">
        <v>0</v>
      </c>
      <c r="K266" s="87"/>
      <c r="L266" s="87"/>
      <c r="M266" s="87"/>
      <c r="N266" s="87"/>
      <c r="O266" s="87"/>
      <c r="P266" s="87"/>
      <c r="Q266" s="87"/>
      <c r="R266" s="87"/>
      <c r="S266" s="184"/>
    </row>
    <row r="267" customFormat="false" ht="12.75" hidden="false" customHeight="false" outlineLevel="0" collapsed="false">
      <c r="B267" s="0"/>
      <c r="C267" s="225"/>
      <c r="G267" s="224"/>
      <c r="H267" s="87"/>
      <c r="I267" s="87" t="s">
        <v>345</v>
      </c>
      <c r="J267" s="214" t="n">
        <v>0</v>
      </c>
      <c r="K267" s="87"/>
      <c r="L267" s="87"/>
      <c r="M267" s="87"/>
      <c r="N267" s="87"/>
      <c r="O267" s="87"/>
      <c r="P267" s="87"/>
      <c r="Q267" s="87"/>
      <c r="R267" s="87"/>
      <c r="S267" s="184"/>
    </row>
    <row r="268" customFormat="false" ht="12.75" hidden="false" customHeight="false" outlineLevel="0" collapsed="false">
      <c r="B268" s="0"/>
      <c r="C268" s="225"/>
      <c r="G268" s="224"/>
      <c r="H268" s="87"/>
      <c r="I268" s="87" t="s">
        <v>346</v>
      </c>
      <c r="J268" s="214" t="n">
        <v>0</v>
      </c>
      <c r="K268" s="87"/>
      <c r="L268" s="87"/>
      <c r="M268" s="87"/>
      <c r="N268" s="87"/>
      <c r="O268" s="87"/>
      <c r="P268" s="87"/>
      <c r="Q268" s="87"/>
      <c r="R268" s="87"/>
      <c r="S268" s="184"/>
    </row>
    <row r="269" customFormat="false" ht="12.75" hidden="false" customHeight="false" outlineLevel="0" collapsed="false">
      <c r="B269" s="48"/>
      <c r="C269" s="229"/>
      <c r="G269" s="224"/>
      <c r="H269" s="87"/>
      <c r="I269" s="87" t="s">
        <v>347</v>
      </c>
      <c r="J269" s="214" t="n">
        <v>0</v>
      </c>
      <c r="K269" s="87"/>
      <c r="L269" s="87"/>
      <c r="M269" s="87"/>
      <c r="N269" s="87"/>
      <c r="O269" s="87"/>
      <c r="P269" s="87"/>
      <c r="Q269" s="87"/>
      <c r="R269" s="87"/>
      <c r="S269" s="184"/>
    </row>
    <row r="270" customFormat="false" ht="12.75" hidden="false" customHeight="false" outlineLevel="0" collapsed="false">
      <c r="B270" s="0"/>
      <c r="C270" s="225"/>
      <c r="G270" s="224"/>
      <c r="H270" s="87"/>
      <c r="I270" s="87" t="s">
        <v>350</v>
      </c>
      <c r="J270" s="214" t="n">
        <v>0</v>
      </c>
      <c r="K270" s="87"/>
      <c r="L270" s="87"/>
      <c r="M270" s="87"/>
      <c r="N270" s="87"/>
      <c r="O270" s="87"/>
      <c r="P270" s="87"/>
      <c r="Q270" s="87"/>
      <c r="R270" s="87"/>
      <c r="S270" s="184"/>
    </row>
    <row r="271" customFormat="false" ht="12.75" hidden="false" customHeight="false" outlineLevel="0" collapsed="false">
      <c r="B271" s="0"/>
      <c r="C271" s="225"/>
      <c r="G271" s="224"/>
      <c r="H271" s="87"/>
      <c r="I271" s="87" t="s">
        <v>351</v>
      </c>
      <c r="J271" s="214" t="n">
        <v>0</v>
      </c>
      <c r="K271" s="87"/>
      <c r="L271" s="87"/>
      <c r="M271" s="87"/>
      <c r="N271" s="87"/>
      <c r="O271" s="87"/>
      <c r="P271" s="87"/>
      <c r="Q271" s="87"/>
      <c r="R271" s="87"/>
      <c r="S271" s="184"/>
    </row>
    <row r="272" customFormat="false" ht="12.75" hidden="false" customHeight="false" outlineLevel="0" collapsed="false">
      <c r="B272" s="0"/>
      <c r="C272" s="225"/>
      <c r="G272" s="224"/>
      <c r="H272" s="87"/>
      <c r="I272" s="87" t="s">
        <v>354</v>
      </c>
      <c r="J272" s="214" t="n">
        <v>0</v>
      </c>
      <c r="K272" s="87"/>
      <c r="L272" s="87"/>
      <c r="M272" s="87"/>
      <c r="N272" s="87"/>
      <c r="O272" s="87"/>
      <c r="P272" s="87"/>
      <c r="Q272" s="87"/>
      <c r="R272" s="87"/>
      <c r="S272" s="184"/>
    </row>
    <row r="273" customFormat="false" ht="12.75" hidden="false" customHeight="false" outlineLevel="0" collapsed="false">
      <c r="B273" s="0"/>
      <c r="C273" s="225"/>
      <c r="G273" s="224"/>
      <c r="H273" s="87"/>
      <c r="I273" s="87" t="s">
        <v>234</v>
      </c>
      <c r="J273" s="230" t="n">
        <v>0</v>
      </c>
      <c r="K273" s="87"/>
      <c r="L273" s="87"/>
      <c r="M273" s="87"/>
      <c r="N273" s="87"/>
      <c r="O273" s="87"/>
      <c r="P273" s="87"/>
      <c r="Q273" s="87" t="s">
        <v>343</v>
      </c>
      <c r="R273" s="87"/>
      <c r="S273" s="184"/>
    </row>
    <row r="274" customFormat="false" ht="12.75" hidden="false" customHeight="false" outlineLevel="0" collapsed="false">
      <c r="B274" s="0"/>
      <c r="C274" s="225"/>
      <c r="G274" s="224"/>
      <c r="H274" s="87"/>
      <c r="I274" s="87"/>
      <c r="J274" s="214" t="n">
        <f aca="false">SUM(J263:J273)</f>
        <v>0</v>
      </c>
      <c r="K274" s="87"/>
      <c r="L274" s="87"/>
      <c r="M274" s="87"/>
      <c r="N274" s="87"/>
      <c r="O274" s="87"/>
      <c r="P274" s="214" t="n">
        <v>-31732</v>
      </c>
      <c r="Q274" s="87"/>
      <c r="R274" s="87"/>
      <c r="S274" s="184"/>
    </row>
    <row r="275" customFormat="false" ht="12.75" hidden="false" customHeight="false" outlineLevel="0" collapsed="false">
      <c r="B275" s="0"/>
      <c r="C275" s="225"/>
      <c r="G275" s="224"/>
      <c r="H275" s="87" t="s">
        <v>341</v>
      </c>
      <c r="I275" s="87"/>
      <c r="J275" s="214"/>
      <c r="K275" s="87"/>
      <c r="L275" s="87"/>
      <c r="M275" s="87"/>
      <c r="N275" s="87"/>
      <c r="O275" s="87"/>
      <c r="P275" s="214"/>
      <c r="Q275" s="87"/>
      <c r="R275" s="87"/>
      <c r="S275" s="184"/>
    </row>
    <row r="276" customFormat="false" ht="12.75" hidden="false" customHeight="false" outlineLevel="0" collapsed="false">
      <c r="B276" s="0"/>
      <c r="C276" s="225"/>
      <c r="G276" s="224"/>
      <c r="H276" s="87"/>
      <c r="I276" s="87"/>
      <c r="J276" s="214"/>
      <c r="K276" s="87"/>
      <c r="L276" s="87"/>
      <c r="M276" s="87"/>
      <c r="N276" s="87"/>
      <c r="O276" s="87"/>
      <c r="P276" s="214"/>
      <c r="Q276" s="87" t="s">
        <v>44</v>
      </c>
      <c r="R276" s="87"/>
      <c r="S276" s="184"/>
    </row>
    <row r="277" customFormat="false" ht="12.75" hidden="false" customHeight="false" outlineLevel="0" collapsed="false">
      <c r="B277" s="0"/>
      <c r="C277" s="225"/>
      <c r="G277" s="224"/>
      <c r="H277" s="87"/>
      <c r="I277" s="87" t="s">
        <v>356</v>
      </c>
      <c r="J277" s="233" t="n">
        <v>-862</v>
      </c>
      <c r="K277" s="87"/>
      <c r="L277" s="87"/>
      <c r="M277" s="87"/>
      <c r="N277" s="87"/>
      <c r="O277" s="87"/>
      <c r="P277" s="214" t="n">
        <f aca="false">K286</f>
        <v>-4368</v>
      </c>
      <c r="Q277" s="87" t="s">
        <v>349</v>
      </c>
      <c r="R277" s="87"/>
      <c r="S277" s="184"/>
    </row>
    <row r="278" customFormat="false" ht="12.75" hidden="false" customHeight="false" outlineLevel="0" collapsed="false">
      <c r="B278" s="0"/>
      <c r="C278" s="225"/>
      <c r="G278" s="224"/>
      <c r="H278" s="87"/>
      <c r="I278" s="234" t="s">
        <v>356</v>
      </c>
      <c r="J278" s="235" t="n">
        <v>-1</v>
      </c>
      <c r="K278" s="87"/>
      <c r="L278" s="87"/>
      <c r="M278" s="87"/>
      <c r="N278" s="87" t="s">
        <v>348</v>
      </c>
      <c r="O278" s="87"/>
      <c r="P278" s="230" t="n">
        <v>-2500</v>
      </c>
      <c r="Q278" s="87"/>
      <c r="R278" s="87"/>
      <c r="S278" s="184"/>
    </row>
    <row r="279" customFormat="false" ht="12.75" hidden="false" customHeight="false" outlineLevel="0" collapsed="false">
      <c r="B279" s="0"/>
      <c r="C279" s="225"/>
      <c r="G279" s="224"/>
      <c r="H279" s="87"/>
      <c r="I279" s="234" t="s">
        <v>357</v>
      </c>
      <c r="J279" s="235" t="n">
        <v>-1</v>
      </c>
      <c r="K279" s="87"/>
      <c r="L279" s="87"/>
      <c r="M279" s="87"/>
      <c r="N279" s="87"/>
      <c r="O279" s="214"/>
      <c r="P279" s="87"/>
      <c r="Q279" s="87" t="s">
        <v>353</v>
      </c>
      <c r="R279" s="87"/>
      <c r="S279" s="184"/>
    </row>
    <row r="280" customFormat="false" ht="12.75" hidden="false" customHeight="false" outlineLevel="0" collapsed="false">
      <c r="B280" s="0"/>
      <c r="C280" s="0"/>
      <c r="G280" s="224"/>
      <c r="H280" s="87"/>
      <c r="I280" s="160" t="s">
        <v>359</v>
      </c>
      <c r="J280" s="237" t="n">
        <v>-1500</v>
      </c>
      <c r="K280" s="87"/>
      <c r="L280" s="87"/>
      <c r="M280" s="87"/>
      <c r="N280" s="87" t="s">
        <v>352</v>
      </c>
      <c r="O280" s="87"/>
      <c r="P280" s="214" t="n">
        <f aca="false">SUM(P274:P278)</f>
        <v>-38600</v>
      </c>
      <c r="Q280" s="87"/>
      <c r="R280" s="87"/>
      <c r="S280" s="184"/>
    </row>
    <row r="281" customFormat="false" ht="12.75" hidden="false" customHeight="false" outlineLevel="0" collapsed="false">
      <c r="B281" s="0"/>
      <c r="C281" s="0"/>
      <c r="G281" s="224"/>
      <c r="H281" s="87"/>
      <c r="I281" s="234" t="s">
        <v>360</v>
      </c>
      <c r="J281" s="235" t="n">
        <v>-1</v>
      </c>
      <c r="K281" s="87"/>
      <c r="L281" s="87"/>
      <c r="M281" s="214" t="n">
        <v>525707</v>
      </c>
      <c r="N281" s="87"/>
      <c r="O281" s="87"/>
      <c r="P281" s="87"/>
      <c r="Q281" s="87"/>
      <c r="R281" s="87"/>
      <c r="S281" s="184"/>
    </row>
    <row r="282" customFormat="false" ht="12.75" hidden="false" customHeight="false" outlineLevel="0" collapsed="false">
      <c r="B282" s="0"/>
      <c r="C282" s="0"/>
      <c r="G282" s="224"/>
      <c r="H282" s="87"/>
      <c r="I282" s="234" t="s">
        <v>361</v>
      </c>
      <c r="J282" s="235" t="n">
        <v>-1</v>
      </c>
      <c r="K282" s="87"/>
      <c r="L282" s="87"/>
      <c r="M282" s="214"/>
      <c r="N282" s="87"/>
      <c r="O282" s="87"/>
      <c r="P282" s="232" t="n">
        <f aca="false">P280+M286</f>
        <v>-6867</v>
      </c>
      <c r="Q282" s="87"/>
      <c r="R282" s="87"/>
      <c r="S282" s="231" t="n">
        <f aca="false">22000+P282</f>
        <v>15133</v>
      </c>
    </row>
    <row r="283" customFormat="false" ht="12.75" hidden="false" customHeight="false" outlineLevel="0" collapsed="false">
      <c r="B283" s="0"/>
      <c r="C283" s="0"/>
      <c r="G283" s="224"/>
      <c r="H283" s="87"/>
      <c r="I283" s="160" t="s">
        <v>362</v>
      </c>
      <c r="J283" s="237" t="n">
        <v>-1000</v>
      </c>
      <c r="K283" s="87"/>
      <c r="L283" s="87"/>
      <c r="M283" s="214"/>
      <c r="N283" s="87"/>
      <c r="O283" s="87"/>
      <c r="P283" s="87"/>
      <c r="Q283" s="87"/>
      <c r="R283" s="87"/>
      <c r="S283" s="184"/>
    </row>
    <row r="284" customFormat="false" ht="12.75" hidden="false" customHeight="false" outlineLevel="0" collapsed="false">
      <c r="B284" s="0"/>
      <c r="C284" s="0"/>
      <c r="G284" s="224"/>
      <c r="H284" s="87"/>
      <c r="I284" s="234" t="s">
        <v>363</v>
      </c>
      <c r="J284" s="235" t="n">
        <v>-1</v>
      </c>
      <c r="K284" s="87"/>
      <c r="L284" s="87"/>
      <c r="M284" s="214" t="n">
        <v>493974</v>
      </c>
      <c r="N284" s="87"/>
      <c r="O284" s="87"/>
      <c r="P284" s="87"/>
      <c r="Q284" s="87"/>
      <c r="R284" s="87"/>
      <c r="S284" s="184"/>
    </row>
    <row r="285" customFormat="false" ht="12.75" hidden="false" customHeight="false" outlineLevel="0" collapsed="false">
      <c r="B285" s="48"/>
      <c r="C285" s="48"/>
      <c r="G285" s="224"/>
      <c r="H285" s="87"/>
      <c r="I285" s="160" t="s">
        <v>364</v>
      </c>
      <c r="J285" s="237" t="n">
        <v>-1000</v>
      </c>
      <c r="K285" s="87"/>
      <c r="L285" s="87"/>
      <c r="M285" s="214"/>
      <c r="N285" s="87"/>
      <c r="O285" s="87"/>
      <c r="P285" s="87"/>
      <c r="Q285" s="87"/>
      <c r="R285" s="87"/>
      <c r="S285" s="184"/>
    </row>
    <row r="286" customFormat="false" ht="12.75" hidden="false" customHeight="false" outlineLevel="0" collapsed="false">
      <c r="B286" s="0"/>
      <c r="C286" s="0"/>
      <c r="G286" s="224"/>
      <c r="H286" s="87"/>
      <c r="I286" s="234" t="s">
        <v>365</v>
      </c>
      <c r="J286" s="235" t="n">
        <v>-1</v>
      </c>
      <c r="K286" s="232" t="n">
        <f aca="false">SUM(J277:J286)</f>
        <v>-4368</v>
      </c>
      <c r="L286" s="87"/>
      <c r="M286" s="214" t="n">
        <f aca="false">M281-M284</f>
        <v>31733</v>
      </c>
      <c r="N286" s="87"/>
      <c r="O286" s="87"/>
      <c r="P286" s="87"/>
      <c r="Q286" s="87"/>
      <c r="R286" s="87"/>
      <c r="S286" s="184"/>
    </row>
    <row r="287" customFormat="false" ht="12.75" hidden="false" customHeight="false" outlineLevel="0" collapsed="false">
      <c r="B287" s="0"/>
      <c r="C287" s="0"/>
      <c r="G287" s="224"/>
      <c r="H287" s="87"/>
      <c r="I287" s="87" t="s">
        <v>366</v>
      </c>
      <c r="J287" s="230" t="n">
        <f aca="false">-M286-K286</f>
        <v>-27365</v>
      </c>
      <c r="K287" s="232"/>
      <c r="L287" s="87"/>
      <c r="M287" s="87"/>
      <c r="N287" s="87"/>
      <c r="O287" s="87"/>
      <c r="P287" s="87"/>
      <c r="Q287" s="87"/>
      <c r="R287" s="87"/>
      <c r="S287" s="184"/>
    </row>
    <row r="288" customFormat="false" ht="12.75" hidden="false" customHeight="false" outlineLevel="0" collapsed="false">
      <c r="B288" s="0"/>
      <c r="C288" s="0"/>
      <c r="G288" s="224"/>
      <c r="H288" s="87" t="s">
        <v>355</v>
      </c>
      <c r="I288" s="87"/>
      <c r="J288" s="214" t="n">
        <f aca="false">SUM(J274:J287)</f>
        <v>-31733</v>
      </c>
      <c r="K288" s="87"/>
      <c r="L288" s="87"/>
      <c r="M288" s="87"/>
      <c r="N288" s="87"/>
      <c r="O288" s="87"/>
      <c r="P288" s="87"/>
      <c r="Q288" s="87"/>
      <c r="R288" s="87"/>
      <c r="S288" s="184"/>
    </row>
    <row r="289" customFormat="false" ht="12.75" hidden="false" customHeight="false" outlineLevel="0" collapsed="false">
      <c r="B289" s="0"/>
      <c r="C289" s="0"/>
      <c r="G289" s="224"/>
      <c r="H289" s="87"/>
      <c r="I289" s="87"/>
      <c r="J289" s="214"/>
      <c r="K289" s="87"/>
      <c r="L289" s="87"/>
      <c r="M289" s="232" t="n">
        <f aca="false">M286+K286</f>
        <v>27365</v>
      </c>
      <c r="N289" s="87"/>
      <c r="O289" s="239"/>
      <c r="P289" s="239"/>
      <c r="Q289" s="239"/>
      <c r="R289" s="239"/>
      <c r="S289" s="174"/>
    </row>
    <row r="290" customFormat="false" ht="12.75" hidden="false" customHeight="false" outlineLevel="0" collapsed="false">
      <c r="B290" s="0"/>
      <c r="C290" s="0"/>
      <c r="G290" s="238"/>
      <c r="H290" s="87"/>
      <c r="I290" s="87" t="s">
        <v>367</v>
      </c>
      <c r="J290" s="214" t="n">
        <v>3915</v>
      </c>
      <c r="K290" s="87"/>
      <c r="L290" s="87"/>
      <c r="M290" s="232"/>
      <c r="N290" s="87"/>
      <c r="S290" s="174"/>
    </row>
    <row r="291" customFormat="false" ht="12.75" hidden="false" customHeight="false" outlineLevel="0" collapsed="false">
      <c r="B291" s="48"/>
      <c r="C291" s="48"/>
      <c r="H291" s="236" t="s">
        <v>358</v>
      </c>
      <c r="I291" s="87"/>
      <c r="J291" s="214"/>
      <c r="K291" s="87"/>
      <c r="L291" s="87"/>
      <c r="M291" s="232"/>
      <c r="N291" s="239"/>
    </row>
    <row r="292" customFormat="false" ht="13.5" hidden="false" customHeight="false" outlineLevel="0" collapsed="false">
      <c r="B292" s="0"/>
      <c r="C292" s="0"/>
      <c r="H292" s="239"/>
      <c r="I292" s="87"/>
      <c r="J292" s="240" t="n">
        <f aca="false">SUM(J288:J291)</f>
        <v>-27818</v>
      </c>
      <c r="K292" s="87"/>
      <c r="L292" s="87"/>
      <c r="M292" s="239"/>
    </row>
    <row r="293" customFormat="false" ht="13.5" hidden="false" customHeight="false" outlineLevel="0" collapsed="false">
      <c r="B293" s="79"/>
      <c r="C293" s="79"/>
      <c r="I293" s="239"/>
      <c r="J293" s="230"/>
      <c r="K293" s="239"/>
      <c r="L293" s="87"/>
      <c r="M293" s="87"/>
    </row>
    <row r="294" customFormat="false" ht="12.75" hidden="false" customHeight="false" outlineLevel="0" collapsed="false">
      <c r="B294" s="0"/>
      <c r="C294" s="0"/>
      <c r="J294" s="214"/>
      <c r="L294" s="239"/>
      <c r="M294" s="87"/>
    </row>
    <row r="295" customFormat="false" ht="12.75" hidden="false" customHeight="false" outlineLevel="0" collapsed="false">
      <c r="B295" s="0"/>
      <c r="C295" s="0"/>
      <c r="J295" s="214"/>
      <c r="L295" s="87"/>
      <c r="M295" s="87"/>
    </row>
    <row r="296" customFormat="false" ht="12.75" hidden="false" customHeight="false" outlineLevel="0" collapsed="false">
      <c r="B296" s="0"/>
      <c r="C296" s="0"/>
      <c r="J296" s="214" t="n">
        <f aca="false">551878-11621</f>
        <v>540257</v>
      </c>
      <c r="L296" s="87"/>
      <c r="M296" s="87"/>
    </row>
    <row r="297" customFormat="false" ht="12.75" hidden="false" customHeight="false" outlineLevel="0" collapsed="false">
      <c r="B297" s="0"/>
      <c r="C297" s="0"/>
      <c r="J297" s="214"/>
      <c r="L297" s="87"/>
    </row>
    <row r="298" customFormat="false" ht="12.75" hidden="false" customHeight="false" outlineLevel="0" collapsed="false">
      <c r="B298" s="0"/>
      <c r="C298" s="0"/>
      <c r="J298" s="214"/>
      <c r="L298" s="87"/>
    </row>
    <row r="299" customFormat="false" ht="12.75" hidden="false" customHeight="false" outlineLevel="0" collapsed="false">
      <c r="B299" s="0"/>
      <c r="C299" s="0"/>
      <c r="J299" s="214"/>
      <c r="L299" s="87"/>
    </row>
    <row r="300" customFormat="false" ht="12.75" hidden="false" customHeight="false" outlineLevel="0" collapsed="false">
      <c r="B300" s="0"/>
      <c r="C300" s="0"/>
      <c r="J300" s="214"/>
    </row>
    <row r="301" customFormat="false" ht="12.75" hidden="false" customHeight="false" outlineLevel="0" collapsed="false">
      <c r="B301" s="0"/>
      <c r="C301" s="0"/>
      <c r="J301" s="214"/>
    </row>
    <row r="302" customFormat="false" ht="12.75" hidden="false" customHeight="false" outlineLevel="0" collapsed="false">
      <c r="B302" s="0"/>
      <c r="C302" s="0"/>
      <c r="J302" s="214"/>
    </row>
    <row r="303" customFormat="false" ht="12.75" hidden="false" customHeight="false" outlineLevel="0" collapsed="false">
      <c r="B303" s="0"/>
      <c r="C303" s="0"/>
      <c r="J303" s="214"/>
    </row>
    <row r="304" customFormat="false" ht="12.75" hidden="false" customHeight="false" outlineLevel="0" collapsed="false">
      <c r="B304" s="0"/>
      <c r="C304" s="0"/>
      <c r="J304" s="214"/>
    </row>
    <row r="305" customFormat="false" ht="12.75" hidden="false" customHeight="false" outlineLevel="0" collapsed="false">
      <c r="B305" s="0"/>
      <c r="C305" s="0"/>
      <c r="J305" s="214"/>
    </row>
    <row r="306" customFormat="false" ht="12.75" hidden="false" customHeight="false" outlineLevel="0" collapsed="false">
      <c r="B306" s="0"/>
      <c r="C306" s="0"/>
      <c r="J306" s="214"/>
    </row>
    <row r="307" customFormat="false" ht="12.75" hidden="false" customHeight="false" outlineLevel="0" collapsed="false">
      <c r="B307" s="0"/>
      <c r="C307" s="0"/>
      <c r="J307" s="214"/>
    </row>
    <row r="308" customFormat="false" ht="12.75" hidden="false" customHeight="false" outlineLevel="0" collapsed="false">
      <c r="B308" s="0"/>
      <c r="C308" s="0"/>
      <c r="J308" s="214"/>
    </row>
    <row r="309" customFormat="false" ht="12.75" hidden="false" customHeight="false" outlineLevel="0" collapsed="false">
      <c r="B309" s="0"/>
      <c r="C309" s="0"/>
      <c r="J309" s="214"/>
    </row>
    <row r="310" customFormat="false" ht="12.75" hidden="false" customHeight="false" outlineLevel="0" collapsed="false">
      <c r="B310" s="0"/>
      <c r="C310" s="0"/>
      <c r="J310" s="214"/>
    </row>
    <row r="311" customFormat="false" ht="12.75" hidden="false" customHeight="false" outlineLevel="0" collapsed="false">
      <c r="B311" s="241"/>
      <c r="C311" s="241"/>
      <c r="J311" s="214"/>
    </row>
    <row r="312" customFormat="false" ht="12.75" hidden="false" customHeight="false" outlineLevel="0" collapsed="false">
      <c r="B312" s="241"/>
      <c r="C312" s="241"/>
      <c r="J312" s="214"/>
    </row>
    <row r="313" customFormat="false" ht="12.75" hidden="false" customHeight="false" outlineLevel="0" collapsed="false">
      <c r="B313" s="0"/>
      <c r="C313" s="0"/>
      <c r="J313" s="214"/>
    </row>
    <row r="314" customFormat="false" ht="12.75" hidden="false" customHeight="false" outlineLevel="0" collapsed="false">
      <c r="B314" s="0"/>
      <c r="C314" s="0"/>
      <c r="J314" s="214"/>
    </row>
    <row r="315" customFormat="false" ht="12" hidden="false" customHeight="false" outlineLevel="0" collapsed="false">
      <c r="J315" s="214"/>
    </row>
    <row r="316" customFormat="false" ht="12" hidden="false" customHeight="false" outlineLevel="0" collapsed="false">
      <c r="J316" s="214"/>
    </row>
    <row r="317" customFormat="false" ht="12" hidden="false" customHeight="false" outlineLevel="0" collapsed="false">
      <c r="J317" s="214"/>
    </row>
    <row r="318" customFormat="false" ht="12" hidden="false" customHeight="false" outlineLevel="0" collapsed="false">
      <c r="J318" s="214"/>
    </row>
    <row r="319" customFormat="false" ht="12" hidden="false" customHeight="false" outlineLevel="0" collapsed="false">
      <c r="J319" s="214"/>
    </row>
    <row r="320" customFormat="false" ht="12" hidden="false" customHeight="false" outlineLevel="0" collapsed="false">
      <c r="J320" s="214"/>
    </row>
    <row r="321" customFormat="false" ht="12" hidden="false" customHeight="false" outlineLevel="0" collapsed="false">
      <c r="J321" s="214"/>
    </row>
    <row r="322" customFormat="false" ht="12" hidden="false" customHeight="false" outlineLevel="0" collapsed="false">
      <c r="J322" s="214"/>
    </row>
    <row r="323" customFormat="false" ht="12" hidden="false" customHeight="false" outlineLevel="0" collapsed="false">
      <c r="J323" s="214"/>
    </row>
    <row r="324" customFormat="false" ht="12" hidden="false" customHeight="false" outlineLevel="0" collapsed="false">
      <c r="J324" s="214"/>
    </row>
    <row r="325" customFormat="false" ht="12" hidden="false" customHeight="false" outlineLevel="0" collapsed="false">
      <c r="J325" s="214"/>
    </row>
    <row r="326" customFormat="false" ht="12" hidden="false" customHeight="false" outlineLevel="0" collapsed="false">
      <c r="J326" s="214"/>
    </row>
    <row r="327" customFormat="false" ht="12" hidden="false" customHeight="false" outlineLevel="0" collapsed="false">
      <c r="J327" s="214"/>
    </row>
    <row r="328" customFormat="false" ht="12" hidden="false" customHeight="false" outlineLevel="0" collapsed="false">
      <c r="J328" s="214"/>
    </row>
    <row r="329" customFormat="false" ht="12" hidden="false" customHeight="false" outlineLevel="0" collapsed="false">
      <c r="J329" s="214"/>
    </row>
    <row r="330" customFormat="false" ht="12" hidden="false" customHeight="false" outlineLevel="0" collapsed="false">
      <c r="J330" s="214"/>
    </row>
    <row r="331" customFormat="false" ht="12" hidden="false" customHeight="false" outlineLevel="0" collapsed="false">
      <c r="J331" s="214"/>
    </row>
    <row r="332" customFormat="false" ht="12" hidden="false" customHeight="false" outlineLevel="0" collapsed="false">
      <c r="J332" s="214"/>
    </row>
    <row r="333" customFormat="false" ht="12" hidden="false" customHeight="false" outlineLevel="0" collapsed="false">
      <c r="J333" s="214"/>
    </row>
    <row r="334" customFormat="false" ht="12" hidden="false" customHeight="false" outlineLevel="0" collapsed="false">
      <c r="J334" s="214"/>
    </row>
    <row r="335" customFormat="false" ht="12" hidden="false" customHeight="false" outlineLevel="0" collapsed="false">
      <c r="J335" s="214"/>
    </row>
    <row r="336" customFormat="false" ht="12" hidden="false" customHeight="false" outlineLevel="0" collapsed="false">
      <c r="J336" s="214"/>
    </row>
    <row r="337" customFormat="false" ht="12" hidden="false" customHeight="false" outlineLevel="0" collapsed="false">
      <c r="J337" s="214"/>
    </row>
    <row r="338" customFormat="false" ht="12" hidden="false" customHeight="false" outlineLevel="0" collapsed="false">
      <c r="J338" s="214"/>
    </row>
    <row r="339" customFormat="false" ht="12" hidden="false" customHeight="false" outlineLevel="0" collapsed="false">
      <c r="J339" s="214"/>
    </row>
    <row r="340" customFormat="false" ht="12" hidden="false" customHeight="false" outlineLevel="0" collapsed="false">
      <c r="J340" s="214"/>
    </row>
    <row r="341" customFormat="false" ht="12" hidden="false" customHeight="false" outlineLevel="0" collapsed="false">
      <c r="J341" s="214"/>
    </row>
    <row r="342" customFormat="false" ht="12" hidden="false" customHeight="false" outlineLevel="0" collapsed="false">
      <c r="J342" s="214"/>
    </row>
    <row r="343" customFormat="false" ht="12" hidden="false" customHeight="false" outlineLevel="0" collapsed="false">
      <c r="J343" s="214"/>
    </row>
    <row r="344" customFormat="false" ht="12" hidden="false" customHeight="false" outlineLevel="0" collapsed="false">
      <c r="J344" s="214"/>
    </row>
    <row r="345" customFormat="false" ht="12" hidden="false" customHeight="false" outlineLevel="0" collapsed="false">
      <c r="J345" s="214"/>
    </row>
    <row r="346" customFormat="false" ht="12" hidden="false" customHeight="false" outlineLevel="0" collapsed="false">
      <c r="J346" s="214"/>
    </row>
    <row r="347" customFormat="false" ht="12" hidden="false" customHeight="false" outlineLevel="0" collapsed="false">
      <c r="J347" s="214"/>
    </row>
    <row r="348" customFormat="false" ht="12" hidden="false" customHeight="false" outlineLevel="0" collapsed="false">
      <c r="J348" s="214"/>
    </row>
    <row r="349" customFormat="false" ht="12" hidden="false" customHeight="false" outlineLevel="0" collapsed="false">
      <c r="J349" s="214"/>
    </row>
    <row r="350" customFormat="false" ht="12" hidden="false" customHeight="false" outlineLevel="0" collapsed="false">
      <c r="J350" s="214"/>
    </row>
    <row r="351" customFormat="false" ht="12" hidden="false" customHeight="false" outlineLevel="0" collapsed="false">
      <c r="J351" s="214"/>
    </row>
    <row r="352" customFormat="false" ht="12" hidden="false" customHeight="false" outlineLevel="0" collapsed="false">
      <c r="J352" s="214"/>
    </row>
    <row r="353" customFormat="false" ht="12" hidden="false" customHeight="false" outlineLevel="0" collapsed="false">
      <c r="J353" s="214"/>
    </row>
    <row r="354" customFormat="false" ht="12" hidden="false" customHeight="false" outlineLevel="0" collapsed="false">
      <c r="J354" s="214"/>
    </row>
    <row r="355" customFormat="false" ht="12" hidden="false" customHeight="false" outlineLevel="0" collapsed="false">
      <c r="J355" s="214"/>
    </row>
    <row r="356" customFormat="false" ht="12" hidden="false" customHeight="false" outlineLevel="0" collapsed="false">
      <c r="J356" s="214"/>
    </row>
    <row r="357" customFormat="false" ht="12" hidden="false" customHeight="false" outlineLevel="0" collapsed="false">
      <c r="J357" s="214"/>
    </row>
    <row r="358" customFormat="false" ht="12" hidden="false" customHeight="false" outlineLevel="0" collapsed="false">
      <c r="J358" s="214"/>
    </row>
    <row r="359" customFormat="false" ht="12" hidden="false" customHeight="false" outlineLevel="0" collapsed="false">
      <c r="J359" s="214"/>
    </row>
    <row r="360" customFormat="false" ht="12" hidden="false" customHeight="false" outlineLevel="0" collapsed="false">
      <c r="J360" s="214"/>
    </row>
    <row r="361" customFormat="false" ht="12" hidden="false" customHeight="false" outlineLevel="0" collapsed="false">
      <c r="J361" s="214"/>
    </row>
    <row r="362" customFormat="false" ht="12" hidden="false" customHeight="false" outlineLevel="0" collapsed="false">
      <c r="J362" s="214"/>
    </row>
    <row r="363" customFormat="false" ht="12" hidden="false" customHeight="false" outlineLevel="0" collapsed="false">
      <c r="J363" s="214"/>
    </row>
    <row r="364" customFormat="false" ht="12" hidden="false" customHeight="false" outlineLevel="0" collapsed="false">
      <c r="J364" s="214"/>
    </row>
    <row r="365" customFormat="false" ht="12" hidden="false" customHeight="false" outlineLevel="0" collapsed="false">
      <c r="J365" s="214"/>
    </row>
    <row r="366" customFormat="false" ht="12" hidden="false" customHeight="false" outlineLevel="0" collapsed="false">
      <c r="J366" s="214"/>
    </row>
    <row r="367" customFormat="false" ht="12" hidden="false" customHeight="false" outlineLevel="0" collapsed="false">
      <c r="J367" s="214"/>
    </row>
    <row r="368" customFormat="false" ht="12" hidden="false" customHeight="false" outlineLevel="0" collapsed="false">
      <c r="J368" s="214"/>
    </row>
    <row r="369" customFormat="false" ht="12" hidden="false" customHeight="false" outlineLevel="0" collapsed="false">
      <c r="J369" s="214"/>
    </row>
    <row r="370" customFormat="false" ht="12" hidden="false" customHeight="false" outlineLevel="0" collapsed="false">
      <c r="J370" s="214"/>
    </row>
    <row r="371" customFormat="false" ht="12" hidden="false" customHeight="false" outlineLevel="0" collapsed="false">
      <c r="J371" s="214"/>
    </row>
    <row r="372" customFormat="false" ht="12" hidden="false" customHeight="false" outlineLevel="0" collapsed="false">
      <c r="J372" s="214"/>
    </row>
    <row r="373" customFormat="false" ht="12" hidden="false" customHeight="false" outlineLevel="0" collapsed="false">
      <c r="J373" s="214"/>
    </row>
    <row r="374" customFormat="false" ht="12" hidden="false" customHeight="false" outlineLevel="0" collapsed="false">
      <c r="J374" s="214"/>
    </row>
    <row r="375" customFormat="false" ht="12" hidden="false" customHeight="false" outlineLevel="0" collapsed="false">
      <c r="J375" s="214"/>
    </row>
    <row r="376" customFormat="false" ht="12" hidden="false" customHeight="false" outlineLevel="0" collapsed="false">
      <c r="J376" s="214"/>
    </row>
    <row r="377" customFormat="false" ht="12" hidden="false" customHeight="false" outlineLevel="0" collapsed="false">
      <c r="J377" s="214"/>
    </row>
    <row r="378" customFormat="false" ht="12" hidden="false" customHeight="false" outlineLevel="0" collapsed="false">
      <c r="J378" s="214"/>
    </row>
    <row r="379" customFormat="false" ht="12" hidden="false" customHeight="false" outlineLevel="0" collapsed="false">
      <c r="J379" s="214"/>
    </row>
    <row r="380" customFormat="false" ht="12" hidden="false" customHeight="false" outlineLevel="0" collapsed="false">
      <c r="J380" s="214"/>
    </row>
    <row r="381" customFormat="false" ht="12" hidden="false" customHeight="false" outlineLevel="0" collapsed="false">
      <c r="J381" s="214"/>
    </row>
    <row r="382" customFormat="false" ht="12" hidden="false" customHeight="false" outlineLevel="0" collapsed="false">
      <c r="J382" s="214"/>
    </row>
    <row r="383" customFormat="false" ht="12" hidden="false" customHeight="false" outlineLevel="0" collapsed="false">
      <c r="J383" s="214"/>
    </row>
    <row r="384" customFormat="false" ht="12" hidden="false" customHeight="false" outlineLevel="0" collapsed="false">
      <c r="J384" s="214"/>
    </row>
    <row r="385" customFormat="false" ht="12" hidden="false" customHeight="false" outlineLevel="0" collapsed="false">
      <c r="J385" s="214"/>
    </row>
    <row r="386" customFormat="false" ht="12" hidden="false" customHeight="false" outlineLevel="0" collapsed="false">
      <c r="J386" s="214"/>
    </row>
    <row r="387" customFormat="false" ht="12" hidden="false" customHeight="false" outlineLevel="0" collapsed="false">
      <c r="J387" s="214"/>
    </row>
    <row r="388" customFormat="false" ht="12" hidden="false" customHeight="false" outlineLevel="0" collapsed="false">
      <c r="J388" s="214"/>
    </row>
    <row r="389" customFormat="false" ht="12" hidden="false" customHeight="false" outlineLevel="0" collapsed="false">
      <c r="J389" s="214"/>
    </row>
    <row r="390" customFormat="false" ht="12" hidden="false" customHeight="false" outlineLevel="0" collapsed="false">
      <c r="J390" s="214"/>
    </row>
    <row r="391" customFormat="false" ht="12" hidden="false" customHeight="false" outlineLevel="0" collapsed="false">
      <c r="J391" s="214"/>
    </row>
    <row r="392" customFormat="false" ht="12" hidden="false" customHeight="false" outlineLevel="0" collapsed="false">
      <c r="J392" s="214"/>
    </row>
    <row r="393" customFormat="false" ht="12" hidden="false" customHeight="false" outlineLevel="0" collapsed="false">
      <c r="J393" s="214"/>
    </row>
    <row r="394" customFormat="false" ht="12" hidden="false" customHeight="false" outlineLevel="0" collapsed="false">
      <c r="J394" s="214"/>
    </row>
    <row r="395" customFormat="false" ht="12" hidden="false" customHeight="false" outlineLevel="0" collapsed="false">
      <c r="J395" s="214"/>
    </row>
    <row r="396" customFormat="false" ht="12" hidden="false" customHeight="false" outlineLevel="0" collapsed="false">
      <c r="J396" s="214"/>
    </row>
  </sheetData>
  <mergeCells count="18">
    <mergeCell ref="A1:H1"/>
    <mergeCell ref="K6:L6"/>
    <mergeCell ref="A31:D31"/>
    <mergeCell ref="E31:H31"/>
    <mergeCell ref="I31:J31"/>
    <mergeCell ref="E32:F32"/>
    <mergeCell ref="G32:H32"/>
    <mergeCell ref="I36:J36"/>
    <mergeCell ref="A37:D37"/>
    <mergeCell ref="I43:J43"/>
    <mergeCell ref="A46:D46"/>
    <mergeCell ref="G46:L46"/>
    <mergeCell ref="A47:B47"/>
    <mergeCell ref="C47:D47"/>
    <mergeCell ref="E47:F47"/>
    <mergeCell ref="I47:J47"/>
    <mergeCell ref="K47:L47"/>
    <mergeCell ref="A139:C139"/>
  </mergeCells>
  <printOptions headings="false" gridLines="false" gridLinesSet="true" horizontalCentered="true" verticalCentered="true"/>
  <pageMargins left="0.25" right="0.25" top="0.75" bottom="0.25" header="0.511811023622047" footer="0.2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&amp;L&amp;8Tx Desk Logistics - Daren Farmer&amp;R&amp;8&amp;D
&amp;T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1999-12-09T14:08:20Z</dcterms:created>
  <dc:creator>Daren Farmer</dc:creator>
  <dc:description/>
  <dc:language>en-US</dc:language>
  <cp:lastModifiedBy>Daren Farmer</cp:lastModifiedBy>
  <cp:lastPrinted>2000-05-24T17:01:27Z</cp:lastPrinted>
  <cp:revision>0</cp:revision>
  <dc:subject/>
  <dc:title/>
</cp:coreProperties>
</file>